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wsl$\vrekon\home\vrekon\projekte\vrekon\notebooks\listen_fin\"/>
    </mc:Choice>
  </mc:AlternateContent>
  <bookViews>
    <workbookView xWindow="480" yWindow="120" windowWidth="18192" windowHeight="11568"/>
  </bookViews>
  <sheets>
    <sheet name="Basis" sheetId="1" r:id="rId1"/>
    <sheet name="Infos zu dieser Mappe" sheetId="2" r:id="rId2"/>
    <sheet name="Legende_Thomschke" sheetId="3" r:id="rId3"/>
    <sheet name="Datentransfer" sheetId="4" r:id="rId4"/>
    <sheet name="Legende" sheetId="5" r:id="rId5"/>
    <sheet name="Zusammenfassung" sheetId="6" r:id="rId6"/>
  </sheets>
  <calcPr calcId="162913"/>
  <fileRecoveryPr repairLoad="1"/>
</workbook>
</file>

<file path=xl/calcChain.xml><?xml version="1.0" encoding="utf-8"?>
<calcChain xmlns="http://schemas.openxmlformats.org/spreadsheetml/2006/main">
  <c r="C84" i="4" l="1"/>
  <c r="C83" i="4"/>
  <c r="C82" i="4"/>
  <c r="C81" i="4"/>
  <c r="C80" i="4"/>
  <c r="D79"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49" i="4"/>
  <c r="C48" i="4"/>
  <c r="C47" i="4"/>
  <c r="C46" i="4"/>
  <c r="C44" i="4"/>
  <c r="C43" i="4"/>
  <c r="C42" i="4"/>
  <c r="C41" i="4"/>
  <c r="C40" i="4"/>
  <c r="C39" i="4"/>
  <c r="C38" i="4"/>
  <c r="C37" i="4"/>
  <c r="C36" i="4"/>
  <c r="C35" i="4"/>
  <c r="C34" i="4"/>
  <c r="C33" i="4"/>
  <c r="C32" i="4"/>
  <c r="C31" i="4"/>
  <c r="C30" i="4"/>
  <c r="C29" i="4"/>
  <c r="C28" i="4"/>
  <c r="C27" i="4"/>
  <c r="C25" i="4"/>
  <c r="C24" i="4"/>
  <c r="C23" i="4"/>
  <c r="C22" i="4"/>
  <c r="C21" i="4"/>
  <c r="C20" i="4"/>
  <c r="C19" i="4"/>
  <c r="C18" i="4"/>
  <c r="C17" i="4"/>
  <c r="C16" i="4"/>
  <c r="C15" i="4"/>
  <c r="C14" i="4"/>
  <c r="C13" i="4"/>
  <c r="C12" i="4"/>
  <c r="C11" i="4"/>
  <c r="C10" i="4"/>
  <c r="C9" i="4"/>
  <c r="C8" i="4"/>
  <c r="C7" i="4"/>
  <c r="C6" i="4"/>
  <c r="C5" i="4"/>
  <c r="C4" i="4"/>
  <c r="C3" i="4"/>
  <c r="C2" i="4"/>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comments1.xml><?xml version="1.0" encoding="utf-8"?>
<comments xmlns="http://schemas.openxmlformats.org/spreadsheetml/2006/main">
  <authors>
    <author>Thomschke, Friedrun</author>
  </authors>
  <commentList>
    <comment ref="A2" authorId="0" shapeId="0">
      <text>
        <r>
          <rPr>
            <sz val="9"/>
            <color theme="1"/>
            <rFont val="Verdana"/>
            <family val="2"/>
          </rPr>
          <t>Thomschke, Friedrun:
alle Signaturen, inkl. der angebundenen Werke und der ggf. noch nicht geprüften Bücher</t>
        </r>
      </text>
    </comment>
    <comment ref="A3" authorId="0" shapeId="0">
      <text>
        <r>
          <rPr>
            <sz val="9"/>
            <color theme="1"/>
            <rFont val="Verdana"/>
            <family val="2"/>
          </rPr>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r>
      </text>
    </comment>
    <comment ref="D79" authorId="0" shapeId="0">
      <text>
        <r>
          <rPr>
            <sz val="9"/>
            <color theme="1"/>
            <rFont val="Verdana"/>
            <family val="2"/>
          </rPr>
          <t>Thomschke, Friedrun:
Gesamtsumme Umschläge minus säurehaltige Umschläge (die werden von uns entfernt)</t>
        </r>
      </text>
    </comment>
  </commentList>
</comments>
</file>

<file path=xl/sharedStrings.xml><?xml version="1.0" encoding="utf-8"?>
<sst xmlns="http://schemas.openxmlformats.org/spreadsheetml/2006/main" count="16511" uniqueCount="4750">
  <si>
    <t>Gruppe</t>
  </si>
  <si>
    <t>digi</t>
  </si>
  <si>
    <t>Restaurierung</t>
  </si>
  <si>
    <t>Whitelist</t>
  </si>
  <si>
    <t>Lfd Nr.</t>
  </si>
  <si>
    <t>Link zum Portal</t>
  </si>
  <si>
    <t>bbg</t>
  </si>
  <si>
    <t>AKZ</t>
  </si>
  <si>
    <t>IDN</t>
  </si>
  <si>
    <t>signatur_g</t>
  </si>
  <si>
    <t>signatur_a</t>
  </si>
  <si>
    <t>Signatur</t>
  </si>
  <si>
    <t>steht bei
/ Anm.
zur
Signatur</t>
  </si>
  <si>
    <t>titel</t>
  </si>
  <si>
    <t>stuecktitel</t>
  </si>
  <si>
    <t>Provenienzmerkmal</t>
  </si>
  <si>
    <t>wert</t>
  </si>
  <si>
    <t>Material</t>
  </si>
  <si>
    <t>Format</t>
  </si>
  <si>
    <t>Öffnungswinkel</t>
  </si>
  <si>
    <t>Einschränkungen</t>
  </si>
  <si>
    <t xml:space="preserve">Glasplatte </t>
  </si>
  <si>
    <t>Verpackung</t>
  </si>
  <si>
    <t xml:space="preserve">Verpackung austauschen </t>
  </si>
  <si>
    <t>Schadensklasse</t>
  </si>
  <si>
    <t>notwendige Reparatur(en) vor der Digitalisierung, notwendige Reparatur(en) vor der Digitalisierung</t>
  </si>
  <si>
    <t>Bemerkungen</t>
  </si>
  <si>
    <t>Fragen/ Hinweise
an DBSM</t>
  </si>
  <si>
    <t>Fragen an M. Steinberg</t>
  </si>
  <si>
    <t>nicht
am Stand-ort</t>
  </si>
  <si>
    <t>Größe ÜF
(BxH)</t>
  </si>
  <si>
    <t>Breite
(nur Ausreißer)</t>
  </si>
  <si>
    <t>Dicke
(&gt;12 cm)</t>
  </si>
  <si>
    <t>12° Format
(&lt;15 cm)</t>
  </si>
  <si>
    <t>Einband-
art</t>
  </si>
  <si>
    <t>Einbandart Kommentar</t>
  </si>
  <si>
    <t>Einband über-
formt (ganz od. teilweise)</t>
  </si>
  <si>
    <t>Buch bereits restau-riert</t>
  </si>
  <si>
    <t>hohler/
fester Rücken (mit Einlage/
Vergoldung?)</t>
  </si>
  <si>
    <t>Steh-
kanten
(bei Perg.)</t>
  </si>
  <si>
    <t>Leder pudert ab/roter Zerfall (extrem)</t>
  </si>
  <si>
    <t>Einband stark defor-miert</t>
  </si>
  <si>
    <t>Be-schläge bes. auftra-gend</t>
  </si>
  <si>
    <t>Buch-schließe steif</t>
  </si>
  <si>
    <t>Buch-block Pa./Perg.</t>
  </si>
  <si>
    <t>saures Füll-material</t>
  </si>
  <si>
    <t>Register-marken</t>
  </si>
  <si>
    <t>seitliche Heftung</t>
  </si>
  <si>
    <t>Buch-block sehr wellig</t>
  </si>
  <si>
    <t>Buch-block neigt zum "Bauch"</t>
  </si>
  <si>
    <t>ge-schloss-ene Lagen</t>
  </si>
  <si>
    <t>Falttafeln</t>
  </si>
  <si>
    <t>Größe Buch+
Falttafeln (BxH)</t>
  </si>
  <si>
    <t>Original-grafik</t>
  </si>
  <si>
    <t>Kolorier-ung / Buch-malerei / Initialen / Rubri-kation</t>
  </si>
  <si>
    <t>berühr-ungsfreie Digit.</t>
  </si>
  <si>
    <t>Schrift weit bis in den Falz (Bund-steg in mm) Text-verlust</t>
  </si>
  <si>
    <t>nicht digitali-sierbar wegen Bund-steg (vorraus-sichtlich)</t>
  </si>
  <si>
    <t>max. Öffnungs-winkel</t>
  </si>
  <si>
    <t>max. Öffnungs-winkel Kommentar</t>
  </si>
  <si>
    <t>Digit. mit Begleit-ung</t>
  </si>
  <si>
    <t>Digit. mit Begleit-ung Kommentar</t>
  </si>
  <si>
    <t>Rest.-Bericht einge-klebt</t>
  </si>
  <si>
    <t xml:space="preserve">Blatt mit Notizen zum Buch eingeklebt </t>
  </si>
  <si>
    <t>Rest.
not-wendig (ja/nein) (vor/nach der Digit.)</t>
  </si>
  <si>
    <t>Rest.-
Aufwand gesamt
(in Std.)</t>
  </si>
  <si>
    <t>Rest.
erfolgt</t>
  </si>
  <si>
    <t>Kassette</t>
  </si>
  <si>
    <t>Schuber</t>
  </si>
  <si>
    <t>Buch-schuh</t>
  </si>
  <si>
    <t xml:space="preserve">Mappe </t>
  </si>
  <si>
    <t>Um-schlag</t>
  </si>
  <si>
    <t>SB neu</t>
  </si>
  <si>
    <t>Anmerkungen (allg.)</t>
  </si>
  <si>
    <t>für Testphase
vorsehen</t>
  </si>
  <si>
    <t>für Testphase
vorsehen Kommentar</t>
  </si>
  <si>
    <t>Schutzbehältnis empfohlen</t>
  </si>
  <si>
    <t>Foto für Erheb. Rest. angefertigt (ab August)</t>
  </si>
  <si>
    <t>feuchte-empfind-liches Leder</t>
  </si>
  <si>
    <t>Material am Rücken/
Einband lose / eingeris-sen (auch Titelschild)</t>
  </si>
  <si>
    <t>Narben spaltet sich ab</t>
  </si>
  <si>
    <t>Gelenk(e) 
an/durch-gebro-chen</t>
  </si>
  <si>
    <t>Bünde gebro-chen (Anzahl)</t>
  </si>
  <si>
    <t>Rücken lose/
halb lose</t>
  </si>
  <si>
    <t>Be-schläge locker</t>
  </si>
  <si>
    <t>Buch
schließe fragil</t>
  </si>
  <si>
    <t>Deckel spaltet sich / Fehlstelle im Deckel</t>
  </si>
  <si>
    <t>Deckel gebro-chen</t>
  </si>
  <si>
    <t>Deckel lose / halb lose</t>
  </si>
  <si>
    <t>Kapital fragil/
lose</t>
  </si>
  <si>
    <t>Rest.-Aufwand Einband
(in Std.)</t>
  </si>
  <si>
    <t>Anmerkungen für die Restaurierung am Einband</t>
  </si>
  <si>
    <t>Ver-schmutz-ung (Vorsatz / Ränder /
ges. BB)</t>
  </si>
  <si>
    <t>mikro-bieller Befall</t>
  </si>
  <si>
    <t>Farb-schicht pudert</t>
  </si>
  <si>
    <t>Buch-block / Seiten verblockt</t>
  </si>
  <si>
    <t>erste / letzte Lage oder Seiten lose</t>
  </si>
  <si>
    <t>(halb-) lose Seiten im BB</t>
  </si>
  <si>
    <t>Heftung zerstört</t>
  </si>
  <si>
    <t>Risse / Fehl-stellen im Vorsatz</t>
  </si>
  <si>
    <t>Risse im Text-bereich / an exponier-ter Stelle (z.B. Ecke)</t>
  </si>
  <si>
    <t>Risse am Rand</t>
  </si>
  <si>
    <t xml:space="preserve">Fehl-stellen im BB
(groß) </t>
  </si>
  <si>
    <t>Insekten-fraß (stark)</t>
  </si>
  <si>
    <t>Falten / Knicke</t>
  </si>
  <si>
    <t>saures /
brüchiges Papier</t>
  </si>
  <si>
    <t>Tinten-/ Farbfraß (akut)</t>
  </si>
  <si>
    <t>Register-marken fragil</t>
  </si>
  <si>
    <t>Klebe-
streifen ablösen</t>
  </si>
  <si>
    <t>Rest.-Aufwand Buchblock
(in Std.)</t>
  </si>
  <si>
    <t>Anmerkungen für die Restaurierung am Buchblock</t>
  </si>
  <si>
    <t>III</t>
  </si>
  <si>
    <t>Aal</t>
  </si>
  <si>
    <t>L-1519-171699971</t>
  </si>
  <si>
    <t>1000933296</t>
  </si>
  <si>
    <t>III 2 B, 1</t>
  </si>
  <si>
    <t>Montisferrati|| Marchionum et Prin=||cipu[m] Regie propagi=||nis : successionu[m]qz|| series nuper|| elucida=||ta</t>
  </si>
  <si>
    <t xml:space="preserve"> : </t>
  </si>
  <si>
    <t>X</t>
  </si>
  <si>
    <t>1000,00 EUR</t>
  </si>
  <si>
    <t>Ledereinband</t>
  </si>
  <si>
    <t>bis 25 cm</t>
  </si>
  <si>
    <t>180°</t>
  </si>
  <si>
    <t>fester Rücken mit Schmuckprägung</t>
  </si>
  <si>
    <t>Nein</t>
  </si>
  <si>
    <t>Aaf</t>
  </si>
  <si>
    <t>L-1502-315318171</t>
  </si>
  <si>
    <t>1066859469</t>
  </si>
  <si>
    <t>III 2, 1</t>
  </si>
  <si>
    <t>Dit is den duytsche souter. : En op een yeghelycke psalm sinen titel. die verclarede is die crachten en duechden des psalmes</t>
  </si>
  <si>
    <t>80° bis 110°, einseitig digitalisierbar?</t>
  </si>
  <si>
    <t>hohler Rücken, welliger Buchblock</t>
  </si>
  <si>
    <t>x</t>
  </si>
  <si>
    <t>L</t>
  </si>
  <si>
    <t>h/E</t>
  </si>
  <si>
    <t>Pa</t>
  </si>
  <si>
    <t>R</t>
  </si>
  <si>
    <t>n</t>
  </si>
  <si>
    <t>Schaden ist stabil</t>
  </si>
  <si>
    <t>x 45</t>
  </si>
  <si>
    <t xml:space="preserve">
beschädigt, aber stabil</t>
  </si>
  <si>
    <t>L-1534-315317728</t>
  </si>
  <si>
    <t>1066859000</t>
  </si>
  <si>
    <t>III 2, 2</t>
  </si>
  <si>
    <t>Den @Bibel : met grooter neersticheyt gecorrigeert, en op die canten gheset den ouderdom der werelt, ende hoe lange die gheschiedenissen ende historie</t>
  </si>
  <si>
    <t>Ledereinband, Schließen, erhabene Buchbeschläge</t>
  </si>
  <si>
    <t>bis 35 cm</t>
  </si>
  <si>
    <t>Buchschuh</t>
  </si>
  <si>
    <t>gereinigt</t>
  </si>
  <si>
    <t>HD</t>
  </si>
  <si>
    <t>h</t>
  </si>
  <si>
    <t>Schaden ist stabil, fester Rücken inzwischen hohl</t>
  </si>
  <si>
    <t>x 110</t>
  </si>
  <si>
    <t>L-1540-180391380</t>
  </si>
  <si>
    <t>1003653014</t>
  </si>
  <si>
    <t>III 2, 3</t>
  </si>
  <si>
    <t xml:space="preserve">Rhetoricae ac dialecticae tractatio legalis, nempe: Vdalrici Zasii ... in rhetoricam [M. T. Ciceronis] ad Herennium commentarius : </t>
  </si>
  <si>
    <t>Pergamentband</t>
  </si>
  <si>
    <t>hohler Rücken, welliger Buchblock, Einband mit Schutz- oder Stoßkanten</t>
  </si>
  <si>
    <t>L-1535-168291959</t>
  </si>
  <si>
    <t>999397737</t>
  </si>
  <si>
    <t>III 2, 4</t>
  </si>
  <si>
    <t xml:space="preserve">ENCHI=||RIDION|| AD VERBORVM CO||Piam haud infrugiferu[m] multo|| quàm antea auctius ema||culatiusq[ue], Theo||dorico M||orello|| Campano au||tore : </t>
  </si>
  <si>
    <t>Halbpergamentband</t>
  </si>
  <si>
    <t>L-1555-175067589</t>
  </si>
  <si>
    <t>1001530470</t>
  </si>
  <si>
    <t>III 2, 5</t>
  </si>
  <si>
    <t xml:space="preserve">Flores : </t>
  </si>
  <si>
    <t>Signaturfahne austauschen</t>
  </si>
  <si>
    <t>L-1558-169832023</t>
  </si>
  <si>
    <t>999996789</t>
  </si>
  <si>
    <t>III 2, 6</t>
  </si>
  <si>
    <t xml:space="preserve">Les @Epistres de Phalaris, et dʹIsocrates : </t>
  </si>
  <si>
    <t>hohler Rücken, Einband mit Schutz- oder Stoßkanten</t>
  </si>
  <si>
    <t>L-1560-166917079</t>
  </si>
  <si>
    <t>998774278</t>
  </si>
  <si>
    <t>III 2, 7</t>
  </si>
  <si>
    <t xml:space="preserve">Litvrgiæ, sive missæ sanctorvm patrvm ... interprete Leone Thusco ... : Quibus accessit ad calcem e libris D. Joannis Chrysostomi, locorum annotatio, </t>
  </si>
  <si>
    <t>fester Rücken mit Schmuckprägung, Schrift bis in den Falz</t>
  </si>
  <si>
    <t>f/V</t>
  </si>
  <si>
    <t>ja vor</t>
  </si>
  <si>
    <t>Gewebe</t>
  </si>
  <si>
    <t>Kapital stabilisieren, sonst stabil genug</t>
  </si>
  <si>
    <t xml:space="preserve">
beschädigt aber stabil genug</t>
  </si>
  <si>
    <t>v/h</t>
  </si>
  <si>
    <t>nur Kapital stabilisieren, der Reste sollte stabil genug sein (ggf.! Gelenke mit JP überfangen)</t>
  </si>
  <si>
    <t>L-1560-156009854</t>
  </si>
  <si>
    <t>994470045</t>
  </si>
  <si>
    <t>III 2, 8</t>
  </si>
  <si>
    <t>Catullus, Tibullus, Propertius, Cor. Galli fragmenta : Omnia ex vetust. exempl. multò, quàm anteà emendatiora, additis annot.</t>
  </si>
  <si>
    <t>Halbledereinband</t>
  </si>
  <si>
    <t>L-1501-315295473</t>
  </si>
  <si>
    <t>1066835527</t>
  </si>
  <si>
    <t>III 3, 1</t>
  </si>
  <si>
    <t xml:space="preserve">Das @buch jst genant|| Die Hymelstraß.|| : </t>
  </si>
  <si>
    <t>stark brüchiges Einbandmaterial, fester Rücken mit Schmuckprägung</t>
  </si>
  <si>
    <t>f</t>
  </si>
  <si>
    <t xml:space="preserve">
mit Schutzumschlag</t>
  </si>
  <si>
    <t>Umschlag (Leder pudert)</t>
  </si>
  <si>
    <t>L-1508-315494670</t>
  </si>
  <si>
    <t>1066964440</t>
  </si>
  <si>
    <t>III 3, 2</t>
  </si>
  <si>
    <t>Jch heyss ain b#[ue]chlein der iu||den peicht.|| Jn allen orten vindt man mich leicht|| Vil newer meren seind mir wol bekant|| Jch will mich prayten i</t>
  </si>
  <si>
    <t>hohler Rücken</t>
  </si>
  <si>
    <t>v</t>
  </si>
  <si>
    <t>Gelenk überfangen mit JP</t>
  </si>
  <si>
    <t>L-1520-315220031</t>
  </si>
  <si>
    <t>106680012X</t>
  </si>
  <si>
    <t>III 3, 2 a</t>
  </si>
  <si>
    <t xml:space="preserve">Die @siben Buszpsalm mitt deütscher auszlegung nach dem schrifftlichen synne ... gründtlich gerichtet Doc Martini Luther ... : </t>
  </si>
  <si>
    <t>hohler Rücken, Schrift bis in den Falz</t>
  </si>
  <si>
    <t>L-1508-315469293</t>
  </si>
  <si>
    <t>1066941645</t>
  </si>
  <si>
    <t>III 3, 3</t>
  </si>
  <si>
    <t xml:space="preserve">Predigen Teütsch:|| vnd vil gutter leeren Des hoch||geleerten herrn Johañ von Kai||sersperg.in #/||d götliche geschrifft|| doctor vnd prediger zu dem </t>
  </si>
  <si>
    <t>L-1508-31549204X</t>
  </si>
  <si>
    <t>1066961646</t>
  </si>
  <si>
    <t>III 3, 4</t>
  </si>
  <si>
    <t>Sermones: des hoch||geleerten in gnaden erleüchten do||ctoris Johannis Thaulerii sannt|| dominici ordens die da weißend|| auff den n#[ae]chesten waren</t>
  </si>
  <si>
    <t>L-1512-315492252</t>
  </si>
  <si>
    <t>1066961859</t>
  </si>
  <si>
    <t>III 3, 5</t>
  </si>
  <si>
    <t>Diss buch das da|| gedicht hat der erleücht vater Amandus/ genañt|| Seüß. begreift in jm vil guter gaistlicher leeren|| wie der mensch/ so er sich gew</t>
  </si>
  <si>
    <t>Halbledereinband, Schließen, erhabene Buchbeschläge</t>
  </si>
  <si>
    <t>welliger Buchblock, hohler Rücken</t>
  </si>
  <si>
    <t>L-1510-315494212</t>
  </si>
  <si>
    <t>1066964009</t>
  </si>
  <si>
    <t>III 3, 6</t>
  </si>
  <si>
    <t xml:space="preserve">Obsequiale siue benedi||ctionale scdm ecclesi-||am Constantieñ.||[Hrsg. v. (Hugone de Landenberg ...||)] : </t>
  </si>
  <si>
    <t xml:space="preserve">Papierumschlag </t>
  </si>
  <si>
    <t>Unklar</t>
  </si>
  <si>
    <t>L-1513-315493801</t>
  </si>
  <si>
    <t>1066963568</t>
  </si>
  <si>
    <t>III 3, 7</t>
  </si>
  <si>
    <t>L-1515-315487372</t>
  </si>
  <si>
    <t>106695674X</t>
  </si>
  <si>
    <t>III 3, 8</t>
  </si>
  <si>
    <t>IORNAN||DES DE REBVS|| GOTHORVM. PAV||LVS DIACONVS|| FOROIVLIEN=||SIS DE GESTIS|| LANGOBARDO=||RVM|| [Hrsg.v.(CHVONRADI PEVTINGER ...|| &amp; Ioannis Stab</t>
  </si>
  <si>
    <t>Gewebeeinband, Schließen, erhabene Buchbeschläge</t>
  </si>
  <si>
    <t>L-1519-170697215</t>
  </si>
  <si>
    <t>1000480518</t>
  </si>
  <si>
    <t>III 3, 8 a</t>
  </si>
  <si>
    <t>Opusculum|| DE DIGNITATE|| SACERDOTVM IN||COMPARABILI, AD AMPLIS-||SIMVM ANTISTITEM. D. HV||GONEM DE LANDENBERG|| CONSTANTIEN. ECCLE||SIE EPISCOPVM VR</t>
  </si>
  <si>
    <t>L-1517-315329688</t>
  </si>
  <si>
    <t>1066871930</t>
  </si>
  <si>
    <t>III 3, 9</t>
  </si>
  <si>
    <t xml:space="preserve">Ob ainem sey zu ne=||men ain Eelich weib.|| ALBRECHT VON EYBE DOCTOR|| : </t>
  </si>
  <si>
    <t>hohler Rücken, stark brüchiges Einbandmaterial</t>
  </si>
  <si>
    <t>L-1518-315487518</t>
  </si>
  <si>
    <t>106695691X</t>
  </si>
  <si>
    <t>III 3, 10</t>
  </si>
  <si>
    <t>Ausslegung|| des hundert vnd neünd//ten psalmen. Dixit do||minus domino meo/|| Doctor Martini lu||ther Augustiner zu|| Wittenberg/ zu|| herr Hierony=|</t>
  </si>
  <si>
    <t>Archivkarton</t>
  </si>
  <si>
    <t>L-1522-315488867</t>
  </si>
  <si>
    <t>106695822X</t>
  </si>
  <si>
    <t>III 3, 10 a</t>
  </si>
  <si>
    <t>Von dem touben vnd|| Stu~men Marci. vij. am zwelff||ten Sontag nach dem ach=||ten der Pfingsten/ durch|| D. Martinu Luther|| zu Wittenberg ge=||predig</t>
  </si>
  <si>
    <t>Papier- oder Pappeinband</t>
  </si>
  <si>
    <t>L-1519-315489030</t>
  </si>
  <si>
    <t>1066958416</t>
  </si>
  <si>
    <t>III 3, 10 b</t>
  </si>
  <si>
    <t xml:space="preserve">Ain @Sermon von|| der Beraytung zum sterben|| Doctor Martini Luthers|| Augustiner #[et]c.|| : </t>
  </si>
  <si>
    <t>Halbgewebeband</t>
  </si>
  <si>
    <t>L-1522-315492856</t>
  </si>
  <si>
    <t>1066962499</t>
  </si>
  <si>
    <t>III 3, 10 c</t>
  </si>
  <si>
    <t>Ain @trostliche versten||dige leer über das wort sancti|| Pauli. Der mensch soll|| sich selbs probieren/|| vñ also von dem|| brot essen/ vñ|| von dem|</t>
  </si>
  <si>
    <t>L-1525-164450874</t>
  </si>
  <si>
    <t>997626313</t>
  </si>
  <si>
    <t>III 3, 10 d</t>
  </si>
  <si>
    <t>Annotations||[in acta apostolorum, dt.] oder Anzaygungen, ||Justi Jone zu Wittemberg, vber das||Buch der Aposteln Geschicht|| newlich verteütscht||M.D</t>
  </si>
  <si>
    <t>L-1522-154280380</t>
  </si>
  <si>
    <t>99400026X</t>
  </si>
  <si>
    <t>III 3, 12</t>
  </si>
  <si>
    <t>Ain @andechtiger vn̄ zu besse||rung súndiges lebens|| nützlicher|| Tractat|| des hayligen vnd Christli||chen lerers Aurelij Augustini|| von der üppigk</t>
  </si>
  <si>
    <t>stark deformiertes Objekt</t>
  </si>
  <si>
    <t>L-1521-170695743</t>
  </si>
  <si>
    <t>1000478475</t>
  </si>
  <si>
    <t>III 3, 12 a</t>
  </si>
  <si>
    <t>Argvmentvm libelli.|| Symon Hessvs [d.i. Urbanus Rhegius] Lvthero osten||dit cavssas, qvare Lvterana|| oposcvla a Coloniensibvs|| et Lovaniensib. sint</t>
  </si>
  <si>
    <t>L-1524-315490551</t>
  </si>
  <si>
    <t>106696002X</t>
  </si>
  <si>
    <t>III 3, 12 b</t>
  </si>
  <si>
    <t xml:space="preserve">Verzaichnug vnd|| kurtzliche antzaigung|| in d#[m] Euangeliu|| Joan. Philippi|| Melanch=||thons.|| : </t>
  </si>
  <si>
    <t>Pergamentband, Schließen, erhabene Buchbeschläge</t>
  </si>
  <si>
    <t>L-1522-31532936X</t>
  </si>
  <si>
    <t>1066871574</t>
  </si>
  <si>
    <t>III 3, 13</t>
  </si>
  <si>
    <t>Des @hochgelerten|| herñ Doctor Erasmi von|| Roterdam schöne vñ|| clare außlegung|| über die Epi=||stel Pauli|| zů Tito.|| Durch Vrbanum Regiū der|| h</t>
  </si>
  <si>
    <t>L-1523-153700335</t>
  </si>
  <si>
    <t>993849784</t>
  </si>
  <si>
    <t>III 3, 13 a</t>
  </si>
  <si>
    <t xml:space="preserve">Ain @Sermon von d'schul Christi,|| darinn ain yetlicher leeriunnger lernet wa|| es jm faelet an dem weg der saeligkait, vnd|| wie wir noch so gar nit </t>
  </si>
  <si>
    <t>L-1523-315299215</t>
  </si>
  <si>
    <t>1066839182</t>
  </si>
  <si>
    <t>III 3, 14</t>
  </si>
  <si>
    <t xml:space="preserve">Psalter des küniglichen prophetten dauids geteutscht nach warhafftigem text der hebraischen zungen. : </t>
  </si>
  <si>
    <t>Halbpergamentband, Schließen, erhabene Buchbeschläge</t>
  </si>
  <si>
    <t>L-1522-167111574</t>
  </si>
  <si>
    <t>998888257</t>
  </si>
  <si>
    <t>III 3, 14 b</t>
  </si>
  <si>
    <t>Von bayder gestalt des Sacra=||ments zunemen : vnd an=||der neüeru[n]g</t>
  </si>
  <si>
    <t>Ja</t>
  </si>
  <si>
    <t>L-1514-315465468</t>
  </si>
  <si>
    <t>1066937621</t>
  </si>
  <si>
    <t>III 3, 15</t>
  </si>
  <si>
    <t xml:space="preserve">KAlendarius teütsch Mai=||ster Joannis küngspergers|| ... : </t>
  </si>
  <si>
    <t>L-1524-315493577</t>
  </si>
  <si>
    <t>1066963312</t>
  </si>
  <si>
    <t>III 3, 16</t>
  </si>
  <si>
    <t xml:space="preserve">Dye @Euangelisch hystori : </t>
  </si>
  <si>
    <t>L-1525-170699919</t>
  </si>
  <si>
    <t>1000482995</t>
  </si>
  <si>
    <t>III 3, 16 a</t>
  </si>
  <si>
    <t xml:space="preserve">Ain @Sermon vom eelichen|| stand, wienutz, not, gut|| vnd frey er jederman|| sey : </t>
  </si>
  <si>
    <t>L-1526-153949872</t>
  </si>
  <si>
    <t>99388654X</t>
  </si>
  <si>
    <t>III 3, 16 b</t>
  </si>
  <si>
    <t>Der @Neüntzigeste||Psalmus|| Wie ain|| trost|| hilff|| oder sterck|| sey|| dem teüffel vn̄ aller får|| gaist||lich vn̄ leyplich|| z°u wider||st°on|| d</t>
  </si>
  <si>
    <t>Qd</t>
  </si>
  <si>
    <t>L-9999-414174909</t>
  </si>
  <si>
    <t>1137896108</t>
  </si>
  <si>
    <t>III 3, 17</t>
  </si>
  <si>
    <t xml:space="preserve">Sammelband mit "Füllmaterial" : </t>
  </si>
  <si>
    <t>500,00 EUR</t>
  </si>
  <si>
    <t>G</t>
  </si>
  <si>
    <t>Hülse, ggf.! Gelenk mit JP überfangen</t>
  </si>
  <si>
    <t>L-9999-414987020</t>
  </si>
  <si>
    <t>1138380563</t>
  </si>
  <si>
    <t>III 3, 17 a</t>
  </si>
  <si>
    <t>L-1524-167207652</t>
  </si>
  <si>
    <t>998923478</t>
  </si>
  <si>
    <t>III 3, 17b</t>
  </si>
  <si>
    <t>III 3, 17 b</t>
  </si>
  <si>
    <t xml:space="preserve">Ain @Sermon von|| der frucht vnnd nutz=||barkait des hay=||ligen Sacra||ments.|| : </t>
  </si>
  <si>
    <t>L-9999-414378776</t>
  </si>
  <si>
    <t>1138061182</t>
  </si>
  <si>
    <t>III 3, 18</t>
  </si>
  <si>
    <t xml:space="preserve">Sammelband : </t>
  </si>
  <si>
    <t>2400,00 EUR</t>
  </si>
  <si>
    <t>Gelenk mit JP unterlegen</t>
  </si>
  <si>
    <t>L-1525-178547425</t>
  </si>
  <si>
    <t>1002988691</t>
  </si>
  <si>
    <t>III 3, 18a</t>
  </si>
  <si>
    <t>III 3, 18 a</t>
  </si>
  <si>
    <t>Vonn entlichenn Klagenn, die der|| Allmechtig Got thut durch sey||ne knecht die weissagenn yetz|| in disen zeytten wol zu|| behertzigenn 2c:|| Ysaias.</t>
  </si>
  <si>
    <t>Broschur, Halbpergamentband</t>
  </si>
  <si>
    <t>L-1531-315469331</t>
  </si>
  <si>
    <t>1066941688</t>
  </si>
  <si>
    <t>III 3, 19</t>
  </si>
  <si>
    <t>L-1535-315464844</t>
  </si>
  <si>
    <t>1066937036</t>
  </si>
  <si>
    <t>III 3, 20</t>
  </si>
  <si>
    <t>SPiegel der waren|| Rhetoric/ auß Marco Tullio Cice=||rone: vnd andern geteütscht/ Mit jren|| glidern kluger reden/ Sandtbrieffen vnd Formen mancher C</t>
  </si>
  <si>
    <t>Papier- oder Pappeinband, Schließen, erhabene Buchbeschläge</t>
  </si>
  <si>
    <t>Schaden stabil</t>
  </si>
  <si>
    <t>L-1535-315470097</t>
  </si>
  <si>
    <t>106694248X</t>
  </si>
  <si>
    <t>III 3, 21</t>
  </si>
  <si>
    <t>HErodotus der aller|| hochber#[ue]mptest Griechische geschicht=||schreyber/ von dem Persier/ vnd vilen andern krie=||gen vnd geschichten/ #[et]c. Durc</t>
  </si>
  <si>
    <t>v.a. Rücken am Kopf, ggf. Ecke hinten unten; Rest ist stabil genug</t>
  </si>
  <si>
    <t>L-1535-315317280</t>
  </si>
  <si>
    <t>1066858500</t>
  </si>
  <si>
    <t>III 3, 22</t>
  </si>
  <si>
    <t xml:space="preserve">Officia M.T.C.|| AJn Bůch|| So Marcus Tullius|| Cicero ...|| inn Latein geschriben|| Wölchs : </t>
  </si>
  <si>
    <t>HL</t>
  </si>
  <si>
    <t>L-1540-31549347X</t>
  </si>
  <si>
    <t>1066963193</t>
  </si>
  <si>
    <t>III 3, 23</t>
  </si>
  <si>
    <t>Des @Hochgel#[oe]rtestën|| philosophen/ warhafftigsten Geschicht||schreibers/ vnd allertheürsten Hauptmans Xenophontis Com=||mentarien vnd beschreibun</t>
  </si>
  <si>
    <t>L-1522-315494719</t>
  </si>
  <si>
    <t>1066964483</t>
  </si>
  <si>
    <t>III 3, 23 a</t>
  </si>
  <si>
    <t>Ein @Sermon von|| der trostung des heyligengeists yn|| verfolgung. vber das Euangelion|| Wann der heylige geist der troster|| kompt. Johan. xv.|| D. M</t>
  </si>
  <si>
    <t>Broschur</t>
  </si>
  <si>
    <t>L-1544-178431168</t>
  </si>
  <si>
    <t>1002922046</t>
  </si>
  <si>
    <t>III 3, 23b</t>
  </si>
  <si>
    <t>III 3, 23 b</t>
  </si>
  <si>
    <t>IOANNIS LODOVICI VIVIS|| Von gebirlichē|| Thun vnd Lassen aines Ehemanns|| : ain buch, Versteütscht vnd erklärt</t>
  </si>
  <si>
    <t>L-1537-315486937</t>
  </si>
  <si>
    <t>1066956219</t>
  </si>
  <si>
    <t>III 3, 24</t>
  </si>
  <si>
    <t>Odyssea,|| Das seind die aller zierlichsten vnd|| lustigsten vier vnd zwantzig b#[ue]cher des eltisten kunst-||reichesten Vatters aller Poeten Homeri/</t>
  </si>
  <si>
    <t>Nur Titelschild und Gelenk vorn unten überfangen mit JP, Rest belassen (ist stabil genug)</t>
  </si>
  <si>
    <t>L-1522-315469528</t>
  </si>
  <si>
    <t>1066941874</t>
  </si>
  <si>
    <t>III 3, 25</t>
  </si>
  <si>
    <t xml:space="preserve">Diß ist ein iemerliche|| clag vber die Todten fresser:|| : </t>
  </si>
  <si>
    <t>L-1525-315493941</t>
  </si>
  <si>
    <t>1066963703</t>
  </si>
  <si>
    <t>III 3, 26</t>
  </si>
  <si>
    <t xml:space="preserve">Dyse @Practica vnnd : </t>
  </si>
  <si>
    <t>L-1522-31548828X</t>
  </si>
  <si>
    <t>1066957665</t>
  </si>
  <si>
    <t>III 3, 27</t>
  </si>
  <si>
    <t xml:space="preserve">Ain. Sermon.|| Secundu Lucam am. 16.|| võ dem verdampten reyche man/ Vñ|| des selig? armen Lazaro Kürtzlich|| geprediget/ V. D. Mar. Lu. Zu|| Witten. </t>
  </si>
  <si>
    <t>Broschur, Papier- oder Pappeinband</t>
  </si>
  <si>
    <t>L-1523-170696316</t>
  </si>
  <si>
    <t>1000479455</t>
  </si>
  <si>
    <t>III 3, 27 a</t>
  </si>
  <si>
    <t>Von {Rew,|| Bericht|| Büß||} Beschluß : Von ReuW|| Bericht ; Büß. kurtzer|| beschluß auß gegrünter schrift|| nit auß mēschenleer ; Durch|| Doc. Vrbanu</t>
  </si>
  <si>
    <t>L-1523-175552843</t>
  </si>
  <si>
    <t>1001776801</t>
  </si>
  <si>
    <t>III 3, 27 b</t>
  </si>
  <si>
    <t>Ain. @Sermon|| Kutzs [!] begryffs. jx. hayl=||samer leer inhalten auß Paulo|| Ad Ro. j. Ge=zogn̄ durch Doct.|| Johan Speyser vō Vorch||aim zu Augspurg</t>
  </si>
  <si>
    <t>L-1524-162673280</t>
  </si>
  <si>
    <t>996725954</t>
  </si>
  <si>
    <t>III 3, 27 c</t>
  </si>
  <si>
    <t>Ein @kurtzer begrif|| von gutten werchenn, dye|| gott behagen, vn der welt|| ain spot seynd, yetz ein gro||se klag, wye nyemat mer|| guts thu, vnd all</t>
  </si>
  <si>
    <t>L-1523-15411331X</t>
  </si>
  <si>
    <t>993973221</t>
  </si>
  <si>
    <t>III 3, 27d</t>
  </si>
  <si>
    <t>III 3, 27 d</t>
  </si>
  <si>
    <t>Arttickel So|| Die zwen pündt|| Des gleychenn|| Burgermayster Radt vnnd ge||main der Stat Chur|| mitt sampt||den vier derffernn|| vnnd der her-||schaf</t>
  </si>
  <si>
    <t>Aa</t>
  </si>
  <si>
    <t>L-2007-325402</t>
  </si>
  <si>
    <t>986063355</t>
  </si>
  <si>
    <t>III 3, 27 e</t>
  </si>
  <si>
    <t xml:space="preserve">Durch betrachtung vn Bekärung der bößen gebreych in schweren sünden, ist Gemacht Dyser Spyegel der Blinden : </t>
  </si>
  <si>
    <t>gefaltete Blätter</t>
  </si>
  <si>
    <t>Mappe</t>
  </si>
  <si>
    <t>L-1523-165117486</t>
  </si>
  <si>
    <t>997856157</t>
  </si>
  <si>
    <t>III 3, 28</t>
  </si>
  <si>
    <t>Ein @Sermon [Lucas 21, 33] von Brü=||der Hainrich von Kettenbach|| Barfürssers, wider die falschen Aposteln, die da|| haben geprediget, die Prelaten m</t>
  </si>
  <si>
    <t>L-1524-176403655</t>
  </si>
  <si>
    <t>1002053153</t>
  </si>
  <si>
    <t>III 3, 29</t>
  </si>
  <si>
    <t xml:space="preserve">Ain @New wunderbarlich Beycht||beuchlein in dem die warhafftig gerecht|| Beycht vnd beußfertigkait Christen=||lichen geleert vnd angezaygt wirt,|| vñ </t>
  </si>
  <si>
    <t>L-1525-167684566</t>
  </si>
  <si>
    <t>999177729</t>
  </si>
  <si>
    <t>III 3, 30</t>
  </si>
  <si>
    <t>Offenbarung der allrheim||lichisten heymlicheit, der ytzigen Baals priester,|| durch wölche, die welt lange zyt geblendt|| vn[d] das lyden Christi jhä</t>
  </si>
  <si>
    <t>L-1527-170103552</t>
  </si>
  <si>
    <t>1000152936</t>
  </si>
  <si>
    <t>III 3, 31</t>
  </si>
  <si>
    <t>Ein @anzaigen auß lautrer ge||gründter ge=schrifft, des Göttlichen, Gaystlichen, vnnd|| Weltlichen gewalts, Auch der erwölung der diener, oder|| Richt</t>
  </si>
  <si>
    <t>L-9999-154449180</t>
  </si>
  <si>
    <t>994061757</t>
  </si>
  <si>
    <t>III 3, 32</t>
  </si>
  <si>
    <t>Expositio misteriorum miss[a]e|| christi passione deuotissime figurantiu[m] .metrice|| atq[ue] prosayce posita : Et verus modus rite cele=||brandi cun</t>
  </si>
  <si>
    <t>L-1546-167648829</t>
  </si>
  <si>
    <t>999175432</t>
  </si>
  <si>
    <t>III 3, 33</t>
  </si>
  <si>
    <t>Vrsach|| Warumb die Stende,|| so der Augspurgischen Confession an||hangen, Christliche leer erstlich angenom||men, vnnd endtlich dabey zuuer||harren g</t>
  </si>
  <si>
    <t>L-1522-165117257</t>
  </si>
  <si>
    <t>997855789</t>
  </si>
  <si>
    <t>III 3, 34</t>
  </si>
  <si>
    <t>Ain @nutzliche Pre||dig Zu allen Cristen : Vo[?] dem ||fasten, vn[?] feyren [Exodus 20,12] geprediget|| worden ; von bruder Heinrich ketten||bach Barf</t>
  </si>
  <si>
    <t>L-2009-322630</t>
  </si>
  <si>
    <t>998431591</t>
  </si>
  <si>
    <t>III 3, 35</t>
  </si>
  <si>
    <t>Paradoxa : das seind wunderbarliche vnd in dem gemainen wone oder verstand vnglaubliche sprüch</t>
  </si>
  <si>
    <t>L-2012-301916</t>
  </si>
  <si>
    <t>1013629493</t>
  </si>
  <si>
    <t>III 3, 36</t>
  </si>
  <si>
    <t>BJbel|| Alt vnd new Te=||stament, nach dem Text in|| der hailigen kirchen gebraucht,|| durch doctor Johañ Ecken,|| mit fleiß, auf hohteutsch,|| verdol</t>
  </si>
  <si>
    <t>Schrift bis in den Falz</t>
  </si>
  <si>
    <t xml:space="preserve">
Bundsteg = 0, ist restauriert</t>
  </si>
  <si>
    <t>Box (sperrt)</t>
  </si>
  <si>
    <t>L-1556-31532421X</t>
  </si>
  <si>
    <t>1066865930</t>
  </si>
  <si>
    <t>III 4, 1</t>
  </si>
  <si>
    <t xml:space="preserve">Epitaphia, Epi||grammata &amp; Ele-||giae aliquot doctorum &amp; illustrium|| uiroru, in funere ...|| Principis ac Domini, D.|| PHILIBERTI A RYE, Epi-||scopi </t>
  </si>
  <si>
    <t>Broschur, Halbgewebeband</t>
  </si>
  <si>
    <t>L-1501-315306459</t>
  </si>
  <si>
    <t>1066847150</t>
  </si>
  <si>
    <t>III 5, 1</t>
  </si>
  <si>
    <t xml:space="preserve">(Liber horarũ canonicarũ: sm nouã|| imperialis ecc#[l]ie Bambergeñ. rubricã||) [Hrsg. v. (Vitus ... Episcopus Babenbergẽsis ...||)] : </t>
  </si>
  <si>
    <t>bis 42 cm</t>
  </si>
  <si>
    <t>B/I/R</t>
  </si>
  <si>
    <t>L-1512-315492287</t>
  </si>
  <si>
    <t>1066961883</t>
  </si>
  <si>
    <t>III 5, 2</t>
  </si>
  <si>
    <t>Statuta Diocesana siue Synodalia Reuerendissimi|| in Christo patris.Jllustris#[que] principis et dñi.domini|| Johãnis.dei et Ap#[l]ice sedis gratia Ad</t>
  </si>
  <si>
    <t>L-1507-315492791</t>
  </si>
  <si>
    <t>106696243X</t>
  </si>
  <si>
    <t>III 6, 1</t>
  </si>
  <si>
    <t xml:space="preserve">Vite ducẽto#[rum] et triginta summo#[rum]|| pontificũ: a beato Petro apostolo|| vs#[que] ad Juliũ secundũ modernum|| Pontificem.|| : </t>
  </si>
  <si>
    <t>Gewebeeinband</t>
  </si>
  <si>
    <t>L-1510-315218819</t>
  </si>
  <si>
    <t>1066798702</t>
  </si>
  <si>
    <t>III 6, 2</t>
  </si>
  <si>
    <t xml:space="preserve">Gabrielis Biel ... Sacri canonis Missae tam mystica quam litteralis expositio : </t>
  </si>
  <si>
    <t>Bünde verlängern, Gelenk mit JP schließen, loses Leder zurückkleben</t>
  </si>
  <si>
    <t>L-1510-315490659</t>
  </si>
  <si>
    <t>1066960135</t>
  </si>
  <si>
    <t>III 6, 3</t>
  </si>
  <si>
    <t>DA</t>
  </si>
  <si>
    <t>L-1507-315329408</t>
  </si>
  <si>
    <t>1066871604</t>
  </si>
  <si>
    <t>III 6, 4</t>
  </si>
  <si>
    <t xml:space="preserve">Kronica von der|| loblichen Eydt||gnoschaft Jr har||kōmen vnd sust : </t>
  </si>
  <si>
    <t>? EUR</t>
  </si>
  <si>
    <t>Gewebe über den Deckeln nur an notwendigen Stellen zurückkleben, Rest belassen  (ist stabil)</t>
  </si>
  <si>
    <t>L-1509-31549011X</t>
  </si>
  <si>
    <t>1066959587</t>
  </si>
  <si>
    <t>III 6, 5</t>
  </si>
  <si>
    <t>Doctor Brants Narrenschiff|| ... Nüt on vrsach|| Uor hab ichs narren schiff gedicht|| Mit grosser arbeyt vff geriecht|| Und das mit doren also geladen</t>
  </si>
  <si>
    <t>fester Rücken mit Schmuckprägung, stark brüchiges Einbandmaterial</t>
  </si>
  <si>
    <t>Ergänzung/Stabilisierung mit JP</t>
  </si>
  <si>
    <t>L-1516-315490861</t>
  </si>
  <si>
    <t>1066960372</t>
  </si>
  <si>
    <t>III 6, 6</t>
  </si>
  <si>
    <t>Das @Plenarium|| Oder Ewangely buoch: Sum||mer vñ Winterteyl/ durch das gantz iar in ein? ied? Son=||tag/ von der zeyt/ vnd von d? Heiligen. Die orden</t>
  </si>
  <si>
    <t>fester Rücken mit Schmuckprägung, welliger Buchblock, Schrift bis in den Falz</t>
  </si>
  <si>
    <t>L-1516-315489715</t>
  </si>
  <si>
    <t>1066959099</t>
  </si>
  <si>
    <t>III 6, 6 a</t>
  </si>
  <si>
    <t>Petri Lombardi|| Parrhysiensis ecclesie quon/||dam antistitis: viri diuinaru reru eru/||ditissimi: Sententiarum Textus: per capitula ...|| recenter di</t>
  </si>
  <si>
    <t>L-1522-177748214</t>
  </si>
  <si>
    <t>1002641578</t>
  </si>
  <si>
    <t>III 6, 6d</t>
  </si>
  <si>
    <t>III 6, 6 d</t>
  </si>
  <si>
    <t xml:space="preserve">[Das @Wolffgesang|| Eyn ander hertz/ ein ander kleid/ Tragẽ falsche w#[oe]lff in d ̀heyd|| ...|| : </t>
  </si>
  <si>
    <t>L-1523-315488999</t>
  </si>
  <si>
    <t>1066958378</t>
  </si>
  <si>
    <t>III 6, 7</t>
  </si>
  <si>
    <t xml:space="preserve">Ein @nutzlich vnd|| fast tr#[oe]stlich predig/ o#///d vn||derrichtug/ wie sich ein|| Christen mensch mit freud? bereyten sol|| zu sterben/ Beschriben </t>
  </si>
  <si>
    <t>L-9999-414282183</t>
  </si>
  <si>
    <t>1137966890</t>
  </si>
  <si>
    <t>III 6, 8</t>
  </si>
  <si>
    <t>L-1532-315491809</t>
  </si>
  <si>
    <t>1066961395</t>
  </si>
  <si>
    <t>III 6, 9</t>
  </si>
  <si>
    <t>STEPHANI NI-||GRI QVAE QVIDEM PRAESTARE SVI|| NOMINIS AC STVDIOSIS VTILIA NOVE=||rimus monimenta, nempe translationes:|| Iconum Philostrati:|| Aureoru</t>
  </si>
  <si>
    <t>Gelenk mit JP unterlegen/überfangen</t>
  </si>
  <si>
    <t>L-1534-315220279</t>
  </si>
  <si>
    <t>1066800375</t>
  </si>
  <si>
    <t>III 6, 10</t>
  </si>
  <si>
    <t xml:space="preserve">Rabani Mavri Mogvntinensis Archiepiscopi Commentaria in Hieremiam Prophetam... : </t>
  </si>
  <si>
    <t>Hülse, ggf. Gelenk mit JP überfangen</t>
  </si>
  <si>
    <t>L-9999-414749553</t>
  </si>
  <si>
    <t>1138245585</t>
  </si>
  <si>
    <t>III 6, 11</t>
  </si>
  <si>
    <t xml:space="preserve">Sammelband mit zwei Werken von Publius Ovidius Naso : </t>
  </si>
  <si>
    <t>L-1538-169844722</t>
  </si>
  <si>
    <t>1000007804</t>
  </si>
  <si>
    <t>III 6, 11 a</t>
  </si>
  <si>
    <t>Philonis|| Ivdaei Alexandrini, (Cvivs Do||ctrinae &amp; orationis sublimitatem grauissi||mi autores etiam ipsi diuino Platoni|| aequaru[n]t) omnes quae ap</t>
  </si>
  <si>
    <t>300,00 EUR</t>
  </si>
  <si>
    <t>Afl</t>
  </si>
  <si>
    <t>L-1555-163773319</t>
  </si>
  <si>
    <t>997393971</t>
  </si>
  <si>
    <t>III 6, 11 b</t>
  </si>
  <si>
    <t>Opera Q. Horatii Flacci Venusini, Gram[m]aticorum antiquiss[imorum] Helenii Acronis, et Porphirionis commentariis illustrata, admixtis interdum C. Aem</t>
  </si>
  <si>
    <t xml:space="preserve">1 : </t>
  </si>
  <si>
    <t>250,00 EUR</t>
  </si>
  <si>
    <t>L-1555-163773475</t>
  </si>
  <si>
    <t>997394153</t>
  </si>
  <si>
    <t xml:space="preserve">[T. 2] : </t>
  </si>
  <si>
    <t>L-1557-167183141</t>
  </si>
  <si>
    <t>99889818X</t>
  </si>
  <si>
    <t>III 6, 11 c</t>
  </si>
  <si>
    <t>Prodigi|| orvm ac|| ostentorvm|| chronicon,|| Quae praeter naturae ordinem, motum, et operationem et in svperioribus et his inferioribus mundi regioni</t>
  </si>
  <si>
    <t>L-1516-163533857</t>
  </si>
  <si>
    <t>99723816X</t>
  </si>
  <si>
    <t>III 6, 12</t>
  </si>
  <si>
    <t>III 6, 12 - 1</t>
  </si>
  <si>
    <t>[Omnium operum Divi Eusebii Hieronymi ... tomus ... una cum argumentis et scholiis Des[iderii] Erasmi Roterodami]</t>
  </si>
  <si>
    <t>6. : Sextus t. ... Commentarios in duodecim prophetas, quos minores vocant, iuxta utramque transl. cont.</t>
  </si>
  <si>
    <t>x sauer</t>
  </si>
  <si>
    <t>L-1516-163534160</t>
  </si>
  <si>
    <t>997238364</t>
  </si>
  <si>
    <t>III 6, 12 - 2</t>
  </si>
  <si>
    <t>8. : Octavus t. Commentarios in Psalterium habet</t>
  </si>
  <si>
    <t>L-9999-414175085</t>
  </si>
  <si>
    <t>1137896493</t>
  </si>
  <si>
    <t>III 6, 13</t>
  </si>
  <si>
    <t>L-1520-315328991</t>
  </si>
  <si>
    <t>1066871159</t>
  </si>
  <si>
    <t>III 6, 14</t>
  </si>
  <si>
    <t xml:space="preserve">MARTINI|| DORPII SACRAE THEO||logiae professoris Oratio in|| prælectionem episto-||larum diui Pauli.|| ... Epistola ERASMI ad Dorpiū.|| : </t>
  </si>
  <si>
    <t>L-1522-176986065</t>
  </si>
  <si>
    <t>1002284589</t>
  </si>
  <si>
    <t>III 6, 14a</t>
  </si>
  <si>
    <t>III 6, 14 a</t>
  </si>
  <si>
    <t>Novum Testamentum omne [griech. u. lat.], tertio iam ac diligentius ab Erasmo Roterodamo recognitum ... una cum Annotationibus recognitis, ac magna ac</t>
  </si>
  <si>
    <t xml:space="preserve">[1.] : </t>
  </si>
  <si>
    <t>L-1517-170718212</t>
  </si>
  <si>
    <t>1000490092</t>
  </si>
  <si>
    <t>III 6, 14b</t>
  </si>
  <si>
    <t>III 6, 14 b</t>
  </si>
  <si>
    <t xml:space="preserve">Michae-||lis Ritii Neapo||litani|| De regibus Francoru lib. III.|| De regibus Hispaniae lib. III.|| De regibus Hierosolymo-||rum lib. I.|| De regibus </t>
  </si>
  <si>
    <t>L-1522-167627902</t>
  </si>
  <si>
    <t>999154273</t>
  </si>
  <si>
    <t>III 6, 14c</t>
  </si>
  <si>
    <t>III 6, 14 c</t>
  </si>
  <si>
    <t>IO. FROB. PIO LE||CTORI S. D.|| Thesaurum haudquaq uulgarem tibi lector exhibe||mus hoc volumine, Paraphrasin in Euangelium Mat||thaei nuc primu natam</t>
  </si>
  <si>
    <t>L-1520-315323825</t>
  </si>
  <si>
    <t>106686554X</t>
  </si>
  <si>
    <t>III 6, 15</t>
  </si>
  <si>
    <t xml:space="preserve">OPERA DIVI CAE||CILII CYPRIANI EPISCOPI CARTHAGI-||nensis, ab innumeris mendis repurgata...|| Atqz hæc omnia no||bis præstitit ingen||ti labore suo|| </t>
  </si>
  <si>
    <t>L-1533-176474358</t>
  </si>
  <si>
    <t>1002109876</t>
  </si>
  <si>
    <t>III 6, 15b</t>
  </si>
  <si>
    <t>III 6, 15 b</t>
  </si>
  <si>
    <t xml:space="preserve">Omnia qvam antehac emendatiora annotationes Des[iderii] Erasmi [Roterodami] et [Iohannis Baptistae] Egnatij cognitu dignae : </t>
  </si>
  <si>
    <t>x? 45</t>
  </si>
  <si>
    <t xml:space="preserve">
obere Schließe steif</t>
  </si>
  <si>
    <t>L-1533-154002852</t>
  </si>
  <si>
    <t>993914608</t>
  </si>
  <si>
    <t>III 6, 15 b (angebunden?)</t>
  </si>
  <si>
    <t>L-1533-175496242</t>
  </si>
  <si>
    <t>1001756231</t>
  </si>
  <si>
    <t>L-9999-155943421</t>
  </si>
  <si>
    <t>994442157</t>
  </si>
  <si>
    <t>L-1535-169968472</t>
  </si>
  <si>
    <t>1000069990</t>
  </si>
  <si>
    <t>III 6, 15 c</t>
  </si>
  <si>
    <t>C[aii] Plinii Secvndi|| Historia mvndi, denvo emendata (Historiae naturalis libri XXXVII),|| non pavcis locis ex diligenti ad pervetvstat et|| optimae</t>
  </si>
  <si>
    <t>Halbgewebe mit Papier</t>
  </si>
  <si>
    <t>L-1551-159354684</t>
  </si>
  <si>
    <t>995369925</t>
  </si>
  <si>
    <t>III 6, 15 d</t>
  </si>
  <si>
    <t xml:space="preserve">MORIAE ENCOMI||VM, ID EST, STVLTICIAE LAV||datio, ludicra declamatione tractata|| per DES[iderium] ERASMVM Rote||rodamum, cum quibusdam alijs : </t>
  </si>
  <si>
    <t>L-1551-175065330</t>
  </si>
  <si>
    <t>100152828X</t>
  </si>
  <si>
    <t>L-1551-176762302</t>
  </si>
  <si>
    <t>1002180104</t>
  </si>
  <si>
    <t>L-1559-163620636</t>
  </si>
  <si>
    <t>997304758</t>
  </si>
  <si>
    <t>III 6, 15 e</t>
  </si>
  <si>
    <t>nur das Nötigste: loses Material an Ecken und Kanten zurückkleben/sichern</t>
  </si>
  <si>
    <t>L-1534-171135792</t>
  </si>
  <si>
    <t>100077130X</t>
  </si>
  <si>
    <t>III 6, 15 f</t>
  </si>
  <si>
    <t>L-1534-161289894</t>
  </si>
  <si>
    <t>995883831</t>
  </si>
  <si>
    <t>L-1534-169918203</t>
  </si>
  <si>
    <t>1000043290</t>
  </si>
  <si>
    <t>L-1534-153917210</t>
  </si>
  <si>
    <t>993863388</t>
  </si>
  <si>
    <t>III 6, 15f</t>
  </si>
  <si>
    <t>AESOPI PHRYGIS|| FABELLAE GRAECE ET LA-||tine, cum alijs opusculis [Aesopi uita à Maximo Planude composita. Gabriae Graeci fabellae tres &amp; quadraginta</t>
  </si>
  <si>
    <t>hohler Rücken, Kupferfraß</t>
  </si>
  <si>
    <t>L-1549-157863611</t>
  </si>
  <si>
    <t>99480251X</t>
  </si>
  <si>
    <t>III 6, 15g</t>
  </si>
  <si>
    <t>III 6, 15 g</t>
  </si>
  <si>
    <t>DIONYSII ALEXAN||DRI F HALICARNASSEN|| ANTIQVITATVM SIVE ORIGINVM|| Romanarum Libri X : Sigismundo|| Gelenio interprete|| Addidimus Vndecimum ex uersi</t>
  </si>
  <si>
    <t>L-1537-315066954</t>
  </si>
  <si>
    <t>1066678316</t>
  </si>
  <si>
    <t>III 6, 15 h</t>
  </si>
  <si>
    <t xml:space="preserve">DE NATVRA STIR||PIVM LIBRI TRES...|| Cum Indice ...|| copiosissimo.|| : </t>
  </si>
  <si>
    <t>Pg</t>
  </si>
  <si>
    <t>fester Rücken inzwischen hohl</t>
  </si>
  <si>
    <t>Fehlstelle mit JP ergänzen</t>
  </si>
  <si>
    <t>L-9999-756478634</t>
  </si>
  <si>
    <t>1248752589</t>
  </si>
  <si>
    <t>III 6, 15a</t>
  </si>
  <si>
    <t>L-1528-315492996</t>
  </si>
  <si>
    <t>1066962642</t>
  </si>
  <si>
    <t>III 6, 16</t>
  </si>
  <si>
    <t>OPERA|| Q. SEPTIMII FLOREN-||TIS TERTVLLIANI INTER LATINOS ECCLESIAE|| scriptores primi, sine quoru lectione nullum diem intermittebat olim di/||uus C</t>
  </si>
  <si>
    <t>defekte Schließe in Sammelbox</t>
  </si>
  <si>
    <t>o</t>
  </si>
  <si>
    <t>Material als "Brücke" einfügen</t>
  </si>
  <si>
    <t>L-1519-315492597</t>
  </si>
  <si>
    <t>1066962197</t>
  </si>
  <si>
    <t>III 6, 17</t>
  </si>
  <si>
    <t>DE ORIGI||NE GVELPHORVM, ET|| GIBELLINORVM, QVI||BVS OLIM GERMANIA,|| NVNC ITALIA EXAR||DET, LIBELLVS|| ERVDITVS.|| In quo ostenditur, quantum hac|| i</t>
  </si>
  <si>
    <t>L-1520-15394689X</t>
  </si>
  <si>
    <t>993882870</t>
  </si>
  <si>
    <t>III 6, 18</t>
  </si>
  <si>
    <t>ALEXAN||DRI APHRODISEI, SVPER|| nonullis Physicis quaestio||nibus Solutionum|| Liber|| : ITEM|| Plutarchi Cheronei Ama-||toriae narrationes|| Angelo P</t>
  </si>
  <si>
    <t>L-1520-169970418</t>
  </si>
  <si>
    <t>1000071774</t>
  </si>
  <si>
    <t>L-1521-169770265</t>
  </si>
  <si>
    <t>999957643</t>
  </si>
  <si>
    <t>III 6, 18 a</t>
  </si>
  <si>
    <t xml:space="preserve">Cornucopiae sive linguae latinae commentarii, denuo diligentissime recogniti, atque ex archetypo emendati : </t>
  </si>
  <si>
    <t>800,00 EUR</t>
  </si>
  <si>
    <t>Box (wg. Schließe, sperrt)</t>
  </si>
  <si>
    <t>L-1527-315490845</t>
  </si>
  <si>
    <t>1066960356</t>
  </si>
  <si>
    <t>III 6, 19</t>
  </si>
  <si>
    <t>Das @der miszuer=||stand D. Martin Luthers/ vff die ewig=||bstendige wort/ Das ist mein leib/|| nit beston mag.|| Die ander billiche ant/||wort Joanni</t>
  </si>
  <si>
    <t>L-1533-169972178</t>
  </si>
  <si>
    <t>1000078248</t>
  </si>
  <si>
    <t>III 6, 20</t>
  </si>
  <si>
    <t>PLUTARCHU|| PARALLĒLA EN BIOIS ELLĒ||NŌNTE KAI RŌMAIŌN|| PLVTARCHI QVAE VOCANTVR PARAL||lela: hoc est, uitae illustrium uirorum graeci nominis ac||lat</t>
  </si>
  <si>
    <t>Rücken/Gelenk sichern, Ecke belassen</t>
  </si>
  <si>
    <t>L-1519-315490616</t>
  </si>
  <si>
    <t>1066960089</t>
  </si>
  <si>
    <t>III 6, 21</t>
  </si>
  <si>
    <t xml:space="preserve">Modus eligendi|| Creandi in coronandi Imperator? cu|| forma iuram?ti necnń tituli omnium|| Regu Patriarcharu &amp; Car.|| : </t>
  </si>
  <si>
    <t>L-1522-315469250</t>
  </si>
  <si>
    <t>1066941599</t>
  </si>
  <si>
    <t>III 6, 22</t>
  </si>
  <si>
    <t xml:space="preserve">Der @Ewangelisch burger.|| : </t>
  </si>
  <si>
    <t>L-1522-315489200</t>
  </si>
  <si>
    <t>1066958599</t>
  </si>
  <si>
    <t>III 6, 25</t>
  </si>
  <si>
    <t xml:space="preserve">DE VOTIS|| MONA/||STICIS, MARTINI|| LVTHERI IV/||DICIVM.|| : </t>
  </si>
  <si>
    <t>L-1530-315490063</t>
  </si>
  <si>
    <t>1066959501</t>
  </si>
  <si>
    <t>III 6, 26</t>
  </si>
  <si>
    <t>VRBANI|| GRAMMATICAE INSTITV||tiones, Graecae, nunc denuo summa di||ligentia excussae, &amp; à mendis|| ... uindicatae.|| ...||(AVREA CARMINA PYTHA||GORAE</t>
  </si>
  <si>
    <t>L-2009-324233</t>
  </si>
  <si>
    <t>997607521</t>
  </si>
  <si>
    <t>III 6, 26 a</t>
  </si>
  <si>
    <t>Underrichtung Warumb die ee uß menschlichem gsatz in vyl grad verbotten sey, und das die vereeungen göttlich geschehen, und aber dem menschen ungöttli</t>
  </si>
  <si>
    <t>L-1540-315320400</t>
  </si>
  <si>
    <t>1066861765</t>
  </si>
  <si>
    <t>III 6, 27</t>
  </si>
  <si>
    <t>DIVI CAECILII CY=||PRIANI EPISCOPI CARTHAGINENSIS ET|| martyris opera iam quartum accuratiori uigilantia à men||dis repurgata,per DES.ERASMVM ROTEROD.</t>
  </si>
  <si>
    <t>L-1544-159504325</t>
  </si>
  <si>
    <t>995417059</t>
  </si>
  <si>
    <t>III 6, 27 a</t>
  </si>
  <si>
    <t>III 6, 27 a - 1</t>
  </si>
  <si>
    <t>Euripidoy|| Tragōdiai|| ok||tōkaideka|| ekabē</t>
  </si>
  <si>
    <t xml:space="preserve">[1] : </t>
  </si>
  <si>
    <t>600,00 EUR</t>
  </si>
  <si>
    <t>L-1544-15952167X</t>
  </si>
  <si>
    <t>995434395</t>
  </si>
  <si>
    <t>III 6, 27 a - 2</t>
  </si>
  <si>
    <t xml:space="preserve">[2] : </t>
  </si>
  <si>
    <t>welliger Buchblock</t>
  </si>
  <si>
    <t>Pg (Mak.)</t>
  </si>
  <si>
    <t>Box (Pg. Mak.)</t>
  </si>
  <si>
    <t>nur das Nötigste: Ecken stabilisieren, loses Material an Rücken und Ecken zurückkleben/sichern, ggf. teils mit JP überfangen</t>
  </si>
  <si>
    <t>L-1536-164449248</t>
  </si>
  <si>
    <t>997624930</t>
  </si>
  <si>
    <t>III 6, 27 b</t>
  </si>
  <si>
    <t xml:space="preserve">D. Joannis Chryso||stomi Enarrationes, partim antehac, par||tim nunc primum traductae  : </t>
  </si>
  <si>
    <t>Gewebe mit Papier</t>
  </si>
  <si>
    <t>L-1557-163414513</t>
  </si>
  <si>
    <t>99713237X</t>
  </si>
  <si>
    <t>III 6, 27 c</t>
  </si>
  <si>
    <t xml:space="preserve">Herodotu lo-||goi ennea, hoiper epi-||kaluntai musai : Ad haec, ... Georgii Gemisti, qvi et Pletho|| dicitur, de ijs quae post pugnam ad Manti-||neam </t>
  </si>
  <si>
    <t>L-1556-162142099</t>
  </si>
  <si>
    <t>996432566</t>
  </si>
  <si>
    <t>III 6, 27 d</t>
  </si>
  <si>
    <t>L-1556-166924229</t>
  </si>
  <si>
    <t>998780650</t>
  </si>
  <si>
    <t>III 6, 27 d - 2</t>
  </si>
  <si>
    <t>[T[iti] Livii Patavini Historiarum ab urbe condita libri]</t>
  </si>
  <si>
    <t>[2]. : Decadis tertiae liber I - X</t>
  </si>
  <si>
    <t>fester Rücken mit Schmuckprägung, welliger Buchblock</t>
  </si>
  <si>
    <t>L-1556-16692430X</t>
  </si>
  <si>
    <t>998780723</t>
  </si>
  <si>
    <t>III 6, 27 d - 3</t>
  </si>
  <si>
    <t>[3]. : Decadis quartae liber I - X</t>
  </si>
  <si>
    <t>L-1556-166924490</t>
  </si>
  <si>
    <t>998780944</t>
  </si>
  <si>
    <t>III 6, 27 d - 4</t>
  </si>
  <si>
    <t>[4]. : Decadis quintae liber I - V</t>
  </si>
  <si>
    <t>fester Rücken mit Schmuckprägung, welliger Buchblock, Tintenfraß</t>
  </si>
  <si>
    <t>L-1540-17709835X</t>
  </si>
  <si>
    <t>1002374065</t>
  </si>
  <si>
    <t>III 6, 27e</t>
  </si>
  <si>
    <t>III 6, 27 e</t>
  </si>
  <si>
    <t xml:space="preserve">Thukydidēs me-||ta scholiōn palaiōn, kai pany ōphelimōn,||  ... : </t>
  </si>
  <si>
    <t>L-1557-315488565</t>
  </si>
  <si>
    <t>1066957924</t>
  </si>
  <si>
    <t>III 6, 28</t>
  </si>
  <si>
    <t>L. ANNAEI SENECAE|| Philosophi Stoicorum omnium acutissi-||mi opera quae extant omnia, Coelii Secun||di Curionis uigilantissima cura castigata,|| &amp; in</t>
  </si>
  <si>
    <t>L-1560-315329416</t>
  </si>
  <si>
    <t>1066871612</t>
  </si>
  <si>
    <t>III 6, 29</t>
  </si>
  <si>
    <t>D.EPIPHANII EPI/||scopi Constantiae Cypri, contra|| octoaginta haereses opus, Panarium, siue|| Arcula, aut Capsula Medica appellatum,|| continens libr</t>
  </si>
  <si>
    <t>L-1549-441874363</t>
  </si>
  <si>
    <t>1155441567</t>
  </si>
  <si>
    <t>III 6, 29 a</t>
  </si>
  <si>
    <t xml:space="preserve">Druckwerk des 16. Jahrhunderts mit einem bei der Restaurierung teilweise abgenommenen Einband aus der Makulatur anderer Druckwerke : </t>
  </si>
  <si>
    <t>L-1533-315307676</t>
  </si>
  <si>
    <t>1066848572</t>
  </si>
  <si>
    <t>III 6, 30</t>
  </si>
  <si>
    <t xml:space="preserve">DE STV||DIO LITERARVM RECTE ET|| COMMODE INSTITVENDO, AD IN=||uictissimum, &amp; potentissimum principem : </t>
  </si>
  <si>
    <t>Hülse, Ecken stabilisieren</t>
  </si>
  <si>
    <t>L-1534-315493275</t>
  </si>
  <si>
    <t>1066963002</t>
  </si>
  <si>
    <t>III 6, 31</t>
  </si>
  <si>
    <t>P. VERGILII|| MARONIS|| BVCOLICORVM, GEORGICO=||RVM, ET AENEIDOS.|| Cum accurata simul &amp; fideli Seruij|| Mauri Honorati expositione,|| PARS PRIMA.|| :</t>
  </si>
  <si>
    <t>L-1540-315308206</t>
  </si>
  <si>
    <t>1066849153</t>
  </si>
  <si>
    <t>III 6, 32</t>
  </si>
  <si>
    <t xml:space="preserve">DICTIONARIVM|| LATINAE LINGVAE : </t>
  </si>
  <si>
    <t>fester Rücken inzwischen fast vollständig hohl</t>
  </si>
  <si>
    <t>Gelenk ggf. mit JP überfangen</t>
  </si>
  <si>
    <t>L-1538-170205894</t>
  </si>
  <si>
    <t>1000202720</t>
  </si>
  <si>
    <t>III 6, 32a</t>
  </si>
  <si>
    <t>III 6, 32 a</t>
  </si>
  <si>
    <t xml:space="preserve">Clavdii Ptolemaei Magnae constructionis, id est perfectae coelestium motuum pertractationis, lib[ri] XIII : </t>
  </si>
  <si>
    <t>L-1539-176023844</t>
  </si>
  <si>
    <t>1002030188</t>
  </si>
  <si>
    <t>III 6, 32b</t>
  </si>
  <si>
    <t>III 6, 32 b</t>
  </si>
  <si>
    <t>Strabonis|| Geographicorvm|| Lib. XVII|| Olim, ut putatur, à Guarino Veronensi ac Gre=||rio Trifernate Latinitate donati, iam denuo à|| Conrado Heresb</t>
  </si>
  <si>
    <t>HPg</t>
  </si>
  <si>
    <t>max 110</t>
  </si>
  <si>
    <t>Umschlag (abriebgefährdet)</t>
  </si>
  <si>
    <t>ca. 100-120 Seiten sind am Vorderschnitt sehr wattig --&gt; Nachleimen (Sprühen)</t>
  </si>
  <si>
    <t>L-1538-315493291</t>
  </si>
  <si>
    <t>1066963029</t>
  </si>
  <si>
    <t>III 6, 33</t>
  </si>
  <si>
    <t xml:space="preserve">IOANNIS|| LODOVICI VIVIS VALEN-||TINI DECLAMATIONES SEX.|| SYLLANAE QVINQVE.|| SEXTA, qua respondet Parieti|| palmato Quintiliani.|| EIVSDEM ... DE|| </t>
  </si>
  <si>
    <t xml:space="preserve">
wegen Rücken</t>
  </si>
  <si>
    <t>L-1538-315494654</t>
  </si>
  <si>
    <t>1066964424</t>
  </si>
  <si>
    <t>III 6, 33 a</t>
  </si>
  <si>
    <t xml:space="preserve">LEXIKON|| BARINU PHABO||RINU KAMERTOS TU TES NUKAIRIAS|| EPISKOPU, TO MEGA KAI PANY OPHELIMON,|| : </t>
  </si>
  <si>
    <t>Blatt mit Notizen zum Buch ist hinten eingeklebt</t>
  </si>
  <si>
    <t>L-1543-159380235</t>
  </si>
  <si>
    <t>995382972</t>
  </si>
  <si>
    <t>III 6, 33 b</t>
  </si>
  <si>
    <t xml:space="preserve">D. Epiphanii Epi||scopi Constantiae Cypri, contra octoaginta [sic!] haereses|| opvs, panarivm, sive arcvla, avt ca||psula Medica appellatum continens </t>
  </si>
  <si>
    <t>Gelenk evtl. mit Leder anstatt JP unterlegen wegen Flexibilität</t>
  </si>
  <si>
    <t>L-1543-315489871</t>
  </si>
  <si>
    <t>1066959285</t>
  </si>
  <si>
    <t>III 6, 34</t>
  </si>
  <si>
    <t>DEn @Nieuwen Herbarius/|| dat is/ dboeck vanden cruy=||den/ int welcke met groote neersti=||cheyt bescreuen is niet alleen die gantse historie ...|| v</t>
  </si>
  <si>
    <t>loses Material fixieren, Gelenke mit JP unterlegen</t>
  </si>
  <si>
    <t>L-1553-177913002</t>
  </si>
  <si>
    <t>1002740738</t>
  </si>
  <si>
    <t>III 6, 34a</t>
  </si>
  <si>
    <t>III 6, 34 a</t>
  </si>
  <si>
    <t>Polydori Vergilii|| Vrbinatis de rerum inuen=||toribus libri octo : eiusdem in dominicam precem|| commentariolum</t>
  </si>
  <si>
    <t>439,00 EUR</t>
  </si>
  <si>
    <t>L-1549-169972550</t>
  </si>
  <si>
    <t>1000079600</t>
  </si>
  <si>
    <t>III 6, 34b</t>
  </si>
  <si>
    <t>III 6, 34 b</t>
  </si>
  <si>
    <t xml:space="preserve">Plutarchi Chero||nei Graecorum Romanorum-||que illustrium vitae||... : </t>
  </si>
  <si>
    <t>Schuber etwas eng --&gt; Reibung --&gt; besser Box</t>
  </si>
  <si>
    <t>L-1551-180257552</t>
  </si>
  <si>
    <t>1003588670</t>
  </si>
  <si>
    <t>III 6, 34c</t>
  </si>
  <si>
    <t>III 6, 34 c</t>
  </si>
  <si>
    <t>Xenophontis ... opera, quae quidem Graece extant, omnia, iam partin olim, partim nunc primum ... in latinam linguam conversa atque nunc postremum</t>
  </si>
  <si>
    <t xml:space="preserve">(P. 1) : </t>
  </si>
  <si>
    <t>nur sehr geringer Öffnungswinkel</t>
  </si>
  <si>
    <t>L-1543-315490411</t>
  </si>
  <si>
    <t>1066959897</t>
  </si>
  <si>
    <t>III 6, 35</t>
  </si>
  <si>
    <t xml:space="preserve">MARCELLI : </t>
  </si>
  <si>
    <t>L-1543-315494433</t>
  </si>
  <si>
    <t>1066964203</t>
  </si>
  <si>
    <t>III 6, 36</t>
  </si>
  <si>
    <t>VOn der waren|| Christenlichen/ vñ erdach=||ten Entchristische? Kirch?/ der? Haubt|| Statthalter/ Gwalt vnd Schlüssel. Auch was|| ein K#[ae]tzer/ rech</t>
  </si>
  <si>
    <t>L-1538-179398717</t>
  </si>
  <si>
    <t>1003299857</t>
  </si>
  <si>
    <t>III 6, 36a</t>
  </si>
  <si>
    <t>III 6, 36 a</t>
  </si>
  <si>
    <t xml:space="preserve">EN DAMVS LECTOR|| CONCILIA||TIONEM SACRAE SCRIPTVRAE|| &amp; Patrum, iam denuo reuisam &amp; auctam, ...|| : </t>
  </si>
  <si>
    <t>L-1551-163598088</t>
  </si>
  <si>
    <t>997291915</t>
  </si>
  <si>
    <t>III 6, 37</t>
  </si>
  <si>
    <t>Poetarvm Omnivm Secv-||lorvm Longe Principis|| HOMERI,|| Omnia qvae qvi||dem extant opera graece,|| Adiecta versione latina ad verbvm,|| ...</t>
  </si>
  <si>
    <t>[2.] : Odyssea</t>
  </si>
  <si>
    <t>L-1551-163598045</t>
  </si>
  <si>
    <t>997291877</t>
  </si>
  <si>
    <t>[1.] : [Ilias]</t>
  </si>
  <si>
    <t>L-1553-16359869X</t>
  </si>
  <si>
    <t>99729261X</t>
  </si>
  <si>
    <t>III 6, 37a</t>
  </si>
  <si>
    <t>III 6, 37 a</t>
  </si>
  <si>
    <t>Nein, Signaturfahne austauschen</t>
  </si>
  <si>
    <t>L-1551-163598789</t>
  </si>
  <si>
    <t>L-1553-173762050</t>
  </si>
  <si>
    <t>1001169433</t>
  </si>
  <si>
    <t>L-1552-315493992</t>
  </si>
  <si>
    <t>1066963789</t>
  </si>
  <si>
    <t>III 6, 38</t>
  </si>
  <si>
    <t xml:space="preserve">Chronicorum summa : </t>
  </si>
  <si>
    <t>L-1555-159344743</t>
  </si>
  <si>
    <t>995360138</t>
  </si>
  <si>
    <t>III 6, 40</t>
  </si>
  <si>
    <t xml:space="preserve">DE CONSCRI||BENDIS EPISTOLIS,|| DES.[iderii] ERASIMO RO||terodami opus.|| : </t>
  </si>
  <si>
    <t>L-1555-178428493</t>
  </si>
  <si>
    <t>1002919827</t>
  </si>
  <si>
    <t>III 6, 42</t>
  </si>
  <si>
    <t>IO. LO-||DOVICI VI-||VIS VALENTINI OPE-||RA, IN DVOS DISTINCTA TO-||MOS</t>
  </si>
  <si>
    <t>L-1560-178157546</t>
  </si>
  <si>
    <t>1002778123</t>
  </si>
  <si>
    <t>III 6, 43</t>
  </si>
  <si>
    <t>IN EPISTO-||LAM S. Pavli Apo-||STOLI AD ROM : D. PETRI||MARTYRIS Vermilij Florentini ... cōmentarij doctis-||simi, cum tractatione perutili rerum &amp; lo</t>
  </si>
  <si>
    <t>L-1560-162039808</t>
  </si>
  <si>
    <t>996355340</t>
  </si>
  <si>
    <t>III 6, 44</t>
  </si>
  <si>
    <t>LEXIKON|| SIVE|| DICTIONA-||RIVM GRAECOLA-||tinum postremo nunc,post om-||nia Graecae linguae commentaria, dictio||naria &amp; Thesauros, noua insuper plu</t>
  </si>
  <si>
    <t>L-1550-154117374</t>
  </si>
  <si>
    <t>993976697</t>
  </si>
  <si>
    <t>III 6, 45</t>
  </si>
  <si>
    <t>ARISTOTELIS|| SVMMI SEMPER PHILOSOPHI, ...|| opera quaecunq hactenus extinterung omnia: quae quidem ut antea|| integris aliquot libris supra priores a</t>
  </si>
  <si>
    <t xml:space="preserve">2. : </t>
  </si>
  <si>
    <t>L-1550-154117307</t>
  </si>
  <si>
    <t>993976670</t>
  </si>
  <si>
    <t xml:space="preserve">(1) : </t>
  </si>
  <si>
    <t>L-2009-322713</t>
  </si>
  <si>
    <t>998517313</t>
  </si>
  <si>
    <t>III 6, 46</t>
  </si>
  <si>
    <t>Der @newenn Weldt und indianischen Königreichs, newe unnd wahrhaffte History, von allen Geschichten, Handlungen, Thaten, Strengem unnd ernstlichem Reg</t>
  </si>
  <si>
    <t>L-2012-327132</t>
  </si>
  <si>
    <t>1027390439</t>
  </si>
  <si>
    <t>III 6, 47</t>
  </si>
  <si>
    <t>Bildschrift Oder Entworffne Wharzeichen dero die vhralten Aegyptier in ihrem Götzendienst Rhätten, Gheymnussen, vnd anligenden gschäfften, sich an sta</t>
  </si>
  <si>
    <t>L-1513-320046397</t>
  </si>
  <si>
    <t>1068927240</t>
  </si>
  <si>
    <t>III 6, 48 - Fragm.</t>
  </si>
  <si>
    <t xml:space="preserve">[Missale Upsalense] : </t>
  </si>
  <si>
    <t>L-1542-315494409</t>
  </si>
  <si>
    <t>1066964181</t>
  </si>
  <si>
    <t>III 7, 1</t>
  </si>
  <si>
    <t>Warhafftige vnnd er=||schröckliche Newe zeytung|| in Schlesien geschehen in disem 42. Jar/|| am tag Egidij/ Von unerh#[oe]rten|| Hewschrecken/ was sie</t>
  </si>
  <si>
    <t>Einband und Buchblock jeweils einzeln im Archivkarton</t>
  </si>
  <si>
    <t>L-1555-315487259</t>
  </si>
  <si>
    <t>1066956596</t>
  </si>
  <si>
    <t>III 7, 2</t>
  </si>
  <si>
    <t>Practica Vnd Process|| der Gerichtsleuffte/|| nach dem brauch Sechsischer|| Landart/ aus dem gemeinen Bepstlichen/|| Keiserlichen/ vnd Sechsischen|| R</t>
  </si>
  <si>
    <t>fester Rücken mit Schmuckprägung, gefaltete Blätter</t>
  </si>
  <si>
    <t>B: 15x21
F: 33x42</t>
  </si>
  <si>
    <t>L-1556-315306424</t>
  </si>
  <si>
    <t>1066847134</t>
  </si>
  <si>
    <t>III 7, 3</t>
  </si>
  <si>
    <t>Chronica|| Von den Antiquiteten des Keiser=||lichen Stiffts|| der Römische Burg vnd Stadt Mars=||burg|| an der Salah bey Türingen...|| in zweien Büche</t>
  </si>
  <si>
    <t>L-1557-315490152</t>
  </si>
  <si>
    <t>1066959625</t>
  </si>
  <si>
    <t>III 7, 4</t>
  </si>
  <si>
    <t>Sechsisch Weichbild|| Lehenrecht|| vnd|| Remissorium/| Auffs new an vielen orten// in Texten|| Glossen|| vnd|| derselben allegaten|| aus den warhaffti</t>
  </si>
  <si>
    <t>L-1540-315328770</t>
  </si>
  <si>
    <t>1066870896</t>
  </si>
  <si>
    <t>III 8, 1</t>
  </si>
  <si>
    <t xml:space="preserve">Kirchen Ordnung|| im Churfurstenthum der Marcken zu Brandemburg, wie man sich beide mit der Leer vnd Ceremonien halten sol : </t>
  </si>
  <si>
    <t>L-1541-315183861</t>
  </si>
  <si>
    <t>1066761140</t>
  </si>
  <si>
    <t>III 8, 2</t>
  </si>
  <si>
    <t xml:space="preserve">Der @spruch s. Pau=||li. j. Timoth. ij.|| Sie wird selig durch Kinder zeugen...|| Ausgelegt durch.|| D. Casper Creutziger.|| ... : </t>
  </si>
  <si>
    <t>L-1542-315330813</t>
  </si>
  <si>
    <t>1066873054</t>
  </si>
  <si>
    <t>III 8, 3</t>
  </si>
  <si>
    <t xml:space="preserve">Kirchen Ordnung|| im Churfurstenthum der Marcken : </t>
  </si>
  <si>
    <t>L-1939-315298626</t>
  </si>
  <si>
    <t>1066838550</t>
  </si>
  <si>
    <t>III 9, 1</t>
  </si>
  <si>
    <t xml:space="preserve">Beschribung vnd Geschicht deß// Meylandischen kriegsz/ der vom ein vnd zwentzigsten : </t>
  </si>
  <si>
    <t>L-9999-414746600</t>
  </si>
  <si>
    <t>1138241385</t>
  </si>
  <si>
    <t>III 10, 1</t>
  </si>
  <si>
    <t xml:space="preserve">
flexibler Pg.</t>
  </si>
  <si>
    <t>L-1539-170700631</t>
  </si>
  <si>
    <t>100048369X</t>
  </si>
  <si>
    <t>III 11 D, 1</t>
  </si>
  <si>
    <t xml:space="preserve">Wie man die falschen|| Propheten erkennen ia greif-||fen mag, Ein predig, zu Mynden jnn|| Westphalen gethan, durch|| : </t>
  </si>
  <si>
    <t>L-1539-170700836</t>
  </si>
  <si>
    <t>III 11 D, 1 a</t>
  </si>
  <si>
    <t>L-1557-315334738</t>
  </si>
  <si>
    <t>1066877033</t>
  </si>
  <si>
    <t>III 11, 1</t>
  </si>
  <si>
    <t xml:space="preserve">Epicedia in obitvm illvstrissimi principis Hermanni Lvdouici, Palatini Rheni, Bauaria Ducis, Comitis Simerensis, &amp; SpΣheimensis, &amp; aliorum, qui simul </t>
  </si>
  <si>
    <t>L-1523-848039629</t>
  </si>
  <si>
    <t>1272478661</t>
  </si>
  <si>
    <t>III 12, 1 @ m</t>
  </si>
  <si>
    <t>III 12, 1</t>
  </si>
  <si>
    <t xml:space="preserve">Sammelband mit Altem Druck und "Füllmaterial" : </t>
  </si>
  <si>
    <t>L-1523-315488174</t>
  </si>
  <si>
    <t>1066957541</t>
  </si>
  <si>
    <t>III 12, 2</t>
  </si>
  <si>
    <t xml:space="preserve">Ausz legunge des|| Euangelij an des|| Newen Jares Tag. Luce|| am andern.|| Martinus|| Luther.|| : </t>
  </si>
  <si>
    <t>L-1519-315488638</t>
  </si>
  <si>
    <t>1066957991</t>
  </si>
  <si>
    <t>III 12, 3</t>
  </si>
  <si>
    <t xml:space="preserve">Resolutiones Lu=||theriane super Propositioni||bus suis Lipsie|| disputatis.|| : </t>
  </si>
  <si>
    <t>L-1520-315338350</t>
  </si>
  <si>
    <t>1066880867</t>
  </si>
  <si>
    <t>III 13, 1</t>
  </si>
  <si>
    <t xml:space="preserve">Phisionomia magistri Michaelis scoti : </t>
  </si>
  <si>
    <t>Af</t>
  </si>
  <si>
    <t>L-1545-406971099</t>
  </si>
  <si>
    <t>1132654785</t>
  </si>
  <si>
    <t>III 14, 1</t>
  </si>
  <si>
    <t>Clementis papae septimi, extrauagans constitutio contra clericos non incedentes in habitu &amp; tonsura una cum mirifico apparatu excellentissimi domini I</t>
  </si>
  <si>
    <t>2. : Repertorium mirifici apparatvs excellent. Do. Ioannis Antonii de Nigris civitatis Campaniae</t>
  </si>
  <si>
    <t>L-1506-315066989</t>
  </si>
  <si>
    <t>1066678340</t>
  </si>
  <si>
    <t>III 15, 1</t>
  </si>
  <si>
    <t>Lectvra fratris Pavli Scriptoris ordinis Minorvm de observantia qvam edidit declarando svbtilissimas Doctoris Svbtilis sententias circa Magistrvm in p</t>
  </si>
  <si>
    <t>L-1510-315468580</t>
  </si>
  <si>
    <t>1066940827</t>
  </si>
  <si>
    <t>III 17, 1</t>
  </si>
  <si>
    <t xml:space="preserve">Pauli Cortesii protonotarii apostolici In libros cardinalatu ad Iulium secundum pont. max. prooemium : </t>
  </si>
  <si>
    <t xml:space="preserve">
beschädigt, Schutzumschlag</t>
  </si>
  <si>
    <t>L-1543-153967803</t>
  </si>
  <si>
    <t>993906184</t>
  </si>
  <si>
    <t>III 18, 1</t>
  </si>
  <si>
    <t xml:space="preserve">VOCABOLARIO, GRAMMATI-||CA, ET ORTHOGRAPHIA|| DE LA LINGVA VOL-||GARE D'ALBERTO|| ACHARISIO  DA|| CENTO, CON||ISPOSI-||TIO-||NI||DI MOL-||TI LVOGHI|| </t>
  </si>
  <si>
    <t>L-1550-153916583</t>
  </si>
  <si>
    <t>993862659</t>
  </si>
  <si>
    <t>III 20, 1</t>
  </si>
  <si>
    <t xml:space="preserve">Ein @Sermon|| Die do lereth|| einen rechttenn|| guten vn̄ Christlichen wandel|| zufueren|| in allerley Staenden.|| Auß der ersten Epistel S.|| Peters </t>
  </si>
  <si>
    <t>L-1551-315492651</t>
  </si>
  <si>
    <t>1066962251</t>
  </si>
  <si>
    <t>III 20, 2</t>
  </si>
  <si>
    <t xml:space="preserve">Ein @kurtzer doch : </t>
  </si>
  <si>
    <t>L-1501-31533228X</t>
  </si>
  <si>
    <t>1066874492</t>
  </si>
  <si>
    <t>III 21, 1</t>
  </si>
  <si>
    <t xml:space="preserve">Aureum reminis=||cendi memorãdi#[que] perbreue opusculũ : </t>
  </si>
  <si>
    <t>L-1502-154070270</t>
  </si>
  <si>
    <t>993948014</t>
  </si>
  <si>
    <t>III 21, 2</t>
  </si>
  <si>
    <t xml:space="preserve">De declaratione diffici||lium terminorum. tam Theo||logicalium q̃ Philo||sophie ac Lo||gice|| : </t>
  </si>
  <si>
    <t>L-1506-166225983</t>
  </si>
  <si>
    <t>998441562</t>
  </si>
  <si>
    <t>III 21, 2 a</t>
  </si>
  <si>
    <t>REsolutoriū du-||biorū circa celebrationē missa?|| occurrentiū|| per venerabilē do=||minū Joannē de lapide doctorē Theologū parisiensem. or=||dinis Ca</t>
  </si>
  <si>
    <t>III 21, 3</t>
  </si>
  <si>
    <t>L-1516-31549249X</t>
  </si>
  <si>
    <t>106696209X</t>
  </si>
  <si>
    <t>III 21, 4</t>
  </si>
  <si>
    <t>BReuiores epi=||stole Marci Antonij Sabellici|| viri literatissimi. ex cuius elegantissimo epistola#[rum] opere. pro rudib#[us]|| latini sermonis adul</t>
  </si>
  <si>
    <t>L-1518-315299193</t>
  </si>
  <si>
    <t>106683914X</t>
  </si>
  <si>
    <t>III 21, 5</t>
  </si>
  <si>
    <t xml:space="preserve">HER. BV||SCHII PASPHILI.|| DECIMATIONVM PLAV||TINARVM PEMPTAS|| SIVE QVINTA-||NA SECVN//DA|| : </t>
  </si>
  <si>
    <t>L-1524-315329734</t>
  </si>
  <si>
    <t>1066871981</t>
  </si>
  <si>
    <t>III 21, 6</t>
  </si>
  <si>
    <t xml:space="preserve">ASSERTIONIS|| LVTHERANAE CONFVTATIO, IVXTA : </t>
  </si>
  <si>
    <t>L-1525-315323558</t>
  </si>
  <si>
    <t>1066865256</t>
  </si>
  <si>
    <t>III 21, 7</t>
  </si>
  <si>
    <t xml:space="preserve">DE veneratione|| sanctorz.libri duo Judoci Clich=||tovei.Neoportuesis...|| : </t>
  </si>
  <si>
    <t>L-1508-31548960X</t>
  </si>
  <si>
    <t>1066958998</t>
  </si>
  <si>
    <t>III 21, 8</t>
  </si>
  <si>
    <t>ARbo#[rum] triu cõ||sanguinitatis. affinitatis. co=||gnationis#[que] spualis Lectura notatu digna Uenerandi optimaru#[m]|| Artiu. necnõ iuris Pontific</t>
  </si>
  <si>
    <t>falscher Link zum Portal; Link gehört zu III 21, 3</t>
  </si>
  <si>
    <t>L-1531-83361035X</t>
  </si>
  <si>
    <t>1268570087</t>
  </si>
  <si>
    <t>D.HA-||YMONIS EPISCOPI HAL||berstattensis in Esaiam Commen||tariorum libri tres,ab eodem au-||tore dum viueret,multorum ad-||ditione &lt;quae in alijs pl</t>
  </si>
  <si>
    <t>L-1549-315488158</t>
  </si>
  <si>
    <t>1066957525</t>
  </si>
  <si>
    <t>III 21, 9</t>
  </si>
  <si>
    <t xml:space="preserve">De Traditione Apo=||stolica et Ecclesiastica.|| Das die Catholische Kyrche Christi/ nicht allein : </t>
  </si>
  <si>
    <t>L-1549-315493429</t>
  </si>
  <si>
    <t>1066963142</t>
  </si>
  <si>
    <t>III 21, 10</t>
  </si>
  <si>
    <t xml:space="preserve">Bestendige Ant=||wort wider der Luterischen : </t>
  </si>
  <si>
    <t>L-1554-315492392</t>
  </si>
  <si>
    <t>1066961999</t>
  </si>
  <si>
    <t>III 21, 11</t>
  </si>
  <si>
    <t>CHORVS|| SANCTORVM OMNIVM|| Zwelff B#[ue]cher Historien Aller|| Heiligen Gottes ...|| aus den alten ... Schrifften|| vnserer Gottseligen Vorfaren/ mit</t>
  </si>
  <si>
    <t xml:space="preserve">
extrem steife und dicke Rückeneinlage</t>
  </si>
  <si>
    <t>L-1555-315490748</t>
  </si>
  <si>
    <t>1066960232</t>
  </si>
  <si>
    <t>III 21, 12</t>
  </si>
  <si>
    <t>REVEREND. IN CHRISTO PATRIS|| AC DOMINI, D.|| FRIDERICI|| EPISCOPI VIENNENSIS,|| cognomento Nauseae Blancicampiani, sacrae|| Theologiae &amp; LL. Doctoris</t>
  </si>
  <si>
    <t>L-1503-315489111</t>
  </si>
  <si>
    <t>1066958491</t>
  </si>
  <si>
    <t>III 21, 13</t>
  </si>
  <si>
    <t>Euagatoriu|| Jn pñti libello #[con]tin?tur|| hec ...|| Optim#[us] modus ~pdicãdi|| Sermones.xiij.Michae||lis de Hugaria vniusales|| Cu applicatõib#[us</t>
  </si>
  <si>
    <t>L-9999-414377192</t>
  </si>
  <si>
    <t>1138058696</t>
  </si>
  <si>
    <t>III 21, 14</t>
  </si>
  <si>
    <t>L-1506-315492910</t>
  </si>
  <si>
    <t>1066962561</t>
  </si>
  <si>
    <t>III 21, 15</t>
  </si>
  <si>
    <t>Compendium Juris ciuilis dñi|| Doctoris Petri Rauennatis cu|| multis Additiõibus #[et] Aureis di||ctis que non sunt in primo Com||pendio eiusdem Docto</t>
  </si>
  <si>
    <t>L-1508-315324228</t>
  </si>
  <si>
    <t>1066865949</t>
  </si>
  <si>
    <t>III 21, 16</t>
  </si>
  <si>
    <t xml:space="preserve">MAgistri Laurẽ||tij Coruini Nouoforensis: viri lepidissimi|| Compendiosa et facilis diuersorum, Car=||minum structura: cũ exemplis aptissimis|| ac ad </t>
  </si>
  <si>
    <t>L-1510-315487119</t>
  </si>
  <si>
    <t>106695643X</t>
  </si>
  <si>
    <t>III 21, 17</t>
  </si>
  <si>
    <t>Ad Reuerẽdissimũ dñm dñm|| Philippũ sancte ecclesie Colo||niensis archiep̃m. Tractat#[us] magi/||stralis declarans #[qua...] grauiter peccẽt|| querent</t>
  </si>
  <si>
    <t>L-9999-414748514</t>
  </si>
  <si>
    <t>1138244430</t>
  </si>
  <si>
    <t>III 21, 18</t>
  </si>
  <si>
    <t>L-1508-315491116</t>
  </si>
  <si>
    <t>1066960623</t>
  </si>
  <si>
    <t>III 21, 19</t>
  </si>
  <si>
    <t>Jch heysch eyn boichel||gyn der ioeden bicht.|| Jn allen orten vint men mich licht.|| Vil neuwer meren synt myr wail becant|| Jch wil mich spreyden in</t>
  </si>
  <si>
    <t>L-1509-315493216</t>
  </si>
  <si>
    <t>1066962944</t>
  </si>
  <si>
    <t>III 21, 20</t>
  </si>
  <si>
    <t>Op#[us] aureum ac no||uum et a doctis viris diu expectatum|| dñi Victoris de Carben olim iudei s#[m] mõ x~piani #[et] sacerdo#[is]|| in quo o?s iudeo#</t>
  </si>
  <si>
    <t>L-9999-414746635</t>
  </si>
  <si>
    <t>1138241431</t>
  </si>
  <si>
    <t>III 21, 21</t>
  </si>
  <si>
    <t xml:space="preserve">Sammelband mit zwei Werken von Albert Krantz : </t>
  </si>
  <si>
    <t>L-1529-812449851</t>
  </si>
  <si>
    <t>1267872691</t>
  </si>
  <si>
    <t>III 21, 21 a</t>
  </si>
  <si>
    <t>L-1532-833464094</t>
  </si>
  <si>
    <t>1268481602</t>
  </si>
  <si>
    <t>III 21, 21 c</t>
  </si>
  <si>
    <t>L-2006-325430</t>
  </si>
  <si>
    <t>981668178</t>
  </si>
  <si>
    <t>III 21, 21 d</t>
  </si>
  <si>
    <t>C. Ivlii Higini, Avgvsti Liberti, poeticon astronomicon : ad vetervm exemplarium eorumq[ue] manuscriptorum fidem diligentissime recognitum, &amp; ab innum</t>
  </si>
  <si>
    <t>Halbgewebeband, Halbledereinband</t>
  </si>
  <si>
    <t>L-1525-161362591</t>
  </si>
  <si>
    <t>995935467</t>
  </si>
  <si>
    <t>III 21, 21/b</t>
  </si>
  <si>
    <t xml:space="preserve">THEO||DORI GAZAE IN-||troductionis Grammaticae|| libri quatuor, unà cum|| interpretatione La||tina sanè quàm|| doctißima ... : </t>
  </si>
  <si>
    <t>L-1522-315494190</t>
  </si>
  <si>
    <t>1066963983</t>
  </si>
  <si>
    <t>III 21, 22</t>
  </si>
  <si>
    <t>BEATIS||SIMI PATRIS NILI|| EPISCOPI ET MAR||tyris antiquissimi Sent?tiae mo=||rales egreco in latinum|| uersae.|| BILIBALDO PIR=||cheimero Norimbergen</t>
  </si>
  <si>
    <t>L-9999-414986288</t>
  </si>
  <si>
    <t>1138379727</t>
  </si>
  <si>
    <t>III 21, 23</t>
  </si>
  <si>
    <t xml:space="preserve">Sammelband mit Druckwerk und angebundener Handschrift : </t>
  </si>
  <si>
    <t>Sonderkonto</t>
  </si>
  <si>
    <t>L-9999-414828461</t>
  </si>
  <si>
    <t>1138311480</t>
  </si>
  <si>
    <t>III 21, 24</t>
  </si>
  <si>
    <t xml:space="preserve">Sammelband mit Werken von Rupertus Tuitensis : </t>
  </si>
  <si>
    <t>830,00 EUR</t>
  </si>
  <si>
    <t>L-1557-167360604</t>
  </si>
  <si>
    <t>999011383</t>
  </si>
  <si>
    <t>III 21, 24 a</t>
  </si>
  <si>
    <t>RITVVM|| ECCLESI||ASTICORVM SIVE SA||CRARVM CERIMONIARVM|| SS. Romanae Ecclesiae, Libri|| tres, non antè in Germa||nia impressi|| ... : cum Indice cop</t>
  </si>
  <si>
    <t>L-1526-315488379</t>
  </si>
  <si>
    <t>1066957754</t>
  </si>
  <si>
    <t>III 21, 25</t>
  </si>
  <si>
    <t>MACRO||BII AVRELII THEODO-||SII VIRI CONSVLARIS|| IN SOMNIVM SCIPIONIS|| LIBRI DVO:|| ET SEPTEM EIVSDEM|| SATVRNALIORVM.|| Nunc denuo recogniti, &amp; mul</t>
  </si>
  <si>
    <t>L-1526-315181427</t>
  </si>
  <si>
    <t>1066758786</t>
  </si>
  <si>
    <t>III 21, 26</t>
  </si>
  <si>
    <t>A.GELLII|| LVCVLENTISS.|| SCRIPTORIS|| NOCTES|| ATTI||CAE|| Castigatae sunt emaculatae´q; diuersorum codicum colla-||tione, nec id tam? sine doctioris</t>
  </si>
  <si>
    <t>L-1531-153964464</t>
  </si>
  <si>
    <t>993901212</t>
  </si>
  <si>
    <t>III 21, 27</t>
  </si>
  <si>
    <t>HENRICI|| CORNELII AGRIPPAE|| AB HETTESHEYM|| De incertitudine &amp; vanitate|| scientia declamatio|| inuectiua, qua vniuersa illa sophorum gigantomachia|</t>
  </si>
  <si>
    <t>L-1527-154280437</t>
  </si>
  <si>
    <t>994000316</t>
  </si>
  <si>
    <t>III 21, 28</t>
  </si>
  <si>
    <t xml:space="preserve">DIVI|| AVRELII AV-||GVSTINI DE SPIRITV|| ET LITERA LIBER|| VNVS.|| : </t>
  </si>
  <si>
    <t>L-1531-315468513</t>
  </si>
  <si>
    <t>1066940754</t>
  </si>
  <si>
    <t>III 21, 29</t>
  </si>
  <si>
    <t xml:space="preserve">D. HAYMO/||NIS EPISCOPI HAL/||BERSTATTENSIS, DE VARIETATE|| librorum, siue de Amore coelestis|| patriae, libri III. nunc primu|| types excusi.|| : </t>
  </si>
  <si>
    <t>L-1532-315487801</t>
  </si>
  <si>
    <t>1066957185</t>
  </si>
  <si>
    <t>III 21, 30</t>
  </si>
  <si>
    <t>RABANI|| MAVRI MOGVNTI=||nensis Archiepiscopi, de Clericorum|| institutione &amp; ceremonijs Ecclesiae, ex|| Veteri &amp; Nouo Testamento, ad Hei=||stulphum A</t>
  </si>
  <si>
    <t>L-1532-315491167</t>
  </si>
  <si>
    <t>1066960682</t>
  </si>
  <si>
    <t>III 21, 31</t>
  </si>
  <si>
    <t xml:space="preserve">PHILO-||STRATI LEMNII SE||nioris Historiae de uita Apollonij : </t>
  </si>
  <si>
    <t xml:space="preserve">
beschädigt</t>
  </si>
  <si>
    <t>L-1530-169953572</t>
  </si>
  <si>
    <t>1000055183</t>
  </si>
  <si>
    <t>III 21, 31 a</t>
  </si>
  <si>
    <t>M. ACCII|| PLAVTI SARSINATIS COMICI|| FESTIVISSIMI COMOEDIAE XX|| iam denuo diligentius recognitae.|| Restitura in mensum suum non pauca car||mina à n</t>
  </si>
  <si>
    <t>Box (flexibler Pg.)</t>
  </si>
  <si>
    <t>L-1536-315200499</t>
  </si>
  <si>
    <t>1066778531</t>
  </si>
  <si>
    <t>III 21, 32</t>
  </si>
  <si>
    <t>DES. ERA-||SMI ROTERODAMI, DE DV-||plici Copia Verborum ac Rerum|| Commentarij duo multa|| accessione, novisqz for||mulis locuple||tati.|| Vnà cum Com</t>
  </si>
  <si>
    <t>L-1539-315494484</t>
  </si>
  <si>
    <t>1066964254</t>
  </si>
  <si>
    <t>III 21, 33</t>
  </si>
  <si>
    <t xml:space="preserve">HOMILIAE|| ORTHODOXAE.|| Postill/ oder : </t>
  </si>
  <si>
    <t>L-1542-154112917</t>
  </si>
  <si>
    <t>993972926</t>
  </si>
  <si>
    <t>III 21, 33 a</t>
  </si>
  <si>
    <t xml:space="preserve">Decalo||gi, sive decem||praeceptorum pia ma-||ximè diserissimaq́; exege-||sis : </t>
  </si>
  <si>
    <t>L-1544-315494360</t>
  </si>
  <si>
    <t>1066964149</t>
  </si>
  <si>
    <t>III 21, 34</t>
  </si>
  <si>
    <t xml:space="preserve">EVANGE||LIA ET EPISTOLAE|| BREVIVSCVLIS QVIBVSDAM|| Hermanni Torrentini scho=||lijs illustrata.|| : </t>
  </si>
  <si>
    <t>L-1538-315324120</t>
  </si>
  <si>
    <t>1066865841</t>
  </si>
  <si>
    <t>III 21, 35</t>
  </si>
  <si>
    <t xml:space="preserve">CONCILIVM|| DELECTORVM CARDINALI=||um &amp; aliorum Praelatorum de emendanda EC||CLESIA, S.D.N.D. Paulo III. ipso : </t>
  </si>
  <si>
    <t>L-1550-315490322</t>
  </si>
  <si>
    <t>1066959803</t>
  </si>
  <si>
    <t>III 21, 36</t>
  </si>
  <si>
    <t xml:space="preserve"> CATALO=||GVS EXPEDITIO=||NIS REBELLIVM PRINCIPVM|| ac Ciuitatum Germa. sub duobus potißi=||mum generalib. Praefectis,|| Iohanne Friderico, Duce Elect</t>
  </si>
  <si>
    <t>L-1552-315487410</t>
  </si>
  <si>
    <t>1066956804</t>
  </si>
  <si>
    <t>III 21, 37</t>
  </si>
  <si>
    <t xml:space="preserve">OPERA : </t>
  </si>
  <si>
    <t>L-1560-155912321</t>
  </si>
  <si>
    <t>994422881</t>
  </si>
  <si>
    <t>III 21, 38</t>
  </si>
  <si>
    <t>CATECHISMVS,|| SIVE SVMMA|| DOCTRINAE CHRI=||STIANAE,|| In vsum Christianae pueritiae, per quae||stiones recèns conscriptus, et|| nunc primùm editus .</t>
  </si>
  <si>
    <t>L-9999-414837339</t>
  </si>
  <si>
    <t>1138320404</t>
  </si>
  <si>
    <t>III 21, 39</t>
  </si>
  <si>
    <t>L-2019-302374</t>
  </si>
  <si>
    <t>1194269303</t>
  </si>
  <si>
    <t>III 21, 40</t>
  </si>
  <si>
    <t>liegt bei ÜF</t>
  </si>
  <si>
    <t>GRaduale, omnia sacre Misse Cantica,|| per totum annum, ad vsum et consue=||tudinẽ Ecclesie et Diocesis Monasteriẽsis,|| continens. iam primũ impressu</t>
  </si>
  <si>
    <t>1100,00 EUR</t>
  </si>
  <si>
    <t>&gt; 42 cm</t>
  </si>
  <si>
    <t>Wellpappe</t>
  </si>
  <si>
    <t>VD</t>
  </si>
  <si>
    <t>nahezu gesamter BB mit Rissen, Fehlstellen, wattierten Blattbereichen; Rest.bedarf muss noch genauer geschätzt werden</t>
  </si>
  <si>
    <t>L-1521-315466200</t>
  </si>
  <si>
    <t>1066938423</t>
  </si>
  <si>
    <t>III 22, 1</t>
  </si>
  <si>
    <t>L-1506-315217251</t>
  </si>
  <si>
    <t>1066796890</t>
  </si>
  <si>
    <t>III 23, 1</t>
  </si>
  <si>
    <t xml:space="preserve">Vocabularius vtilissimus de floribus nominu hoc est vocabulis electis. fere omnia vocabula scitu dignitissima continens : </t>
  </si>
  <si>
    <t>L-1518-315328878</t>
  </si>
  <si>
    <t>1066871019</t>
  </si>
  <si>
    <t>III 23, 2</t>
  </si>
  <si>
    <t xml:space="preserve">IOanis Reuchlin Phorcensis Sergius vel capitis caput : </t>
  </si>
  <si>
    <t>L-1553-31533178X</t>
  </si>
  <si>
    <t>1066873984</t>
  </si>
  <si>
    <t>III 24, 1</t>
  </si>
  <si>
    <t>Der recht Weg:|| Welche weg oder strasz/ der glaubig|| wandeln oder gehn soll...|| Auß den worten des|| Propheten Hieremie...|| Geprediget/|| Durch D.</t>
  </si>
  <si>
    <t>L-1553-161856195</t>
  </si>
  <si>
    <t>996193081</t>
  </si>
  <si>
    <t>III 24, 1 a</t>
  </si>
  <si>
    <t xml:space="preserve">CAPITVLA|| ALIQVOT EX LIBEL-||lo uerè aureo Ioannis Gerso-||nis,...|| de imitatione|| Christi:|| PER [Nicolaus] MAMERANVM|| ; In gratiam simplicis ac </t>
  </si>
  <si>
    <t>L-1555-315490640</t>
  </si>
  <si>
    <t>1066960127</t>
  </si>
  <si>
    <t>III 24, 2</t>
  </si>
  <si>
    <t>Missale secundum|| ritum Augustensis ecclesie di||ligenter emendatum #[et] locupletatum:|| ac in meliorem ordinem #[qua...] an=||tehac digestum.|| Man</t>
  </si>
  <si>
    <t>Einband mit Schutz- oder Stoßkanten, Schrift bis in den Falz, welliger Buchblock</t>
  </si>
  <si>
    <t>Pa/Pg</t>
  </si>
  <si>
    <t>xx</t>
  </si>
  <si>
    <t>nur 110</t>
  </si>
  <si>
    <t>Eine Lage aus Pergament enthalten mit Buchmalerei</t>
  </si>
  <si>
    <t>L-1558-153966785</t>
  </si>
  <si>
    <t>993903541</t>
  </si>
  <si>
    <t>III 24, 3</t>
  </si>
  <si>
    <t xml:space="preserve">THRENODIA|| DE MORTE CA-||ROLI. V. ROM. IM-||PERATORIS, ET|| HISPANIARVM|| REGIS.|| AVTORE GEORGIO||AMERPACHIO.|| Cum Gratia et Priuilegio Imp.|| : </t>
  </si>
  <si>
    <t>L-9999-414378555</t>
  </si>
  <si>
    <t>1138060658</t>
  </si>
  <si>
    <t>III 24, 4</t>
  </si>
  <si>
    <t>wie geht das bei 45° mit der steifen Schließe?</t>
  </si>
  <si>
    <t>L-1524-315329645</t>
  </si>
  <si>
    <t>1066871884</t>
  </si>
  <si>
    <t>III 25, 1</t>
  </si>
  <si>
    <t>Wyder den falschge||nanten Ecclesiasten/ vñ warhafftigen Ertzketzer Mar||tinum Luther Emsers getrawe vñ nawe vorwar=||nung mit bestendiger vorlegung a</t>
  </si>
  <si>
    <t>L-1524-315329300</t>
  </si>
  <si>
    <t>1066871523</t>
  </si>
  <si>
    <t>III 25, 2</t>
  </si>
  <si>
    <t xml:space="preserve"> Antwurt|| Auff das lesterliche buch wi||der Bischoff Bēno zu Meis||sen/ vnd erhebung der hey=||ligē iungst außgegāgen.|| Emszer|| : </t>
  </si>
  <si>
    <t>L-1527-406933499</t>
  </si>
  <si>
    <t>1132614945</t>
  </si>
  <si>
    <t>III 25, 3</t>
  </si>
  <si>
    <t xml:space="preserve">Das @naw testament nach lawt der Christlichen kirchen bewerten text, corrigirt, vnd widerumb zu recht gebracht. : </t>
  </si>
  <si>
    <t>L-9999-678830347</t>
  </si>
  <si>
    <t>1211119106</t>
  </si>
  <si>
    <t>III 26, 1</t>
  </si>
  <si>
    <t>L-1873-170566617</t>
  </si>
  <si>
    <t>026289377</t>
  </si>
  <si>
    <t>III 26, 1 (3 an)</t>
  </si>
  <si>
    <t xml:space="preserve">Verzeichniss des Antiquarischen Bücherlagers von A. Bielefeld's Hofbuchhandlung in Karlsruhe : </t>
  </si>
  <si>
    <t>L-9999-414831152</t>
  </si>
  <si>
    <t>1138314196</t>
  </si>
  <si>
    <t>III 28, 1</t>
  </si>
  <si>
    <t>L-1524-315490993</t>
  </si>
  <si>
    <t>106696050X</t>
  </si>
  <si>
    <t>III 28, 2</t>
  </si>
  <si>
    <t xml:space="preserve">Ein @Sermon gepredi||get vom Pawren zu Werdt/ bey|| N#[ue]rmberg/ am Sontag vor|| Faßnacht/ von dem freyen willen des Menschen|| : </t>
  </si>
  <si>
    <t>L-1524-315491981</t>
  </si>
  <si>
    <t>1066961581</t>
  </si>
  <si>
    <t>III 28, 3</t>
  </si>
  <si>
    <t>Mich wundert das|| kein gelt ihm|| land ist.|| Ein schimpflich doch vnschedlich ge=||sprech dreyer Landtfarer/ vber yetz ge=||melten tyttel.|| Leße da</t>
  </si>
  <si>
    <t>L-1559-315488298</t>
  </si>
  <si>
    <t>1066957673</t>
  </si>
  <si>
    <t>III 29, 2</t>
  </si>
  <si>
    <t>Was Geistliche vnd|| Weltliche Obrigkeit/ wider die|| offentliche Laster/ zu thun schuldig|| ist/ mit vnterscheidt beider|| Obrigkeit Ampt/|| vnd stra</t>
  </si>
  <si>
    <t>L-1560-315492740</t>
  </si>
  <si>
    <t>1066962367</t>
  </si>
  <si>
    <t>III 29, 3</t>
  </si>
  <si>
    <t>Der @Jagteuffel/|| Bestendiger vnd Wolgegr#[ue]nd=||ter bericht/ wie fern die Jagten rechtmes=||sig/ vnd zugelassen. Vnd widerumb worin=||nen sie jtzi</t>
  </si>
  <si>
    <t>hohler Rücken, stark deformiertes Objekt</t>
  </si>
  <si>
    <t>L-1554-171708245</t>
  </si>
  <si>
    <t>1000941396</t>
  </si>
  <si>
    <t>III 29, 4</t>
  </si>
  <si>
    <t xml:space="preserve">Einer @Christlichen|| Ordination, form vnd wei=||se, vnd was darzu|| gehörig|| : </t>
  </si>
  <si>
    <t>L-1560-154524085</t>
  </si>
  <si>
    <t>994116683</t>
  </si>
  <si>
    <t>III 29, 5</t>
  </si>
  <si>
    <t>Bekendtnis|| der Prediger in der|| Graffschafft Mansfelt, vnter|| den jungen Herren|| gesessen|| : Wider alle Secten, Rotten, vnd|| falsche Leren, wid</t>
  </si>
  <si>
    <t>L-1514-315493143</t>
  </si>
  <si>
    <t>1066962855</t>
  </si>
  <si>
    <t>III 30, 1</t>
  </si>
  <si>
    <t>Summa in totã phy||sicen: hoc est philosophiam naturalem|| conformiter siquidem vere sophie: que est Theologia|| per. D. Judocum Jsennachceñ in gymnas</t>
  </si>
  <si>
    <t>L-1519-158978161</t>
  </si>
  <si>
    <t>995212651</t>
  </si>
  <si>
    <t>III 30, 1 a</t>
  </si>
  <si>
    <t xml:space="preserve">Disputatio|| excellentium : </t>
  </si>
  <si>
    <t>Pergamentband, Broschur</t>
  </si>
  <si>
    <t>L-1519-158977858</t>
  </si>
  <si>
    <t>995212384</t>
  </si>
  <si>
    <t>III 30, 1 b</t>
  </si>
  <si>
    <t>Disputatio|| excellentium : D. doctor[um] Iohannis Eccij &amp;|| Andree Carolostadij q[uae] cepta est Lipsie|| XXVII. Iunij an M.D.XIX</t>
  </si>
  <si>
    <t>L-9999-41474702X</t>
  </si>
  <si>
    <t>1138242128</t>
  </si>
  <si>
    <t>III 30, 2</t>
  </si>
  <si>
    <t>L-1522-162909306</t>
  </si>
  <si>
    <t>996820817</t>
  </si>
  <si>
    <t>III 30, 2 a</t>
  </si>
  <si>
    <t>Eyn @selig New iar|| von newen vñ alten|| gezceydten. Nyemandt|| beschwerlich : Me||nigklich troest||lich wye|| dann|| ann yem|| selbst luestig ; Alsz</t>
  </si>
  <si>
    <t>L-1546-315463899</t>
  </si>
  <si>
    <t>1066936013</t>
  </si>
  <si>
    <t>III 30, 3</t>
  </si>
  <si>
    <t>Ein @erbermlich|| geschicht/ wie ein Spaniöli=||scher/ vnd Rhömischer Doc=||tor/ vmb des Euange=||lions willen/ seinen|| leiblichen bruder|| ermordt h</t>
  </si>
  <si>
    <t>L-1523-165118105</t>
  </si>
  <si>
    <t>997856971</t>
  </si>
  <si>
    <t>III 30, 4</t>
  </si>
  <si>
    <t>Eyn @Sermon [Lucas 21, 33] wid=||der des Bapsts Kuechen predy=||ger zu Vlm, die dan geprediget vnnd|| gelogen haben, der Bapst vnd pre=||laten mogen d</t>
  </si>
  <si>
    <t>L-1532-315493259</t>
  </si>
  <si>
    <t>1066962987</t>
  </si>
  <si>
    <t>III 31, 1</t>
  </si>
  <si>
    <t>NOVA ME=||DICINAE METHODVS,|| nunc primu &amp; condita &amp; aedita,|| ex Mathematica ratione mor||bos Curandi. Ioanne Has||furto Virdungo, Me=||dico &amp; Astrol</t>
  </si>
  <si>
    <t>hohler Rücken, Schrift bis in den Falz, stark brüchiges Einbandmaterial</t>
  </si>
  <si>
    <t>Umschlag (Leder pudert) Umschlag ist bereits angefertigt (in Zshg. mit der Entwicklung des Umschlages)</t>
  </si>
  <si>
    <t>L-9999-413796930</t>
  </si>
  <si>
    <t>1137649518</t>
  </si>
  <si>
    <t>III 32, 1</t>
  </si>
  <si>
    <t>L-1507-315468572</t>
  </si>
  <si>
    <t>1066940819</t>
  </si>
  <si>
    <t>III 32, 2</t>
  </si>
  <si>
    <t>Marci Vigerii Saonensis San Mariae trans tibe. praesbi. car. seno Gallien. Decachordvm christianvm : Iulio II Pont. Max. dicatum</t>
  </si>
  <si>
    <t>L-1509-315331828</t>
  </si>
  <si>
    <t>1066874026</t>
  </si>
  <si>
    <t>III 33, 1</t>
  </si>
  <si>
    <t xml:space="preserve">Nicolai Leoniceni Vincentini De Plinii, &amp; plurium aliorum medicorum in medicina erroribus opus primum. Eiusdem Nicolai Epistola ad Hermolaum barbarum </t>
  </si>
  <si>
    <t>L-1504-315468483</t>
  </si>
  <si>
    <t>106694072X</t>
  </si>
  <si>
    <t>III 34, 1</t>
  </si>
  <si>
    <t xml:space="preserve">Petri Criniti Commentarii de honesta discipline : </t>
  </si>
  <si>
    <t>L-1514-170039528</t>
  </si>
  <si>
    <t>1000120279</t>
  </si>
  <si>
    <t>III 34, 1 a</t>
  </si>
  <si>
    <t>[Carmina]</t>
  </si>
  <si>
    <t>Vol. 1. : Ioannis Iouiani Pontani Vrania seu de stellis libri quinq[ue]</t>
  </si>
  <si>
    <t>L-1517-177752815</t>
  </si>
  <si>
    <t>1002646235</t>
  </si>
  <si>
    <t>III 34, 1 b</t>
  </si>
  <si>
    <t>Valerivs Max[imus]|| Exempla quattuor et ui=ginti nuper inuen-||ta ante caput de omibinus|| [Factorvm, ac dictorvm memorabilivm libri novem]|| Plutarc</t>
  </si>
  <si>
    <t>L-1520-315468297</t>
  </si>
  <si>
    <t>1066940517</t>
  </si>
  <si>
    <t>III 34, 2</t>
  </si>
  <si>
    <t xml:space="preserve">Cornazano De re militari : </t>
  </si>
  <si>
    <t>L-1549-406971676</t>
  </si>
  <si>
    <t>1132655722</t>
  </si>
  <si>
    <t>III 34, 3</t>
  </si>
  <si>
    <t>La @spositione di M. Simon Fornari da Rheggio sopra l' Orlando Fvrioso di M. Lvdovico Ariosto</t>
  </si>
  <si>
    <t xml:space="preserve">[1]. : </t>
  </si>
  <si>
    <t>L-1550-406971684</t>
  </si>
  <si>
    <t>1132655730</t>
  </si>
  <si>
    <t>Pt. 2. : Della espositione sopra l' Orlando Fvrioso Parte seconda</t>
  </si>
  <si>
    <t>L-1551-315465670</t>
  </si>
  <si>
    <t>1066937877</t>
  </si>
  <si>
    <t>III 34, 4</t>
  </si>
  <si>
    <t xml:space="preserve">Boezio Severino della consolazione della filosofia : </t>
  </si>
  <si>
    <t>Halbgewebeband, Schließen, erhabene Buchbeschläge</t>
  </si>
  <si>
    <t>L-1553-178401951</t>
  </si>
  <si>
    <t>1002893801</t>
  </si>
  <si>
    <t>III 34, 5</t>
  </si>
  <si>
    <t>Petri Victorii variarvm lectionvm libri XXV : Cum Summi Pontif. &amp; Cosmi Medicis Florent. Ducis II. Privilegio.</t>
  </si>
  <si>
    <t>750,00 EUR</t>
  </si>
  <si>
    <t>L-1513-31532886X</t>
  </si>
  <si>
    <t>1066871000</t>
  </si>
  <si>
    <t>III 35, 1</t>
  </si>
  <si>
    <t>Pavlina de recta Paschae celebratione : et De die passionis Domini nostri Iesv Christi</t>
  </si>
  <si>
    <t>L-9999-414748743</t>
  </si>
  <si>
    <t>1138244880</t>
  </si>
  <si>
    <t>III 36, 1</t>
  </si>
  <si>
    <t xml:space="preserve">Sammelband mit zwei Werken von Thomas Murner : </t>
  </si>
  <si>
    <t>L-1531-315462965</t>
  </si>
  <si>
    <t>1066934975</t>
  </si>
  <si>
    <t>III 36, 2</t>
  </si>
  <si>
    <t>Guldin Bull/ Caroli|| des vierden/ weilant Römischen key=||ser. Reformation/...|| des h. Römischen Reichs/|| ...|| Keyser Friderichs Re=||formation al</t>
  </si>
  <si>
    <t>L-1531-315301937</t>
  </si>
  <si>
    <t>1066842191</t>
  </si>
  <si>
    <t>III 36, 3</t>
  </si>
  <si>
    <t>Die @Heymlicheytenn Alberti Magni, Allen Hebammen vnd kindtbaren Frawen dienlich. Des ... Ludouici Bonaciole von Ferrari, etzliche artzneien vnd rath,</t>
  </si>
  <si>
    <t>L-1531-315493496</t>
  </si>
  <si>
    <t>1066963223</t>
  </si>
  <si>
    <t>III 36, 4</t>
  </si>
  <si>
    <t xml:space="preserve">Satzung/ Statuten vnd Ord=||nungen/ Best#[ae]ndiger/ gutter Regierung. Einer bil=||lichen/ ordenlichen Policei/ Jn ieden Rechten gegründtes Ebenbild. </t>
  </si>
  <si>
    <t>L-1531-175175608</t>
  </si>
  <si>
    <t>1001583299</t>
  </si>
  <si>
    <t>III 36, 5</t>
  </si>
  <si>
    <t>Zwölff Sibyllenweis=||sagungen : vil wunderbarer Zukünfft ; von anfang|| biß zu end der Welt besagende|| ; Der Küngin von Saba, küng Salomo gethane Pr</t>
  </si>
  <si>
    <t>L-1532-315493585</t>
  </si>
  <si>
    <t>1066963320</t>
  </si>
  <si>
    <t>III 36, 5 a</t>
  </si>
  <si>
    <t>Zw#[oe]lff Sibyllen weissa=||gungen/ Vil wunderbarer Zukünfft/ Von anfang|| biß zu end der welt besagende.|| Der Künigiñ vonn Saba Künig Salo=||mon ge</t>
  </si>
  <si>
    <t>L-1533-315332182</t>
  </si>
  <si>
    <t>1066874379</t>
  </si>
  <si>
    <t>III 36, 6</t>
  </si>
  <si>
    <t xml:space="preserve">Chronic|| von an vñ abgang : </t>
  </si>
  <si>
    <t>L-1533-315492465</t>
  </si>
  <si>
    <t>1066962065</t>
  </si>
  <si>
    <t>III 36, 7</t>
  </si>
  <si>
    <t>EPITOME|| CHRONICORVM, AC MA=||gis insignium Historiarum Mundi uelut In||dex: Ab orbe condito ad haec usque|| tempora. Ex probatissimis|| quibusque Au</t>
  </si>
  <si>
    <t>L-1553-167584758</t>
  </si>
  <si>
    <t>999124927</t>
  </si>
  <si>
    <t>III 36, 7a</t>
  </si>
  <si>
    <t>III 36, 7 a</t>
  </si>
  <si>
    <t xml:space="preserve">[Thewerdanck|| Des Edlen|| Streitbaren Hel||den vnd Ritters|| Ehr vnd mannliche Thaten|| Geschichten vnd Gefehrlicheiten|| ...|| Mit schoenen Figuren </t>
  </si>
  <si>
    <t>L-1555-315488506</t>
  </si>
  <si>
    <t>1066957878</t>
  </si>
  <si>
    <t>III 36, 8</t>
  </si>
  <si>
    <t>M. Elucidarius/ von|| allerhandt gesch#[oe]pffen Gottes/ den|| Engeln/ den Himeln/ Gestirns/ Planeten/ vnnd|| wie alle Creaturn geschaffen sein auff e</t>
  </si>
  <si>
    <t>L-1556-315493763</t>
  </si>
  <si>
    <t>1066963533</t>
  </si>
  <si>
    <t>III 36, 9</t>
  </si>
  <si>
    <t>Das @groß Pla=||neten Buch.|| Darinn das Erst Theil sagt/ von natur/ eigen-||thumb vnd w#[ue]rckung der sieben Planeten/ vnd zw#[oe]lff zeichen des Hi</t>
  </si>
  <si>
    <t>Kassette enthält auch alten Einband</t>
  </si>
  <si>
    <t>L-1560-315493194</t>
  </si>
  <si>
    <t>1066962928</t>
  </si>
  <si>
    <t>III 36, 10</t>
  </si>
  <si>
    <t>Eigentlicher be=||richt/ der Erfinder aller|| ding/ Nemlich/|| Wie alle Geistliche vnnd Weltliche sachen/|| K#[ue]nste/ Handtwercker vnd H#[ae]ndel #[</t>
  </si>
  <si>
    <t>am Rücken Leder fixieren und mit JP überfangen, Schließe: ggf. Material einfügen</t>
  </si>
  <si>
    <t>L-9999-406955883</t>
  </si>
  <si>
    <t>1132638577</t>
  </si>
  <si>
    <t>III 36, 11</t>
  </si>
  <si>
    <t>L-1550-315492201</t>
  </si>
  <si>
    <t>1066961808</t>
  </si>
  <si>
    <t>III 36, 12</t>
  </si>
  <si>
    <t>L-1555-16764758X</t>
  </si>
  <si>
    <t>999174002</t>
  </si>
  <si>
    <t>III 36, 13</t>
  </si>
  <si>
    <t>Manual oder|| Handtbüchlin : Darin||nen die fürnembste Heubtartickel der|| warhafftigen Christlichen Lere, in Frage|| vnd Antwort gestellet seind, gem</t>
  </si>
  <si>
    <t>L-1544-154114529</t>
  </si>
  <si>
    <t>993974147</t>
  </si>
  <si>
    <t>III 36, 13 a</t>
  </si>
  <si>
    <t xml:space="preserve">Aristophanois eutrapelōta tu kōmōdiki eudeka : </t>
  </si>
  <si>
    <t>614,00 EUR</t>
  </si>
  <si>
    <t>L-3000-026991</t>
  </si>
  <si>
    <t>1242593578</t>
  </si>
  <si>
    <t>III 36, 14</t>
  </si>
  <si>
    <t>KReutter Buch Des Hochberuempten Pedanij Di=||oscoridis Anazarbei/ gründliche vnd gewisse beschreibung|| aller materien oder gezeugs der Artznei/ ...|</t>
  </si>
  <si>
    <t>L-1502-315494557</t>
  </si>
  <si>
    <t>1066964335</t>
  </si>
  <si>
    <t>III 37, 1</t>
  </si>
  <si>
    <t>L-1553-168491079</t>
  </si>
  <si>
    <t>999514849</t>
  </si>
  <si>
    <t>III 37, 5</t>
  </si>
  <si>
    <t>Von der vnzertren=||lichen voreynigung in einen Person|| beider naturn vnsers Herrn Jesu Christi|| Gottes vnd Marien Son|| Docto. Martini Lutheri beke</t>
  </si>
  <si>
    <t>III 38 A, 1</t>
  </si>
  <si>
    <t>hohler Rücken, Schrift bis in den Falz, welliger Buchblock</t>
  </si>
  <si>
    <t>L-1516-833613774</t>
  </si>
  <si>
    <t>1268573205</t>
  </si>
  <si>
    <t>III 38 C, 1</t>
  </si>
  <si>
    <t>Psalterium Hebreum, Grecu, Arabicu &amp; Chaldeu : cu tribus latinis iterptatibus &amp; glossis ...</t>
  </si>
  <si>
    <t>22500,00 USD</t>
  </si>
  <si>
    <t>L-1557-155411853</t>
  </si>
  <si>
    <t>994340486</t>
  </si>
  <si>
    <t>Aischylon Tragōdiai Z Echolia : Aeschyli Tragoediae VII ; Quae cum omnes multoquam autes castigationes eduntur, tum vero una, quae mutila et decurtata</t>
  </si>
  <si>
    <t>L-1550-154006726</t>
  </si>
  <si>
    <t>993918360</t>
  </si>
  <si>
    <t>III 38 G, 1</t>
  </si>
  <si>
    <t xml:space="preserve">AELII AN-||TONII NEBRISSEN-||SIS RERVM A FERNANDO ET|| Elisabe Hispaniar. felicißimis Regibus gesta|| rū Decades duae, Necnō belli Nauariēsis|| libri </t>
  </si>
  <si>
    <t>L-1523-315490578</t>
  </si>
  <si>
    <t>1066960046</t>
  </si>
  <si>
    <t>III 38, 1</t>
  </si>
  <si>
    <t>Ain @hüpsche Chro=||nick von Heidnischen vñ Christen|| künigen/ der Teütschen vnd Welschen Francken/ dariñ|| nit allein die Troyanischen/Pipinischen v</t>
  </si>
  <si>
    <t>L-1522-315329106</t>
  </si>
  <si>
    <t>1066871272</t>
  </si>
  <si>
    <t>III 39, 1</t>
  </si>
  <si>
    <t xml:space="preserve">Võ misbrauch|| Christlicher freyheyt durch Johan|| Eberlin von Gintzburgk ...|| : </t>
  </si>
  <si>
    <t>Schließen, erhabene Buchbeschläge</t>
  </si>
  <si>
    <t>L-1505-153947101</t>
  </si>
  <si>
    <t>993883141</t>
  </si>
  <si>
    <t>III 40, 1</t>
  </si>
  <si>
    <t>... Opus preclarissimum postillar[um] diui Alberti Magni|| Ratisponen̄ dum vixit Ep̄i:summi et incomporabilis|| Theologi:sup Quattuor Euāgelia ...|| a</t>
  </si>
  <si>
    <t>4. : Postilla apprime ma||gistralis Super Jo||annis Euangeliare|| ...</t>
  </si>
  <si>
    <t>L-1505-153946962</t>
  </si>
  <si>
    <t>993882951</t>
  </si>
  <si>
    <t>3. : [Sp. I.] Prima et|| Secunda|| [Sp. II.] Partes Postille Super Euan||geliare Luce|| Venerabilis dn̄i:domini Alberti magni|| ...||</t>
  </si>
  <si>
    <t>L-1505-15394692X</t>
  </si>
  <si>
    <t>993882900</t>
  </si>
  <si>
    <t>2. : Super Marci Euange||liare Postilla|| Venerabilis domini: domini Al||berti magni ...</t>
  </si>
  <si>
    <t>L-1505-153946822</t>
  </si>
  <si>
    <t>99388282X</t>
  </si>
  <si>
    <t>1. : Super Matthei Euangeli||are postilla Alberti magni|| ...||</t>
  </si>
  <si>
    <t>L-1521-154137898</t>
  </si>
  <si>
    <t>993995845</t>
  </si>
  <si>
    <t>III 40, 2</t>
  </si>
  <si>
    <t>Sant Augustins ausz||legung über den fünffunduier||zigsten Psalm der sich an||hebt|der herr ist vnser|| zůflucht vnd sterck|| geteutstht [!]|| durch G</t>
  </si>
  <si>
    <t>L-1535-31522004X</t>
  </si>
  <si>
    <t>1066800138</t>
  </si>
  <si>
    <t>III 40, 3</t>
  </si>
  <si>
    <t xml:space="preserve">IN EPI||STOLAM S. PAVLI|| ad Galatas Commentarius,|| ex praelectione D.Mar||tini Luth.collectus.|| VITEBERGAE.|| M.D. XXXV.|| ...|| : </t>
  </si>
  <si>
    <t>L-1504-169751783</t>
  </si>
  <si>
    <t>99993922X</t>
  </si>
  <si>
    <t>III 40, 4</t>
  </si>
  <si>
    <t xml:space="preserve">Sermones Pomerii fratris|| Pelbarti de Themeswar di||ui Ordinis sancti Francisci|| De tempore|| [Hyemales et Estiuales] : </t>
  </si>
  <si>
    <t>L-1526-167036696</t>
  </si>
  <si>
    <t>998831123</t>
  </si>
  <si>
    <t>III 40, 5 - 1</t>
  </si>
  <si>
    <t>Loukianou samosateōs meros ...</t>
  </si>
  <si>
    <t>1. : Loukianou Samosateos Meros Proton</t>
  </si>
  <si>
    <t>400,00 EUR</t>
  </si>
  <si>
    <t>L-9999-167036742</t>
  </si>
  <si>
    <t>998831182</t>
  </si>
  <si>
    <t>III 40, 5 - 2</t>
  </si>
  <si>
    <t>2. : Loukianou Samosateos Meros Deuteron</t>
  </si>
  <si>
    <t>L-1548-153916184</t>
  </si>
  <si>
    <t>993862233</t>
  </si>
  <si>
    <t>III 41, 1</t>
  </si>
  <si>
    <t>Bekentnisse vnd Erkle||ringe vp dat INTERIM|| dorch der Erbarn|| Stede|| Lübeck|| Hamborch|| Lünenborch|| etc. : Superintendenten Pastorn vnd Prediger</t>
  </si>
  <si>
    <t>L-1554-153966742</t>
  </si>
  <si>
    <t>993903487</t>
  </si>
  <si>
    <t>III 42, 1</t>
  </si>
  <si>
    <t>ABDruck des|| Durchleuchtigen Hoch=||gebornen Fuersten vnd Herrn|| Herrn Albrechten|| des Juengern Marggrauen zu Brandenburg|| ...|| offnen Außschreib</t>
  </si>
  <si>
    <t>Halbgewebeband, Broschur</t>
  </si>
  <si>
    <t>L-1559-315493984</t>
  </si>
  <si>
    <t>1066963770</t>
  </si>
  <si>
    <t>III 44, 1</t>
  </si>
  <si>
    <t>Artikel Christ=||licher Lere/ so da hetten sol=||len auffs Concilium vberantwor=||tet werden/ wo es sein w#[ue]rde/ Vnd|| vom Gewalt des Bapsts/ vnd||</t>
  </si>
  <si>
    <t>hohler Rücken, stark brüchiges Einbandmaterial, Schrift bis in den Falz</t>
  </si>
  <si>
    <t>L-1559-315488514</t>
  </si>
  <si>
    <t>1066957886</t>
  </si>
  <si>
    <t>III 44, 2</t>
  </si>
  <si>
    <t xml:space="preserve">Des¬ Durchleuchti=||gen hochgebornen F#[ue]rsten vnd Her=||ren/ Herrn Johans Friderichen des Mittlern/|| Hertzogen zu Sachssen ... : </t>
  </si>
  <si>
    <t>L-1555-154041289</t>
  </si>
  <si>
    <t>993931669</t>
  </si>
  <si>
    <t>III 44, 3</t>
  </si>
  <si>
    <t xml:space="preserve">[Unterricht] Vnterricht vnd Ver-||manung auffs newe Jar, so ich|| vor zweien jaren den grossen Herrn dieser Welt geschanckt|| habe.|| : </t>
  </si>
  <si>
    <t>L-1555-154041327</t>
  </si>
  <si>
    <t>III 44, 3a</t>
  </si>
  <si>
    <t>III 44, 3 a</t>
  </si>
  <si>
    <t>L-1559-176760954</t>
  </si>
  <si>
    <t>1002178991</t>
  </si>
  <si>
    <t>III 44, 4</t>
  </si>
  <si>
    <t xml:space="preserve">Hauspostill vber die Sontags vnd der fürnemesten Feste Euangelien, durch das gantze Jar, : </t>
  </si>
  <si>
    <t>L-1534-154742171</t>
  </si>
  <si>
    <t>994216866</t>
  </si>
  <si>
    <t>III 45, 1</t>
  </si>
  <si>
    <t>Inscriptiones sacrosanctae vetustatis non illae quidem Romanae, sed totius fere orbis summo studio ac maximis impensis terra marique conquisitae felic</t>
  </si>
  <si>
    <t>L-1534-15474218X</t>
  </si>
  <si>
    <t>III 45, 1 a</t>
  </si>
  <si>
    <t>Leder am Rücken fixieren und überfangen, Gelenk mit JP unterlegen, Kapital "anhäkeln"</t>
  </si>
  <si>
    <t>L-1534-154532711</t>
  </si>
  <si>
    <t>994123973</t>
  </si>
  <si>
    <t>III 45, 1 b</t>
  </si>
  <si>
    <t xml:space="preserve">Inscriptiones sacrosanctae vetustatis non illae quidem Romanae, sed totius fere orbis summo studio av maximis impensis terra marique conquisitae... : </t>
  </si>
  <si>
    <t>L-9999-414175093</t>
  </si>
  <si>
    <t>1137896515</t>
  </si>
  <si>
    <t>III 45, 2</t>
  </si>
  <si>
    <t>L-1551-17498541X</t>
  </si>
  <si>
    <t>1001488202</t>
  </si>
  <si>
    <t>III 45, 3</t>
  </si>
  <si>
    <t>Ob der abgestorben|| Seelen so bey Christo sein aigentlich ein|| ander erkennen, darneben auch noch vnser der|| hie lebenden gedencken, warnemen, vnnd</t>
  </si>
  <si>
    <t>L-1542-159720354</t>
  </si>
  <si>
    <t>995542139</t>
  </si>
  <si>
    <t>III 46, 1</t>
  </si>
  <si>
    <t xml:space="preserve">Pērūš ham-millōṯ ʿal däräḵ hap-pĭaṭ l-d. sīmānīm sēfer b-rēšīṯ : </t>
  </si>
  <si>
    <t>L-1523-165116986</t>
  </si>
  <si>
    <t>997855436</t>
  </si>
  <si>
    <t>III 47 D, 1</t>
  </si>
  <si>
    <t>Ein @practica auß der heyligen|| Bibel auff vil zukünfftig jar, Selig seind die, die jr|| warnemen, vnd dar nach richten : die zeit|| ist hie, das man</t>
  </si>
  <si>
    <t>L-1548-315054778</t>
  </si>
  <si>
    <t>1066666245</t>
  </si>
  <si>
    <t>III 47, 1</t>
  </si>
  <si>
    <t>Der XLVI Psalm.|| Allen frummen Christen# so ietz|| in dieser geferlichen zeit/ vmb Gottes|| Worts willen/ entweder in not vnd gfahr|| sind/ ...|| aus</t>
  </si>
  <si>
    <t>L-1552-315321458</t>
  </si>
  <si>
    <t>1066862958</t>
  </si>
  <si>
    <t>III 47, 2</t>
  </si>
  <si>
    <t>CHRONOLOGIA|| HOC EST|| OMNIVM TEMPORVM|| ET ANNORVM AB INITIO MVNDI, VSQVE AD|| hunc præsentem a nato Christo annum M.D.LII.|| computatio.|| ...|| AV</t>
  </si>
  <si>
    <t>Schrift bis in den Falz, welliger Buchblock, stark brüchiges Einbandmaterial</t>
  </si>
  <si>
    <t>ja vor und nach</t>
  </si>
  <si>
    <t>Digi-Grenzfall --&gt; Bundsteg muss an probieren</t>
  </si>
  <si>
    <t>vor Digit. erstmal nur Umschlag und Notsicherung fragilen Leders am Rücken, danach dann Rest. der Gelenke</t>
  </si>
  <si>
    <t>L-1554-315307048</t>
  </si>
  <si>
    <t>1066847886</t>
  </si>
  <si>
    <t>III 47, 3</t>
  </si>
  <si>
    <t>Der Ehrnwirdigeñ/|| Hoch vnnd Wolgelehrten Herren/|| Johannis Brentij vnd anderer jm zuge=||ordenten Theologen vonn der Recht=||fertigung des Menschen</t>
  </si>
  <si>
    <t>L-1555-153966025</t>
  </si>
  <si>
    <t>993902642</t>
  </si>
  <si>
    <t>III 47, 4</t>
  </si>
  <si>
    <t xml:space="preserve">Des @Durchleuchtig=|sten Hochgebornen Fürsten vnnd : </t>
  </si>
  <si>
    <t>stark brüchiges Einbandmaterial</t>
  </si>
  <si>
    <t>Pg. am Rücken fixieren, Rücken mit Streifen aus JP überfangen</t>
  </si>
  <si>
    <t>L-1515-315493011</t>
  </si>
  <si>
    <t>1066962677</t>
  </si>
  <si>
    <t>III 48, 1</t>
  </si>
  <si>
    <t xml:space="preserve">Die @war nachuol/||gung Cristi vnsers|| herren vñ von ver||schmehung #/||d welt.|| : </t>
  </si>
  <si>
    <t>L-1517-315490128</t>
  </si>
  <si>
    <t>1066959595</t>
  </si>
  <si>
    <t>III 48, 2</t>
  </si>
  <si>
    <t xml:space="preserve">Die @Sib?|| Cürs zu Teütsch|| auff ainen yetli||ch? tag d? wo=||chen ain/ mit|| vil andern|| sch#[oe]n? ge||betten/|| : </t>
  </si>
  <si>
    <t>L-1522-315318384</t>
  </si>
  <si>
    <t>1066859639</t>
  </si>
  <si>
    <t>III 49, 1</t>
  </si>
  <si>
    <t>Textus veteris artis scilicet isagogarum; Porphirii predicamentorum Aristotelis simul cum duobus libris Perihermenias eiusdem emendate impressum ad ex</t>
  </si>
  <si>
    <t>Pg. am Rücken fixieren, mit JP überfangen</t>
  </si>
  <si>
    <t>L-1501-315494093</t>
  </si>
  <si>
    <t>1066963894</t>
  </si>
  <si>
    <t>III 50, 1</t>
  </si>
  <si>
    <t>Jn dem jar des hails Cristi des herren fünff=||zehenhundert vnd darnach in dem ersten jare|| ward die Cronick vnd der fürstlich stamm der|| durchleüch</t>
  </si>
  <si>
    <t>L-1515-315494662</t>
  </si>
  <si>
    <t>1066964432</t>
  </si>
  <si>
    <t>III 50, 2</t>
  </si>
  <si>
    <t>Des @hochberom||pten Latinischen histori schrei=||bers Salustij: zwo schon histo=||rien: Nemlich? von des Catilin?|| vnd auch des Jugurthen krie=||gen</t>
  </si>
  <si>
    <t>L-1516-315487577</t>
  </si>
  <si>
    <t>1066956960</t>
  </si>
  <si>
    <t>III 50, 3</t>
  </si>
  <si>
    <t>Von Klaffern.|| Hernachvolg?|| Zway puechlein das ain Lu=||cianus: vnd das ander Pog=||gius beschriben haben hal=||tend in inen. das man den verklaffe</t>
  </si>
  <si>
    <t>L-1526-315328762</t>
  </si>
  <si>
    <t>1066870888</t>
  </si>
  <si>
    <t>III 50, 4</t>
  </si>
  <si>
    <t xml:space="preserve">Enchiridion|| LOCORVM COMMVNIVM|| ADVERSVS LVTTE=||RANOS. IOHANNE|| ECKIO AVTORE.|| : </t>
  </si>
  <si>
    <t>L-1502-31548747X</t>
  </si>
  <si>
    <t>1066956871</t>
  </si>
  <si>
    <t>III 51, 1</t>
  </si>
  <si>
    <t xml:space="preserve">Liber Satyraru Junij Juue||nalis poete lepidissimi ac in-||ter om?s satyricos vtilissimi.|| ...|| : </t>
  </si>
  <si>
    <t>fester Rücken mit Schmuckprägung, Schrift bis in den Falz, stark brüchiges Einbandmaterial</t>
  </si>
  <si>
    <t>L-1510-785177809</t>
  </si>
  <si>
    <t>1144984440</t>
  </si>
  <si>
    <t>III 51, 1 a</t>
  </si>
  <si>
    <t xml:space="preserve">Sammelband mit zwei Werken von Johannes von Paltz : </t>
  </si>
  <si>
    <t>Schaden an Ecke stabil</t>
  </si>
  <si>
    <t>L-1519-315062428</t>
  </si>
  <si>
    <t>1066673942</t>
  </si>
  <si>
    <t>III 51, 1 b</t>
  </si>
  <si>
    <t>Solutiones ac|| responsa wit. Doc=||torum in publica disputatiõe Lip=||sica cõtra fulmĩa Eckiana|| parũ p[ro]futura tumorq[ue]|| aduẽtus et hũilitas||</t>
  </si>
  <si>
    <t>Ungebunden</t>
  </si>
  <si>
    <t>L-1506-315494220</t>
  </si>
  <si>
    <t>1066964017</t>
  </si>
  <si>
    <t>III 51, 2</t>
  </si>
  <si>
    <t xml:space="preserve">Passio domini no||stri ihesu christi.||(Tractatus beati Bernhar||di de planctu beate Marie|| virginis.||) : </t>
  </si>
  <si>
    <t>Einband und Buchblock separat</t>
  </si>
  <si>
    <t>L-9999-833741152</t>
  </si>
  <si>
    <t>1268645311</t>
  </si>
  <si>
    <t>III 51, 3 - Fragm.</t>
  </si>
  <si>
    <t xml:space="preserve">PSAL||terium Dauidis|| cũ Hymnis.|| : </t>
  </si>
  <si>
    <t>B</t>
  </si>
  <si>
    <t>Schaden ist stabil genug, Rücken hat bereits Teilhülse bekommen</t>
  </si>
  <si>
    <t>L-1518-31549364X</t>
  </si>
  <si>
    <t>1066963398</t>
  </si>
  <si>
    <t>III 51, 4</t>
  </si>
  <si>
    <t xml:space="preserve">PSalterium dauidis cu Hymnis : </t>
  </si>
  <si>
    <t>Halbledereinband, Ungebunden, Schließen, erhabene Buchbeschläge</t>
  </si>
  <si>
    <t>Einband und Lagen separat</t>
  </si>
  <si>
    <t>oE</t>
  </si>
  <si>
    <t xml:space="preserve">
Buchblock liegt in einzelnen Lagen vor</t>
  </si>
  <si>
    <t>Einband und Fragmente liegen der Kassette bei</t>
  </si>
  <si>
    <t>L-1519-315183322</t>
  </si>
  <si>
    <t>1066760713</t>
  </si>
  <si>
    <t>III 51, 4 a</t>
  </si>
  <si>
    <t xml:space="preserve">Sermo de Pe=||nitentia P. Martini Lu=||ther Augustiniani|| Vuittenbergēsis.|| : </t>
  </si>
  <si>
    <t>L-1501-31549445X</t>
  </si>
  <si>
    <t>106696422X</t>
  </si>
  <si>
    <t>III 51, 6</t>
  </si>
  <si>
    <t xml:space="preserve">De laudibus sanc||ctissime matris Anne tractat|| perquam vtilis domi Johãnis|| tritemij abbatis spanhemensis|| ordinis diui patris benedicti.|| : </t>
  </si>
  <si>
    <t>L-1517-163740925</t>
  </si>
  <si>
    <t>997383259</t>
  </si>
  <si>
    <t>III 51, 7</t>
  </si>
  <si>
    <t>L-1501-168303590</t>
  </si>
  <si>
    <t>999408836</t>
  </si>
  <si>
    <t>III 51, 8a</t>
  </si>
  <si>
    <t>III 51, 8 a</t>
  </si>
  <si>
    <t>Sermones contra omne[m]mu[n]di|| peruersum statu[m] : Quem deus|| gloriosus et equitas naturalis damnat</t>
  </si>
  <si>
    <t>L-1513-315494417</t>
  </si>
  <si>
    <t>106696419X</t>
  </si>
  <si>
    <t>III 51, 9</t>
  </si>
  <si>
    <t xml:space="preserve">Egloge Man||tuani.|| ...|| : </t>
  </si>
  <si>
    <t>L-1511-154678511</t>
  </si>
  <si>
    <t>994182236</t>
  </si>
  <si>
    <t>III 51, 9a</t>
  </si>
  <si>
    <t>III 51, 9 a</t>
  </si>
  <si>
    <t>Joannis Tuberini Erythropolita=||ni artiũ: et philosophie doctoris Carmen ad grauẽ: sanctu=||q? senatũ Lipsensem: de orgijs corpis Christi publici ass</t>
  </si>
  <si>
    <t>L-1509-167327569</t>
  </si>
  <si>
    <t>999002953</t>
  </si>
  <si>
    <t>III 51, 9 b</t>
  </si>
  <si>
    <t xml:space="preserve">Tractatus Dominici Manci||ni de Passione domini. iam de|| nouo diligenter emendatus|| ...|| : </t>
  </si>
  <si>
    <t>L-1515-31549459X</t>
  </si>
  <si>
    <t>106696436X</t>
  </si>
  <si>
    <t>III 51, 10</t>
  </si>
  <si>
    <t xml:space="preserve">Epistole Pauli.|| Beati Pauli Tarsensis/ Ap#[l]?i Jesu Christi|| gentiu Doctoris/ Epistole quatuordecim:|| nouem gentiu ecclesias :ecclesie platos et </t>
  </si>
  <si>
    <t>Schrift bis in den Falz, fester Rücken mit Schmuckprägung, stark brüchiges Einbandmaterial</t>
  </si>
  <si>
    <t>L-1516-315494476</t>
  </si>
  <si>
    <t>1066964246</t>
  </si>
  <si>
    <t>III 51, 11</t>
  </si>
  <si>
    <t>Valelogium|| Pro valete quod inscribi#[tur] : Octogin/||ta Jsocratis: Regalia: moralia: ~pcepta cõplectitur: que|| ad laudem dei/ et singular? oim vtr</t>
  </si>
  <si>
    <t>Einbandfragmente in der Kassette beiliegend</t>
  </si>
  <si>
    <t>L-1519-315059117</t>
  </si>
  <si>
    <t>106667051X</t>
  </si>
  <si>
    <t>III 51, 12 a</t>
  </si>
  <si>
    <t xml:space="preserve">Excusatio Eckij ad ea que falso sibi|| Philippus Melanchton grãma||ticus Vuittenburgeñ. super|| Theologica disputatio||ne Lipsica adscripsit|| : </t>
  </si>
  <si>
    <t>Br</t>
  </si>
  <si>
    <t>L-1520-315466057</t>
  </si>
  <si>
    <t>106693827X</t>
  </si>
  <si>
    <t>III 51, 13</t>
  </si>
  <si>
    <t xml:space="preserve">[Ein @Sermon von dem heiligen hoch=||wirdigen Sacrament der Tauffe doc||toris Martini Luther Augustiner.||] : </t>
  </si>
  <si>
    <t>Block und Einband zusammenfügen</t>
  </si>
  <si>
    <t xml:space="preserve">
Einband liegt der Mappe bei</t>
  </si>
  <si>
    <t>Einband liegt der Mappe bei</t>
  </si>
  <si>
    <t>L-1520-175548323</t>
  </si>
  <si>
    <t>1001772008</t>
  </si>
  <si>
    <t>III 51, 13a</t>
  </si>
  <si>
    <t>III 51, 13 a</t>
  </si>
  <si>
    <t>Schutzrede vnd Christliche|| antwort : eins Erbarn lib ha||bers götlicher warheyt|| der heyligē geschrift|| auff|| etlicher widersprechen mit antzeygu</t>
  </si>
  <si>
    <t>L-1522-315490810</t>
  </si>
  <si>
    <t>1066960321</t>
  </si>
  <si>
    <t>III 51, 14</t>
  </si>
  <si>
    <t xml:space="preserve">New ordenung der|| betthler halben/ Jn der stadt|| Nurmberg/ hoch vń|| n#[oe]tthen beschehen|| Jm. 1522.|| : </t>
  </si>
  <si>
    <t>L-1523-315490624</t>
  </si>
  <si>
    <t>1066960100</t>
  </si>
  <si>
    <t>III 51, 15</t>
  </si>
  <si>
    <t>Auß was gr#[ue]nd|| vnnd vrsach|| Luthers dolmatschung/ vber das|| nawe testament/dem gemein? man|| billich vorbotten worden sey.|| Mit scheynbarliche</t>
  </si>
  <si>
    <t>L-1523-315329297</t>
  </si>
  <si>
    <t>1066871515</t>
  </si>
  <si>
    <t>III 51, 16</t>
  </si>
  <si>
    <t xml:space="preserve">Emßers entschuldigung von wegen der Ehrwirdigen Domina der Abtissin tzu Nurmberg ... : </t>
  </si>
  <si>
    <t>L-1524-164333304</t>
  </si>
  <si>
    <t>997608625</t>
  </si>
  <si>
    <t>III 51, 16 a</t>
  </si>
  <si>
    <t>Sermo|| DIVI IOANNIS|| CHRYSOSTOMI VR||bis Comstantini Archiepi=||scopi de Magistratibus &amp;|| Potestatibus, Interprete|| Christophoro Hegen||dorffino||</t>
  </si>
  <si>
    <t>Einband im Umschlag daneben</t>
  </si>
  <si>
    <t>L-1525-315491426</t>
  </si>
  <si>
    <t>1066960976</t>
  </si>
  <si>
    <t>III 51, 17</t>
  </si>
  <si>
    <t>Czwen Sendbrieff des|| Edelen vnd hochgelar||ten hern Johan Picus Grauen zu Mi||randel an Johan Franciscum seinen|| Vettern in wellichen der mensch zu</t>
  </si>
  <si>
    <t>Pg am Rücken fixieren und mit JP überfangen</t>
  </si>
  <si>
    <t>L-1510-315491833</t>
  </si>
  <si>
    <t>1066961441</t>
  </si>
  <si>
    <t>III 51, 18</t>
  </si>
  <si>
    <t>Diffinitiones editio||nis Donati mioris|| viri clarissimi: et auctoris modoru sillgnificãdi cu expõibus earund? #[et] no||tatis pulcerrimis.||[Hrsg. v</t>
  </si>
  <si>
    <t>L-1521-159366895</t>
  </si>
  <si>
    <t>995382867</t>
  </si>
  <si>
    <t>III 51, 18a</t>
  </si>
  <si>
    <t>III 51, 18 a</t>
  </si>
  <si>
    <t xml:space="preserve">Epicteti Sto||ici Enchiridi||on : </t>
  </si>
  <si>
    <t xml:space="preserve">
Einband liegt lose bei</t>
  </si>
  <si>
    <t>Buchblock liegt lose im Einband</t>
  </si>
  <si>
    <t>L-9999-414819098</t>
  </si>
  <si>
    <t>113830929X</t>
  </si>
  <si>
    <t>III 51, 19</t>
  </si>
  <si>
    <t xml:space="preserve">
Einband liegt er Mappe bei</t>
  </si>
  <si>
    <t>Einband liegt lose in der Mappe, außerdem zwei weitere Drucke</t>
  </si>
  <si>
    <t>L-1526-315492007</t>
  </si>
  <si>
    <t>1066961603</t>
  </si>
  <si>
    <t>III 51, 20</t>
  </si>
  <si>
    <t xml:space="preserve">Ein @Sermonn|| von der vilfeltigen frucht|| des gestorbnen weytzkorn||len Math. 16. Marci. 8. Lu||ce. 9. vnd Johan. 12.|| Johan. Toltz.|| : </t>
  </si>
  <si>
    <t>L-1534-163066078</t>
  </si>
  <si>
    <t>996943757</t>
  </si>
  <si>
    <t>III 51, 20 a</t>
  </si>
  <si>
    <t xml:space="preserve">PROPHETIA||VETVS, AC NOVA, HOC EST,|| VERA SCRIPTVRAE IN : </t>
  </si>
  <si>
    <t>Einband und Buchblock seperat</t>
  </si>
  <si>
    <t xml:space="preserve">
Umschlag liegt der Mappe bei</t>
  </si>
  <si>
    <t>Umschlag liegt der Mappe bei</t>
  </si>
  <si>
    <t>x nur 110</t>
  </si>
  <si>
    <t xml:space="preserve">
Umschlag der Broschur liegt lose bei</t>
  </si>
  <si>
    <t>L-1537-306836408</t>
  </si>
  <si>
    <t>361853246</t>
  </si>
  <si>
    <t>III 51, 21</t>
  </si>
  <si>
    <t>Sechsisch Weych=||bild vnd Lehenrecht/ Jtzt|| auffs naw/ nach den warhafften alden|| exemplarn vnd texten mit vleis corri=||girt ... sampt eim|| nawen</t>
  </si>
  <si>
    <t>L-1541-315494255</t>
  </si>
  <si>
    <t>1066964041</t>
  </si>
  <si>
    <t>III 51, 21 a</t>
  </si>
  <si>
    <t>Vom Christ=||lichen Ritter|| Mit was Feinden er|| kempffen mus/ Ein kurtzer vnter=||richt aus der heiligen|| Schrifft/ durch|| IOHAN. SPANGENBERG.|| D</t>
  </si>
  <si>
    <t>L-1528-315493860</t>
  </si>
  <si>
    <t>1066963622</t>
  </si>
  <si>
    <t>III 51, 22</t>
  </si>
  <si>
    <t xml:space="preserve">Das @New Testa||m?t/ So durch L.Emser s#[ae]li||g? #[v]teuscht/vnd des Durch||lewcht? Hochgeborn? Furst? vñ : </t>
  </si>
  <si>
    <t>L-1521-315487437</t>
  </si>
  <si>
    <t>1066956820</t>
  </si>
  <si>
    <t>III 51, 22 a</t>
  </si>
  <si>
    <t xml:space="preserve">Die @verteutsth|| Bulle vnder dem na=||men des Bapst Leo des tze=||henden. Wyder do||ctor Marti=||nus|| Luther ausgan||gen.|| : </t>
  </si>
  <si>
    <t>L-1529-315494581</t>
  </si>
  <si>
    <t>1066964351</t>
  </si>
  <si>
    <t>III 51, 23</t>
  </si>
  <si>
    <t>Das @New Testa||m?t/ So durch H. Emser s#[ae]li||g? #[v]teutscht/ vnd des Durch||lewcht? Hochgeborn? F#[ue]rst? vñ|| herr? Herr? Georg? Hertzogen|| zu</t>
  </si>
  <si>
    <t>I/R</t>
  </si>
  <si>
    <t>L-1516-176473513</t>
  </si>
  <si>
    <t>1002109116</t>
  </si>
  <si>
    <t>III 51, 23a</t>
  </si>
  <si>
    <t>III 51, 23 a</t>
  </si>
  <si>
    <t xml:space="preserve">Suetonis Tran=||quilli. Liber illustriu|| virorum.|| Ad lectorum,|| Romanas acies regumq. illustria facta|| ... : </t>
  </si>
  <si>
    <t>Schrift bis in den Falz, hohler Rücken</t>
  </si>
  <si>
    <t>L-1538-315491825</t>
  </si>
  <si>
    <t>1066961433</t>
  </si>
  <si>
    <t>III 51, 24</t>
  </si>
  <si>
    <t>Rechnung auff|| der Linien vnd Federn|| Auff allerley handtirung ge-||macht/ durch Adam Risen.|| Jtem auffs new vbersehen vnd|| an viel #[oe]rten gebe</t>
  </si>
  <si>
    <t>Einband liegt lose bei</t>
  </si>
  <si>
    <t>L-1528-315489022</t>
  </si>
  <si>
    <t>1066958408</t>
  </si>
  <si>
    <t>III 51, 25</t>
  </si>
  <si>
    <t>Sachsenspie||gel. auffs newe ge=||druckt. vñ ander=||weit mit vleysse|| corrigiret.|| ...||[mit Addition vnnd Richt=||steygen «welchen der Gestrenge v</t>
  </si>
  <si>
    <t>Fixieren des Leders in den Gelenken in weiten Teilen vermutlich ausreichend wegen Gewebefalz innen, ggf. mit JP überfangen</t>
  </si>
  <si>
    <t>L-1545-315494638</t>
  </si>
  <si>
    <t>1066964408</t>
  </si>
  <si>
    <t>III 51, 26</t>
  </si>
  <si>
    <t xml:space="preserve">Sachsenspiegel|| Auffs new fleissig corrigirt/ an|| Texten/ Glossen/ Allegaten/|| Auch mit vermehrung des emendirten|| Repertorij/ vnd vieler newen|| </t>
  </si>
  <si>
    <t>L-1531-315494387</t>
  </si>
  <si>
    <t>1066964165</t>
  </si>
  <si>
    <t>III 51, 27</t>
  </si>
  <si>
    <t xml:space="preserve">ELEMEN||TA LATINAE|| Grammatices recog=||nita ab Autore|| PHILIP. MELANCH.|| : </t>
  </si>
  <si>
    <t>2.000,00 EUR</t>
  </si>
  <si>
    <t>Einband und Buchblock sperat</t>
  </si>
  <si>
    <t>L-1534-179937960</t>
  </si>
  <si>
    <t>1003453864</t>
  </si>
  <si>
    <t>III 51, 27a</t>
  </si>
  <si>
    <t>III 51, 27 a</t>
  </si>
  <si>
    <t xml:space="preserve">Von der Christlichen|| Kyrchen: wider Jo=||do=cum Koch, der sich nen=||net, Justum Jonam|| : </t>
  </si>
  <si>
    <t>L-1533-161598072</t>
  </si>
  <si>
    <t>996037756</t>
  </si>
  <si>
    <t>III 51, 27 b</t>
  </si>
  <si>
    <t xml:space="preserve">Des @Churfursten vnd|| Herzog Georgen zu Sachs||sen voreynigung [Vereinigung] der Bla||ckerey vnd Mutwil||ligen Befehder|| halben|| : </t>
  </si>
  <si>
    <t>L-1526-31506224X</t>
  </si>
  <si>
    <t>1066673780</t>
  </si>
  <si>
    <t>III 51, 27 c</t>
  </si>
  <si>
    <t>Von dem Testament|| Christi vnsers Herren vnd|| Seligmachers|| Dem Hoch=||löblichen Adell ym Land tzu|| Sachsen|| sampt alle Christ=||glewbigen|| Deut</t>
  </si>
  <si>
    <t>L-1560-315494034</t>
  </si>
  <si>
    <t>1066963827</t>
  </si>
  <si>
    <t>III 51, 28</t>
  </si>
  <si>
    <t xml:space="preserve">ENCHIRIDION.|| Der Kleine|| Catechismus.|| F#[ue]r die gemeine|| Pfarherr vnd|| Prediger.|| D. Mart. Luther.|| : </t>
  </si>
  <si>
    <t>L-1546-167646931</t>
  </si>
  <si>
    <t>999173235</t>
  </si>
  <si>
    <t>III 51, 28 a</t>
  </si>
  <si>
    <t xml:space="preserve">Loci Com||Mvnes Theo||Logici,|| Nvnc Denvo Cvm Cvra|| &amp; diligentia summa recogniti,|| multisque in locis copiose|| illustrati|| : </t>
  </si>
  <si>
    <t>L-1546-167647148</t>
  </si>
  <si>
    <t>999173472</t>
  </si>
  <si>
    <t>III 51, 28 b</t>
  </si>
  <si>
    <t>L-1546-168348837</t>
  </si>
  <si>
    <t>999424467</t>
  </si>
  <si>
    <t>III 51, 28 c</t>
  </si>
  <si>
    <t>Vnnser von Gotts|| genaden Moritzes Hertzogen zu|| Sachssen, Landtgraffen in Döringen,|| vnnd Marggreffen zu Meissen, Erklerunge, wie|| wir der Christ</t>
  </si>
  <si>
    <t>Buchblock und Einband getrennt</t>
  </si>
  <si>
    <t>L-1549-180493000</t>
  </si>
  <si>
    <t>1003702910</t>
  </si>
  <si>
    <t>III 51, 28 d</t>
  </si>
  <si>
    <t>ORATIO DE|| CONIVNCTIONE ET|| VNITATE CHRISTIANORVM,|| CONTRA NON NECESSARIAS SE=||PARATIONES, ET AEMVLA=||tiones peruersas, recitata in|| templo coll</t>
  </si>
  <si>
    <t>L-1552-167647377</t>
  </si>
  <si>
    <t>999173707</t>
  </si>
  <si>
    <t>III 51, 28 e</t>
  </si>
  <si>
    <t>Loci Prae||Cipvi Theo||Logici|| : Nvnc Denvo Cvra Et||diligentia summa recogniti,|| multisque in locis co||piosè illustrati,|| Cum appendice disputati</t>
  </si>
  <si>
    <t>L-1546-83417233X</t>
  </si>
  <si>
    <t>1268890502</t>
  </si>
  <si>
    <t>III 51, 28 f</t>
  </si>
  <si>
    <t>L-1557-31530636X</t>
  </si>
  <si>
    <t>1066847088</t>
  </si>
  <si>
    <t>III 51, 30</t>
  </si>
  <si>
    <t xml:space="preserve">Chronica|| Vnd Antiquitates des alten : </t>
  </si>
  <si>
    <t>L-1518-31548795X</t>
  </si>
  <si>
    <t>1066957304</t>
  </si>
  <si>
    <t>III 51, 32</t>
  </si>
  <si>
    <t xml:space="preserve">Appellatio. F.|| Martini Luther ad|| Concilium.|| : </t>
  </si>
  <si>
    <t xml:space="preserve">
Einband mit saurem Füllmaterial liegt bei</t>
  </si>
  <si>
    <t>Einband liegt bei</t>
  </si>
  <si>
    <t>L-1520-179470655</t>
  </si>
  <si>
    <t>1003325297</t>
  </si>
  <si>
    <t>III 51, 32a</t>
  </si>
  <si>
    <t>III 51, 32 a</t>
  </si>
  <si>
    <t>Wie die Bebstlich geschick=||te botschafft yre werbung gethan, ha=||ben An den durchlauchtigen vnd|| hochgebornē Furstē vn̄ hern|| hertzog Friderich t</t>
  </si>
  <si>
    <t xml:space="preserve">
Einband liegt bei</t>
  </si>
  <si>
    <t>L-1528-163501254</t>
  </si>
  <si>
    <t>997214228</t>
  </si>
  <si>
    <t>III 51, 32 b</t>
  </si>
  <si>
    <t>Ein @Sendt||brieff Kethen vo[n] Bho||re Luthers vormeyn||them eheweybe sampt eynem geschenck freuntlicher|| meynung tzuuor=||fertigt : Dartzu eyne Bed</t>
  </si>
  <si>
    <t>L-1520-153968850</t>
  </si>
  <si>
    <t>993907032</t>
  </si>
  <si>
    <t>III 51, 33 a</t>
  </si>
  <si>
    <t xml:space="preserve">Super apostolica se||de, An videlicet diuino sit iure nec ne, anque põtifex|| qui Papa dici caeptus est, iure diuino in ea ipsa|| pre̜sideat, nō parū </t>
  </si>
  <si>
    <t>L-1520-315490594</t>
  </si>
  <si>
    <t>1066960062</t>
  </si>
  <si>
    <t>III 51, 33 b</t>
  </si>
  <si>
    <t>Henrici Stro=||meri Aurbachi Medici Ser=||mo panegyricus, Petro Mosellano, quo|| die Lipsensis Academiae Rector|| proclamatus est, dictus. Cui|| adiec</t>
  </si>
  <si>
    <t>L-2020-302395</t>
  </si>
  <si>
    <t>1217816836</t>
  </si>
  <si>
    <t>III 51, 33 c ; Großformate</t>
  </si>
  <si>
    <t>III 51, 33 c</t>
  </si>
  <si>
    <t xml:space="preserve">Sachssenspigell : vffs new durchaus corrgirt und restituirt, Allenthalb wu dye text vorandert vnd vnuorstentlich gewest, mitt vil nawen adicionen aus </t>
  </si>
  <si>
    <t>2100,00 EUR</t>
  </si>
  <si>
    <t>nur loses Leder (Restaurierung) fixieren, Gelenk vorn belassen (ist stabil genug)</t>
  </si>
  <si>
    <t>L-1531-167364022</t>
  </si>
  <si>
    <t>999014935</t>
  </si>
  <si>
    <t>III 51, 34</t>
  </si>
  <si>
    <t xml:space="preserve">Der @ga[n]tz Jüdisch glaub|| mit sampt eyner gruentliche[n] vnd  warhaff||tigen anzeygunge, aller satzungen, Ceremonien, ge||beten, ...|| : </t>
  </si>
  <si>
    <t>L-1536-168645327</t>
  </si>
  <si>
    <t>999640356</t>
  </si>
  <si>
    <t>III 51, 34a</t>
  </si>
  <si>
    <t>III 51, 34 a</t>
  </si>
  <si>
    <t xml:space="preserve">ANTIQVA ET IN||signis Epistola Nicolai Pape. I.|| : </t>
  </si>
  <si>
    <t>L-1542-170178528</t>
  </si>
  <si>
    <t>1000186962</t>
  </si>
  <si>
    <t>III 51, 35</t>
  </si>
  <si>
    <t>Psalter|| Deudsch|| : mit den Summarien|| D. Mar. Luth.</t>
  </si>
  <si>
    <t>L-1515-315318082</t>
  </si>
  <si>
    <t>1066859388</t>
  </si>
  <si>
    <t>III 52, 1</t>
  </si>
  <si>
    <t>Questiones Quotlibetice Excellentissimi ... M. Hadriani Florentii de Traiecto: Prepositi insignis ecclesie sancti Saluatoris Traiectensis: atq. precla</t>
  </si>
  <si>
    <t>L-1556-169798941</t>
  </si>
  <si>
    <t>999973878</t>
  </si>
  <si>
    <t>III 52, 2</t>
  </si>
  <si>
    <t>Petri Lombardi|| Episcopi Parisiensis Senten||tiarvm libri IIII|| ... per Ioan. Aleaume Parisien. Theologiae pro||fessorem, pristino suo nitori nunc p</t>
  </si>
  <si>
    <t>fixieren und ggf. überfangen mit JP</t>
  </si>
  <si>
    <t>L-1514-315491841</t>
  </si>
  <si>
    <t>106696145X</t>
  </si>
  <si>
    <t>III 53, 1</t>
  </si>
  <si>
    <t xml:space="preserve">Vocabularius gem=||ma gemmarum nouiter|| Jmpressus multa:||rum dictionum|| additione ex||ornatus.|| : </t>
  </si>
  <si>
    <t>L-1551-315207787</t>
  </si>
  <si>
    <t>1066786194</t>
  </si>
  <si>
    <t>III 54, 1</t>
  </si>
  <si>
    <t xml:space="preserve">Ristretto delle Historie Genovesi : </t>
  </si>
  <si>
    <t>L-9999-414283511</t>
  </si>
  <si>
    <t>1137969016</t>
  </si>
  <si>
    <t>III 55, 2</t>
  </si>
  <si>
    <t xml:space="preserve">Sammelband mit vier Werken von Johannes Draconites : </t>
  </si>
  <si>
    <t>L-9999-414283635</t>
  </si>
  <si>
    <t>1137969253</t>
  </si>
  <si>
    <t>III 55, 3</t>
  </si>
  <si>
    <t xml:space="preserve">Sammelband mit drei Werken von Johannes Draconites : </t>
  </si>
  <si>
    <t>L-1527-315489995</t>
  </si>
  <si>
    <t>1066959412</t>
  </si>
  <si>
    <t>III 56, 1</t>
  </si>
  <si>
    <t xml:space="preserve">Die @disputacion vor den xij orten || einer loblich? eidtgnoschafft nlich|| Bern Lutzern Ury Schvuytz Un=||dervualden ob vnnd nidt dem kern||walt Zug </t>
  </si>
  <si>
    <t>L-1509-315468238</t>
  </si>
  <si>
    <t>1066940452</t>
  </si>
  <si>
    <t>III 57, 1</t>
  </si>
  <si>
    <t>Digestum vetus summis elucubratum ac castigatum vigilis vna cum additionibus ... de recenti insertis et concordantiis iuris canonici : egregie et quad</t>
  </si>
  <si>
    <t>L-9999-414174534</t>
  </si>
  <si>
    <t>1137895519</t>
  </si>
  <si>
    <t>III 57, 2</t>
  </si>
  <si>
    <t>L-1536-17596596X</t>
  </si>
  <si>
    <t>1001987322</t>
  </si>
  <si>
    <t>III 57, 2a</t>
  </si>
  <si>
    <t>III 57, 2 a</t>
  </si>
  <si>
    <t>De re hortensi libellvs, vvlgaria herbarvm, florvm, ac fruticum, qui in hortis conseri solent, nomina latinis uocibus efferre docens ex probatis autor</t>
  </si>
  <si>
    <t>L-9999-414174925</t>
  </si>
  <si>
    <t>1137896175</t>
  </si>
  <si>
    <t>III 57, 3</t>
  </si>
  <si>
    <t xml:space="preserve">Sammelband mit zwei Werken von Pelbartus de Themeswar : </t>
  </si>
  <si>
    <t>L-1531-31530863X</t>
  </si>
  <si>
    <t>1066849633</t>
  </si>
  <si>
    <t>III 57, 4</t>
  </si>
  <si>
    <t xml:space="preserve">Tractatus singulares aurei et in praxi contingibiles domini Guidonis Pape consulis Dalphinalis apprime tersi et emuncti : </t>
  </si>
  <si>
    <t>enth. Blindlagen</t>
  </si>
  <si>
    <t>L-1532-315468602</t>
  </si>
  <si>
    <t>1066940851</t>
  </si>
  <si>
    <t>III 57, 5</t>
  </si>
  <si>
    <t xml:space="preserve">Tractatus perutilis et quotidianus de iure patronatus : </t>
  </si>
  <si>
    <t>L-1533-315463775</t>
  </si>
  <si>
    <t>1066935866</t>
  </si>
  <si>
    <t>III 57, 6</t>
  </si>
  <si>
    <t xml:space="preserve">Successionum ab intestato respectu tam clericorum quam laicorum tractatus beatissimus Do. Nicolai de Ubaldis de Perusio : ... Quem super eodem titulo </t>
  </si>
  <si>
    <t>L-9999-414171144</t>
  </si>
  <si>
    <t>1137888539</t>
  </si>
  <si>
    <t>III 57, 7</t>
  </si>
  <si>
    <t>L-1550-156068516</t>
  </si>
  <si>
    <t>994509766</t>
  </si>
  <si>
    <t>III 57, 7a</t>
  </si>
  <si>
    <t>III 57, 7 a</t>
  </si>
  <si>
    <t>ORATIO-||NVM M. T.|| CICERO-||NIS, VOLVMEN ...||</t>
  </si>
  <si>
    <t xml:space="preserve">Vol. 3 : </t>
  </si>
  <si>
    <t>L-1551-177021470</t>
  </si>
  <si>
    <t>100231917X</t>
  </si>
  <si>
    <t>III 57, 7b</t>
  </si>
  <si>
    <t>III 57, 7 b</t>
  </si>
  <si>
    <t>TESTA-||MENTI|| NOVI,|| EDITIO VVLGATA</t>
  </si>
  <si>
    <t>L-1522-681003790</t>
  </si>
  <si>
    <t>1132616654</t>
  </si>
  <si>
    <t>III 57, 8</t>
  </si>
  <si>
    <t xml:space="preserve">De mysteriis Aegyptiorvm, Chaldaeorum, Assyriorum : </t>
  </si>
  <si>
    <t>Kassette im Schuber</t>
  </si>
  <si>
    <t xml:space="preserve">
wegen Rücken, auch nach Rest. sehr ws. nicht möglich/ratsam</t>
  </si>
  <si>
    <t>ja ÖW=0</t>
  </si>
  <si>
    <t>Restaurieren, wenn ÖW =0° ?</t>
  </si>
  <si>
    <t>Rücken vollständig ablösen, neu einledern und alten Rücken übertragen, auf hohlen Rücken arbeiten, da Rückenleder sehr brüchig</t>
  </si>
  <si>
    <t>L-1519-154739588</t>
  </si>
  <si>
    <t>994214782</t>
  </si>
  <si>
    <t>III 57, 9</t>
  </si>
  <si>
    <t xml:space="preserve">Biblia cum concordantijs veteris &amp; noui testamenti sa-||crorum canonum: necnon &amp; additionibus in marginibus va||rietatis diuersorum textuum: ac etiam </t>
  </si>
  <si>
    <t>L-1503-177752726</t>
  </si>
  <si>
    <t>100264612X</t>
  </si>
  <si>
    <t>III 57, 10</t>
  </si>
  <si>
    <t xml:space="preserve">Valerii Maximi Dicto||rvm et Factorum|| Memorabilivm|| Libri No=||Vem|| : </t>
  </si>
  <si>
    <t>L-1532-155962353</t>
  </si>
  <si>
    <t>994458029</t>
  </si>
  <si>
    <t>III 57, 11</t>
  </si>
  <si>
    <t>III 57, 11 - 1</t>
  </si>
  <si>
    <t>[Super V libris decretalium] ... cum summariis omnem materiam ... Flori de Sura</t>
  </si>
  <si>
    <t>1,2 : Super secunda parte primi decretalium</t>
  </si>
  <si>
    <t>L-1532-155962426</t>
  </si>
  <si>
    <t>99445807X</t>
  </si>
  <si>
    <t>III 57, 11 - 2</t>
  </si>
  <si>
    <t>2,2 : Super secunda parte secundi decretalium</t>
  </si>
  <si>
    <t>L-1552-157516458</t>
  </si>
  <si>
    <t>994684444</t>
  </si>
  <si>
    <t>III 57, 11a</t>
  </si>
  <si>
    <t>III 57, 11 a - 1</t>
  </si>
  <si>
    <t>[Corpus iuris civilis]</t>
  </si>
  <si>
    <t>Bd 1. : DIGESTVM VETVS</t>
  </si>
  <si>
    <t>L-1552-157516660</t>
  </si>
  <si>
    <t>994684622</t>
  </si>
  <si>
    <t>III 57, 11 a - 2</t>
  </si>
  <si>
    <t>Bd 2. : INFORTIATVM,||Pandectarum Iuris Ciuilis, Tomus Secundus||QVARTAE PARTIS RELIQVVM, ITEMQVE||QVINTAM DIGESTORVM PARTEM, AC SEXTAE PARTIS LIBROS||duos continens, ex Pandectis Florentinis ita in vniuersum reco-||gnitus ac emendatus ...||ADIECIMVS PLVRIBVS ANNOTATIONES ...||Accesserunt praeterea Responsa aliquot Graeca Modestini Iurisconsulti, nul-||libi antehaec excusa...||</t>
  </si>
  <si>
    <t>L-1551-157516830</t>
  </si>
  <si>
    <t>994684754</t>
  </si>
  <si>
    <t>III 57, 11 a - 3</t>
  </si>
  <si>
    <t>Bd 3. : DIGESTVM VOVVM.||Pandectarum Iuris Ciuilis Tomus Tertius||SEXTAE PARTIS RELIQVVM, AC SEPTI=||MAM, EANDEM'QVE NOVISSIMAM DIGESRORVM PARTEM||contenens, ex Pandectis Florentinis ita in vniuersum recognitus, ac</t>
  </si>
  <si>
    <t>L-1553-157517098</t>
  </si>
  <si>
    <t>994685009</t>
  </si>
  <si>
    <t>III 57, 11 a - 4</t>
  </si>
  <si>
    <t>Bd 4. : CODICIS||DN. IVSTINIANI SA-||CRATISSIMI PRINCIPIS EX||REPETITA PRAELECTIONE LI-||BRI NOVEM PRIORES, AD VETSTIS-||SIMORVM EXEMPLARIVM, ATQVE AD IPSIVS||ETIAM NORDICAE EDITIONIS [QVAM HALOAN-||DEO DEBEMVS] FIDEM RECOGNITI||ET EMENDATI.||Adiactae sunt huic editioni Sanctiones aliquot Graecae ... vnáque cum illis Fran-||cisci Hotomani Latina interpretatio ...||Catalogum Consulum ...</t>
  </si>
  <si>
    <t>L-1519-170340236</t>
  </si>
  <si>
    <t>100028736X</t>
  </si>
  <si>
    <t>III 57, 12</t>
  </si>
  <si>
    <t>Pa[n]theologia id est toti[us] theologie|| summa i[n]comp[ar]abilis Reuere[n]di patris Raynerii|| Pisani diui ordinis predicator[um] ... recognitione|</t>
  </si>
  <si>
    <t>L-1519-170340473</t>
  </si>
  <si>
    <t>1000287688</t>
  </si>
  <si>
    <t>III 57, 12 - 2</t>
  </si>
  <si>
    <t xml:space="preserve">2 : </t>
  </si>
  <si>
    <t>L-1551-153918721</t>
  </si>
  <si>
    <t>993865046</t>
  </si>
  <si>
    <t>III 57, 13</t>
  </si>
  <si>
    <t>EMBLEMATA|| D. A. ALCIATI,|| denuo ab ipso Autorre|| recognita, ac quae desi||derabatur imagini||bus locupletata,|| Accesserunt noua aliquot ab|| Auto</t>
  </si>
  <si>
    <t>L-1556-760221472</t>
  </si>
  <si>
    <t>1250541085</t>
  </si>
  <si>
    <t>III 57, 14</t>
  </si>
  <si>
    <t xml:space="preserve">Sammelband mit zwei Drucken von Guillaume Rouille : </t>
  </si>
  <si>
    <t>9000,00 EUR</t>
  </si>
  <si>
    <t>B: 22x32
F: 38x42</t>
  </si>
  <si>
    <t>Falttafel mit Rissen</t>
  </si>
  <si>
    <t>L-1555-315220481</t>
  </si>
  <si>
    <t>1066800626</t>
  </si>
  <si>
    <t>III 57, 15</t>
  </si>
  <si>
    <t xml:space="preserve">Breviarivm Romanvm, ex sacra potissimum scriptura, &amp; probatis sanctorum historiis nuper confectum, ac denuo per eundem authorem accuratius recognitum </t>
  </si>
  <si>
    <t xml:space="preserve">
weniger als 45° zu öffnen</t>
  </si>
  <si>
    <t>L-9999-414833384</t>
  </si>
  <si>
    <t>1138316458</t>
  </si>
  <si>
    <t>III 58, 1</t>
  </si>
  <si>
    <t>L-1534-154007358</t>
  </si>
  <si>
    <t>993918859</t>
  </si>
  <si>
    <t>III 58, 2</t>
  </si>
  <si>
    <t xml:space="preserve">Ein @kurtzer|| auszog, aus der|| Cronica Naucle-||ri, wie vntreulich vnd ver||reterlich die Bebste zu|| Rom mit den Romi-||schen Keysern gehan-||delt </t>
  </si>
  <si>
    <t>L-1537-315492368</t>
  </si>
  <si>
    <t>1066961964</t>
  </si>
  <si>
    <t>III 58, 3</t>
  </si>
  <si>
    <t>¬DEr¬ xv. Psalm Da=||uids/ ausgelegt durch D. Vr=||banum Rhegium.|| Sampt einer Christlichen vnterrich=||tung/ von einem vnchristlichen vnerh#[oe]r=||</t>
  </si>
  <si>
    <t>L-1546-167294946</t>
  </si>
  <si>
    <t>99897188X</t>
  </si>
  <si>
    <t>III 58, 3 a</t>
  </si>
  <si>
    <t>Ewiger: Göttlich=||er, Allmechtiger Maiestat|| Declaration [Deklaration]|| : [Holzschnitt]|| Wider Kaiser Carl, König zu Hispanien etc. Vnd|| Bapst Pa</t>
  </si>
  <si>
    <t>L-1548-154006998</t>
  </si>
  <si>
    <t>993918581</t>
  </si>
  <si>
    <t>III 58, 3 b</t>
  </si>
  <si>
    <t xml:space="preserve">Antwort, Glaub vnd|| Bekentnis auff das|| schöne vnd liebliche|| INTERIM : </t>
  </si>
  <si>
    <t>L-1548-154041092</t>
  </si>
  <si>
    <t>993931456</t>
  </si>
  <si>
    <t>III 58, 3 c</t>
  </si>
  <si>
    <t xml:space="preserve">Einer @Christlichen|| Stad vnthertenigk antwort|| auff das von Key. Ma. vberschickt|| Interim : Vnnd ein Radt=||schlag der Predicanten|| der selbigen </t>
  </si>
  <si>
    <t>L-1548-153700858</t>
  </si>
  <si>
    <t>993850308</t>
  </si>
  <si>
    <t>III 58, 3 d</t>
  </si>
  <si>
    <t xml:space="preserve">Wider den spoettischen|| Lügner vnd unuedschempten ver||leumbder M. Isslebium|| Agrico||lam : Nötige verantwortung, vnd Ernstliche warnung, Wider das </t>
  </si>
  <si>
    <t>L-1548-16758801X</t>
  </si>
  <si>
    <t>999128655</t>
  </si>
  <si>
    <t>III 58, 3 e</t>
  </si>
  <si>
    <t>Eine @Predigt vber|| Das Euangelion Luce xiiii : Von|| dem Wassersüchtigen, So man list|| den Siebenzehenden Sontag|| nach Trinitatis wieder das|| INT</t>
  </si>
  <si>
    <t>L-1549-169167011</t>
  </si>
  <si>
    <t>999794914</t>
  </si>
  <si>
    <t>III 58, 3 f</t>
  </si>
  <si>
    <t xml:space="preserve">Bedencken auff das|| Interim von einem Hochgeler||ten vnd Ehrwirdigen Herrn,|| einem Erbarn Radt seiner|| Oberkeit vberreicht : </t>
  </si>
  <si>
    <t>L-1549-154523437</t>
  </si>
  <si>
    <t>994116098</t>
  </si>
  <si>
    <t>III 58, 3 g</t>
  </si>
  <si>
    <t xml:space="preserve">Der @Prediger der|| Jungen Herrn, Johans Fride=||richen Hertzogen zu Sachssen|| etc. Sönen, Christlich Be=||dencken auff das|| INTERIM.|| Esais 54.|| </t>
  </si>
  <si>
    <t>L-1549-154872075</t>
  </si>
  <si>
    <t>994252374</t>
  </si>
  <si>
    <t>III 58, 3 h</t>
  </si>
  <si>
    <t>Bekentnuss vnnd Er||klerung auffs|| INTERIM.|| durch der Erbarn Stedte, Lübeck,|| Hamburg, Lüneburg, etc. Su||perintendenten, Pastorn vnnd Predi||gern</t>
  </si>
  <si>
    <t>L-1549-15453336X</t>
  </si>
  <si>
    <t>572342640</t>
  </si>
  <si>
    <t>III 58, 3 i</t>
  </si>
  <si>
    <t>Das @die zu Wittenberg im andern teil der bucher Doctoris Martini im buch das dise Wort Christi (Das ist mein Leib etc.) noch feststehen, mehr denn ei</t>
  </si>
  <si>
    <t>L-1549-15453353X</t>
  </si>
  <si>
    <t>III 58, 3 ia</t>
  </si>
  <si>
    <t>L-1965-159364442</t>
  </si>
  <si>
    <t>995380783</t>
  </si>
  <si>
    <t>III 58, 3 k</t>
  </si>
  <si>
    <t xml:space="preserve">Der @Von Magde||burgk Entschu[e]ldi||gung, Bit, Vnnd gemeine|| Christliche erinnerunge|| : [Holzschnitt Stadtwappen]|| Esaie ; 40 Matth. 5|| ; Himmel </t>
  </si>
  <si>
    <t>L-1550-167081977</t>
  </si>
  <si>
    <t>998859680</t>
  </si>
  <si>
    <t>III 58, 3 m</t>
  </si>
  <si>
    <t xml:space="preserve">Des @Ehrwirdigen|| vnd tewren Mans Doct. Marti.|| Luthers seliger gedechtnis meinung,|| von den Mitteldingen : </t>
  </si>
  <si>
    <t>L-1559-179548115</t>
  </si>
  <si>
    <t>1003362400</t>
  </si>
  <si>
    <t>III 58, 3 n</t>
  </si>
  <si>
    <t>Tafel oder Richtschnur :|| jrrige meinung in der Christlichen Kir=||chen recht zu vrteilen, Allen Chri=||sten bey verlust der Göttlichen|| warheit nöt</t>
  </si>
  <si>
    <t>L-1551-154031127</t>
  </si>
  <si>
    <t>993921655</t>
  </si>
  <si>
    <t>III 58, 3 o</t>
  </si>
  <si>
    <t xml:space="preserve">Vom Bapst vnd seiner|| Kirchen/ das sie des Teufels/ vnd|| nicht Christi vnsers lieben Herrn|| Kirche sey.|| Nicolaus von Amsdorff.|| EXVL.|| : </t>
  </si>
  <si>
    <t>L-1551-154011436</t>
  </si>
  <si>
    <t>993919928</t>
  </si>
  <si>
    <t>III 58, 3 p</t>
  </si>
  <si>
    <t>Das @Doctor Po||mer vnd Doctor Maior mit jren|| Adiaphoristen ergernis vnnd zur|| trennung angericht : Vnnd den Kirchen|| Christi, vnüberwintlichen sc</t>
  </si>
  <si>
    <t>L-1551-154007749</t>
  </si>
  <si>
    <t>993919243</t>
  </si>
  <si>
    <t>III 58, 3 q</t>
  </si>
  <si>
    <t>Deren zu Magde||burgk, so widder die Adiaphora geschrieben haben, jhres votigen schrei||bens beschlus, auff der Adiaphoristen|| beschueldigung vnnd le</t>
  </si>
  <si>
    <t>L-1551-154007935</t>
  </si>
  <si>
    <t>996746560</t>
  </si>
  <si>
    <t>III 58, 3 qa</t>
  </si>
  <si>
    <t>L-1552-16708402X</t>
  </si>
  <si>
    <t>998861545</t>
  </si>
  <si>
    <t>III 58, 3 r</t>
  </si>
  <si>
    <t xml:space="preserve">Etliche Prophe||ceysprüche D.|| Martini Lutheri, Des dritten|| Elias : </t>
  </si>
  <si>
    <t>L-1549-154067296</t>
  </si>
  <si>
    <t>993944442</t>
  </si>
  <si>
    <t>III 58, 3 s</t>
  </si>
  <si>
    <t>Ein @seer Schön Christ||lich bedencken auff das Schendlich|| INTERIM|| Mit antzeigung der zeichen, so|| fur dem Jüngsten Tage her||komen, vnd den jtzi</t>
  </si>
  <si>
    <t>L-1536-170698769</t>
  </si>
  <si>
    <t>1000481581</t>
  </si>
  <si>
    <t>III 58, 3 t</t>
  </si>
  <si>
    <t xml:space="preserve">Der|| @XIIII. Psalm inn|| eil ausgelegt|| durch|| D. Vrbanum Regi=||um|| an einen gu=||ten freund : </t>
  </si>
  <si>
    <t>L-1536-170698726</t>
  </si>
  <si>
    <t>III 58, 3 ta</t>
  </si>
  <si>
    <t>L-1529-167188550</t>
  </si>
  <si>
    <t>998904147</t>
  </si>
  <si>
    <t>III 58, 3 u</t>
  </si>
  <si>
    <t xml:space="preserve">Auslegunge|| der Euangelien|| von Ostern|| bis auffs Aduent|| gepre=||digt durch Doctorem|| : </t>
  </si>
  <si>
    <t>Einband mit Schutz- oder Stoßkanten, hohler Rücken</t>
  </si>
  <si>
    <t xml:space="preserve">
voll restauriert, Neueinband</t>
  </si>
  <si>
    <t>L-1550-154656631</t>
  </si>
  <si>
    <t>994160615</t>
  </si>
  <si>
    <t>III 58, 3 l</t>
  </si>
  <si>
    <t>III 58, 3/1</t>
  </si>
  <si>
    <t>Der @Theologen|| bedencken, odder (wie es durch die|| ihren inn offentlichem Dru[e]ck genennet|| wirdt) : Beschluß des Landtages zu Leiptzig, so im De</t>
  </si>
  <si>
    <t>L-1548-160372135</t>
  </si>
  <si>
    <t>995662185</t>
  </si>
  <si>
    <t>III 58, 4 b</t>
  </si>
  <si>
    <t>Das @INTERIM|| ILLVMINIRT|| vnd aussgestrichen mit seinen an||gebornen natürlichen farben, von|| Augspurgk einem guten Freunde zugeschickt|| Cum Schol</t>
  </si>
  <si>
    <t>L-1549-154040134</t>
  </si>
  <si>
    <t>993930492</t>
  </si>
  <si>
    <t>III 58, 4 c</t>
  </si>
  <si>
    <t xml:space="preserve">Antwort der Predica[n] : </t>
  </si>
  <si>
    <t>L-1550-153948892</t>
  </si>
  <si>
    <t>993885411</t>
  </si>
  <si>
    <t>III 58, 4 d</t>
  </si>
  <si>
    <t xml:space="preserve">Ein @Predigt|| vom Ehestand, vber das Euangelium, Es war ein|| Hochzeit zu Cana etc.|| : </t>
  </si>
  <si>
    <t>L-1550-160373263</t>
  </si>
  <si>
    <t>995663084</t>
  </si>
  <si>
    <t>III 58, 4 e</t>
  </si>
  <si>
    <t xml:space="preserve">Zwey Capitel Poly||dori Virgilij vom Name[n] vnd Stiff|tern der Mess, ausgangen zu einem anfang wider|| des Sydonij predigten, Daraus erscheinet, wie </t>
  </si>
  <si>
    <t>L-1550-175198233</t>
  </si>
  <si>
    <t>1001606396</t>
  </si>
  <si>
    <t>L-1550-17940069X</t>
  </si>
  <si>
    <t>1003301878</t>
  </si>
  <si>
    <t>III 58, 4 f</t>
  </si>
  <si>
    <t>Zwo Predige[n] gethan|| aus dem Euangelio Matthei xxj|| : das man in den Kirchen alles in gemeiner be=||kanter sprach Lesen vnd Singen sol. ...</t>
  </si>
  <si>
    <t>L-1551-167083767</t>
  </si>
  <si>
    <t>99886126X</t>
  </si>
  <si>
    <t>III 58, 4 g</t>
  </si>
  <si>
    <t xml:space="preserve">Etliche sprüche aus|| Doctoris Martini Lutheri schrif||ten, Darinne er, als ein Adiapho||rist sich mit dem Bapst hat vergleichen wollen : </t>
  </si>
  <si>
    <t>L-1551-161282806</t>
  </si>
  <si>
    <t>993920780</t>
  </si>
  <si>
    <t>III 58, 4 h</t>
  </si>
  <si>
    <t xml:space="preserve">Eine @erinnerung an|| die Deudschen, das die einfeltigen|| jhre Sünde, so sie diese Fünff jar her gethan ha||ben, erkennen, vnd bekennen sollen, sich </t>
  </si>
  <si>
    <t>L-1551-161282814</t>
  </si>
  <si>
    <t>III 58, 4 ha</t>
  </si>
  <si>
    <t>L-1551-161282822</t>
  </si>
  <si>
    <t>III 58, 4 hb</t>
  </si>
  <si>
    <t>L-1552-154040673</t>
  </si>
  <si>
    <t>993931057</t>
  </si>
  <si>
    <t>III 58, 4 i</t>
  </si>
  <si>
    <t>Auff Osianders Be||kentnis ein Vnterricht [Unterricht] vnd zeugnis,|| Das die Gerechtigkeit der menscheit Christi, dar||innen sie empfangen vnd gebore</t>
  </si>
  <si>
    <t>L-1548-165520817</t>
  </si>
  <si>
    <t>998071609</t>
  </si>
  <si>
    <t>III 58, 4 k</t>
  </si>
  <si>
    <t>Copey der schönen ver||manung, Welche bey den Abtrünni||gen Intermistischen Christen, vor der Teuflischen|| Gottlosen opffermes, dem armen einfeldigen</t>
  </si>
  <si>
    <t>L-1547-165521759</t>
  </si>
  <si>
    <t>998072052</t>
  </si>
  <si>
    <t>III 58, 4 l</t>
  </si>
  <si>
    <t>Warhafftige Copey|| einer Schrifft|| so die Ehrwirdigen|| herrn Predicanten zu Leiptzig|| an Her=||tzog Moritzen zu Sachsen|| gethan|| etc.|| Desgleic</t>
  </si>
  <si>
    <t>L-1547-15402953X</t>
  </si>
  <si>
    <t>993921310</t>
  </si>
  <si>
    <t>III 58, 4/1</t>
  </si>
  <si>
    <t>L-1548-154626945</t>
  </si>
  <si>
    <t>994149603</t>
  </si>
  <si>
    <t>III 58, 4/a</t>
  </si>
  <si>
    <t>Bericht vom|| INTERIM|| der Theologen zu Meißen ver=||samlet : Anno M.D.xlviij.|| ; Psalm xxvij.|| Harre des HERRN, ...||</t>
  </si>
  <si>
    <t>L-1506-315323124</t>
  </si>
  <si>
    <t>1066864748</t>
  </si>
  <si>
    <t>III 59, 1</t>
  </si>
  <si>
    <t xml:space="preserve">Plinii Caecilii Secundi epistolarum libri nouem. Eiusdem Plinii libellus epistolarum ad Traianum cum rescriptis eiusdem principis eiusdem panagyricus </t>
  </si>
  <si>
    <t>L-1506-315317515</t>
  </si>
  <si>
    <t>1066858721</t>
  </si>
  <si>
    <t>III 59, 2</t>
  </si>
  <si>
    <t xml:space="preserve">Epistolae et commentarii Iacobi Picolomini Cardinalis Papiensis : </t>
  </si>
  <si>
    <t>L-1513-315201282</t>
  </si>
  <si>
    <t>1066779449</t>
  </si>
  <si>
    <t>III 59, 3</t>
  </si>
  <si>
    <t>Valerii Maximi Opus cum Oliuerii commentariis ex prima eius editione integre et syncera descriptis cum paucis annotationibus quas sub Theophili nomine</t>
  </si>
  <si>
    <t>L-1523-315198222</t>
  </si>
  <si>
    <t>1066776202</t>
  </si>
  <si>
    <t>III 59, 4</t>
  </si>
  <si>
    <t>Bucolica : cum commento familiari discentibus quamvtilisimo</t>
  </si>
  <si>
    <t>L-1505-315487100</t>
  </si>
  <si>
    <t>1066956421</t>
  </si>
  <si>
    <t>III 60, 1</t>
  </si>
  <si>
    <t xml:space="preserve">ROmische Historie : </t>
  </si>
  <si>
    <t>L-1506-315469579</t>
  </si>
  <si>
    <t>1066941939</t>
  </si>
  <si>
    <t>III 60, 2</t>
  </si>
  <si>
    <t xml:space="preserve">Directorium Misse.|| : </t>
  </si>
  <si>
    <t>fixieren und mit JP überfangen</t>
  </si>
  <si>
    <t>L-1508-315493917</t>
  </si>
  <si>
    <t>1066963673</t>
  </si>
  <si>
    <t>III 60, 3</t>
  </si>
  <si>
    <t>BAmbergische Halßgerichts|| vnd rechtlich Ordenung/ jn peynlich? sachen zu volfarñ/ allen Stetten/ Communen|| Regimenten/ Amptleüten ... vñ richtern||</t>
  </si>
  <si>
    <t>L-1508-315492732</t>
  </si>
  <si>
    <t>1066962332</t>
  </si>
  <si>
    <t>III 60, 4</t>
  </si>
  <si>
    <t xml:space="preserve">MAnuale Curato=||ru. predicdi preb?s : </t>
  </si>
  <si>
    <t>L-1509-315307617</t>
  </si>
  <si>
    <t>1066848513</t>
  </si>
  <si>
    <t>III 60, 5</t>
  </si>
  <si>
    <t>Breuiarium Maguntinense.|| Nouissime Jmpressum.|| emendatum: ac plurimis luculẽ=||tissimis additamẽtis con||gestum et absolutũ.|| Feliciter incipit.||</t>
  </si>
  <si>
    <t>L-1509-315059818</t>
  </si>
  <si>
    <t>1066671311</t>
  </si>
  <si>
    <t>III 60, 6</t>
  </si>
  <si>
    <t>L-9999-155008226</t>
  </si>
  <si>
    <t>994273215</t>
  </si>
  <si>
    <t>III 60, 8</t>
  </si>
  <si>
    <t>Agēda Magūtin̄|| cum vtilissimis scituqz dignissi||mis (prioribz tamen non|| insertis) qbusdā nota||bilibus: iam nouiter|| ac diligenter|| jmp̄ss : [F</t>
  </si>
  <si>
    <t>L-1514-315487291</t>
  </si>
  <si>
    <t>1066956650</t>
  </si>
  <si>
    <t>III 60, 9</t>
  </si>
  <si>
    <t>Gelenk vorn mit Leder unterlegen, hinten belassen (ist stabil)</t>
  </si>
  <si>
    <t>L-1514-315487135</t>
  </si>
  <si>
    <t>1066956464</t>
  </si>
  <si>
    <t>III 60, 10</t>
  </si>
  <si>
    <t xml:space="preserve">HOrtul#[us]|| anime|| : </t>
  </si>
  <si>
    <t>L-1515-315493119</t>
  </si>
  <si>
    <t>1066962812</t>
  </si>
  <si>
    <t>III 60, 11</t>
  </si>
  <si>
    <t>Compendiu siue Breuiariu|| PRIMI VOLVMINIS ANNALIVM SIVE HISTORIARVM,|| DE ORIGINE REGVM ET GENTIS FRAN=||CORVM AD REVERENDISSIMVM|| IN CHRISTO PATREM</t>
  </si>
  <si>
    <t>L-1516-315494301</t>
  </si>
  <si>
    <t>1066964084</t>
  </si>
  <si>
    <t>III 60, 12 (Großformat)</t>
  </si>
  <si>
    <t>III 60, 12</t>
  </si>
  <si>
    <t xml:space="preserve">PSALTERIUM ORDINIS S. BENEDICTI DE|| OBSERVANTIA BURSFELDEN.|| : </t>
  </si>
  <si>
    <t>Altreparaturen am Buchblock mit säurehaltigem Papier (belassen?) und auf Ergänzungen Schrift nachgezeichnet --&gt; etwas kurios --&gt; mit Stephanie besprechen</t>
  </si>
  <si>
    <t>L-1517-315492864</t>
  </si>
  <si>
    <t>1066962502</t>
  </si>
  <si>
    <t>III 60, 13</t>
  </si>
  <si>
    <t>Regiment Hen-||richen Stromers võ Aur||bach der ertzney Doctors|| inhaltendt vie sich wider|| die Pestilentz zu bewaren|| auch den jhen? die damit|| b</t>
  </si>
  <si>
    <t>L-1518-315061391</t>
  </si>
  <si>
    <t>106667292X</t>
  </si>
  <si>
    <t>III 60, 14</t>
  </si>
  <si>
    <t xml:space="preserve">T.LIVIVS PA||TAVINVS HISTO||RICVS.DVOBVS|| LIBRIS AVCTVS|| CVM L.FLORI|| EPITOME. ET|| ANNOTATIS IN|| LIBROS VII.BEL||LI MACED.|| : </t>
  </si>
  <si>
    <t>Schaden im Gelenk vorn ist stabil (alles sehr steif)</t>
  </si>
  <si>
    <t>nur Schließe und Titelschild bearbeiten, Gelenk vorn ist stabil (alles steif)</t>
  </si>
  <si>
    <t>L-1518-315487267</t>
  </si>
  <si>
    <t>106695660X</t>
  </si>
  <si>
    <t>III 60, 15</t>
  </si>
  <si>
    <t xml:space="preserve">T.LIVIVS PA||TAVINVS HISTO||RICVS.DVOBVS|| LIBRIS AVCTVS|| CVM L.FLORI|| EPITOME.INDI||CE COPIOSO. ET|| ANNOTATIS IN|| LIBROS VII.BEL||LI MACED.|| : </t>
  </si>
  <si>
    <t>L-1519-315487208</t>
  </si>
  <si>
    <t>1066956537</t>
  </si>
  <si>
    <t>III 60, 16</t>
  </si>
  <si>
    <t xml:space="preserve">VLRICHI|| HVTTENI AD PRINCI=||PES GERMANOS VT|| BELLVM TVRCIS|| INFERANT|| EXHORTATORIA.|| INSVNT quae priori editione ex=||empta erant ... | : </t>
  </si>
  <si>
    <t>L-1519-315489987</t>
  </si>
  <si>
    <t>1066959404</t>
  </si>
  <si>
    <t>III 60, 17</t>
  </si>
  <si>
    <t>HOC IN VOLV||MINE HAEC CONTINENTVR|| VLRICHI HVTTENI EQV.|| Super interfectione propinqui sui Ioannis Hut/||teni Equ.Deploratio.|| Ad Ludouichum Hutte</t>
  </si>
  <si>
    <t>L-1521-315494298</t>
  </si>
  <si>
    <t>1066964076</t>
  </si>
  <si>
    <t>III 60, 18 - Fragm.</t>
  </si>
  <si>
    <t xml:space="preserve">OPERA POMPONII|| LAETI VARIA.|| ...|| (HENRICI BE||BELII DE ROMANORVM MA||GISTRATIBVS LIBELLVS||) : </t>
  </si>
  <si>
    <t>L-1520-315487283</t>
  </si>
  <si>
    <t>1066956642</t>
  </si>
  <si>
    <t>III 60, 19</t>
  </si>
  <si>
    <t xml:space="preserve">HVLDERICHI|| HVTTENI EQ. GERM.|| DIALOGI.|| FORTVNA.|| Febris prima.|| Febris secunda|| Trias Romana.|| Inspicientes.|| : </t>
  </si>
  <si>
    <t>L-1520-315331054</t>
  </si>
  <si>
    <t>1066873240</t>
  </si>
  <si>
    <t>III 60, 20</t>
  </si>
  <si>
    <t xml:space="preserve">FAMILI||ARIVM COLLOQ||VIORVM FOR||MVLAE, : </t>
  </si>
  <si>
    <t>L-1521-154383287</t>
  </si>
  <si>
    <t>994054432</t>
  </si>
  <si>
    <t>III 60, 22</t>
  </si>
  <si>
    <t>DIALO||GVS MYTHOLOGICVS|| Bartolomaei Coloniēsis ...|| dulci||bus iocis, iucūdis sali||bus, cōcinnisq? sen=||tentijs refertus,||...||Huius subinde ann</t>
  </si>
  <si>
    <t>L-1521-679893105</t>
  </si>
  <si>
    <t>1079607048</t>
  </si>
  <si>
    <t>III 60, 23 - Fragm.</t>
  </si>
  <si>
    <t>III 60, 23</t>
  </si>
  <si>
    <t>Romischer kayserlicher|| Maiestat Regiment: Camergericht: Landt=||fridt vnnd Abschiedt vff dem Reichs||tag zu Wormbs. Anno M vc||xxj. beschlossen vñ v</t>
  </si>
  <si>
    <t>L-1521-315297972</t>
  </si>
  <si>
    <t>1066837856</t>
  </si>
  <si>
    <t>III 60, 24</t>
  </si>
  <si>
    <t>Herr Erasmus von Ro||terdam/ verteutschte außlegung/|| über das/ göttlich tröstlich wort|| vnsers lieben Herrñ vnnd selig=||machers Christi/ Nement au</t>
  </si>
  <si>
    <t>L-1521-315331518</t>
  </si>
  <si>
    <t>1066873720</t>
  </si>
  <si>
    <t>III 60, 25</t>
  </si>
  <si>
    <t>ERASMI|| ROTERODAMI.|| De ratione studij, ac legendi, interpretandíq;|| authores libellus.|| Officium discipulorum ex Quintiliano.|| ...ERASMI.|| Cont</t>
  </si>
  <si>
    <t>L-1521-315492309</t>
  </si>
  <si>
    <t>1066961905</t>
  </si>
  <si>
    <t>III 60, 26</t>
  </si>
  <si>
    <t>REGINO||NIS MONACHI PRV//||MIENSIS ANNA=||LES, NON TAM DE|| AVGVSTO=||RVM VI||TIS,|| QVAM ALIORVM GER||MANORVM GE//||STIS ET DO//||CTE ET COM||PENDIOS</t>
  </si>
  <si>
    <t>L-1521-315490217</t>
  </si>
  <si>
    <t>1066959684</t>
  </si>
  <si>
    <t>III 60, 27</t>
  </si>
  <si>
    <t xml:space="preserve">MEintzisch hoff=||gerichts Ordnug|| zu allen andern gerichten dien=||lich. 1521.|| : </t>
  </si>
  <si>
    <t>L-1521-343788284</t>
  </si>
  <si>
    <t>III 60, 28 - Fragm.</t>
  </si>
  <si>
    <t>L-1521-315468289</t>
  </si>
  <si>
    <t>1066940509</t>
  </si>
  <si>
    <t>III 60, 29</t>
  </si>
  <si>
    <t xml:space="preserve">Ein @ser Cristliche pre=||dig des heilige Bischoffs sant Gre=||gorius võ Nazanz. Das man die|| armen lewt soll lieb habe. Durch|| Doctor Ecolampadius </t>
  </si>
  <si>
    <t>L-1522-315487364</t>
  </si>
  <si>
    <t>1066956723</t>
  </si>
  <si>
    <t>III 60, 30</t>
  </si>
  <si>
    <t>IN DICTV̂̃|| APOSTOLI AD|| CORINTHIOS.|| Cu autem subiecta fuerint|| illi omnia, tunc &amp; filius ipse|| subijcietur ei &amp;~c.|| De mudatõne leprosi, de my</t>
  </si>
  <si>
    <t>L-1523-315493658</t>
  </si>
  <si>
    <t>1066963401</t>
  </si>
  <si>
    <t>III 60, 31</t>
  </si>
  <si>
    <t xml:space="preserve">Landtfrid|| durch Kayser Ca||rol den funfften:|| vff dem Reichs=||tag zu Worms.|| Anno.M.vc.xxj.|| auffgericht.|| : </t>
  </si>
  <si>
    <t>L-1523-315492147</t>
  </si>
  <si>
    <t>1066961743</t>
  </si>
  <si>
    <t>III 60, 32</t>
  </si>
  <si>
    <t xml:space="preserve">Romische historien : </t>
  </si>
  <si>
    <t>L-1524-315492244</t>
  </si>
  <si>
    <t>1066961840</t>
  </si>
  <si>
    <t>III 60, 33</t>
  </si>
  <si>
    <t>SANCTI|| PROSPERI presbyteri Aqui||tanici aduersus inimicos gratiae|| dei libellus, in quo &amp; de gratia,|| &amp; libero arbitrio sententia|| diui Aurelij A</t>
  </si>
  <si>
    <t>L-1524-315487224</t>
  </si>
  <si>
    <t>1066956553</t>
  </si>
  <si>
    <t>III 60, 34</t>
  </si>
  <si>
    <t xml:space="preserve">VLRICHI|| DE HVT=||TEN EQ. DE GVA=||IACI MEDICINA|| ET MORBO|| GALLICO|| LIBER|| VNVS.|| : </t>
  </si>
  <si>
    <t>L-1520-315494026</t>
  </si>
  <si>
    <t>1066963819</t>
  </si>
  <si>
    <t>III 60, 35</t>
  </si>
  <si>
    <t xml:space="preserve">INSCRIPTIONES.|| VETVSTAE. ROMAN. ET EARVM FRAGMEN||TA. IN AVGVSTA VINDELICORVM. ET : </t>
  </si>
  <si>
    <t>L-1525-315487216</t>
  </si>
  <si>
    <t>1066956545</t>
  </si>
  <si>
    <t>III 60, 36</t>
  </si>
  <si>
    <t xml:space="preserve">COLLECTA||NEA ANTI||QVITATVM IN VR||BE, ATQVE AGRO MOGVNTINO RE=||PERTARVM.|| : </t>
  </si>
  <si>
    <t>Leder am Rücken fixieren (ggf. JP einsetzen), Gelenk belassen (ist stabil)</t>
  </si>
  <si>
    <t>L-1525-315490144</t>
  </si>
  <si>
    <t>1066959617</t>
  </si>
  <si>
    <t>III 60, 37</t>
  </si>
  <si>
    <t>CANONES APO=||STOLORVM|| VETERVM CONCI||LIORVM CONSTI||TVTIONES|| DECRETA PONTI||FICVM ANTI=||QVIORA|| DE PRIMATV ROMA=||NAE ECCLESIAE.|| Ex tribus ue</t>
  </si>
  <si>
    <t>L-1521-315491876</t>
  </si>
  <si>
    <t>1066961484</t>
  </si>
  <si>
    <t>III 60, 38</t>
  </si>
  <si>
    <t>Die @verteütscht Epistel|| Herñ Ersmus von Roterdam/|| vor seinem handtbüchlein von|| dem Christlichen Ritter/|| mit vil Christlichen|| vnterweysung||</t>
  </si>
  <si>
    <t>L-1527-315492066</t>
  </si>
  <si>
    <t>1066961662</t>
  </si>
  <si>
    <t>III 60, 39</t>
  </si>
  <si>
    <t xml:space="preserve">PRO DIVO : </t>
  </si>
  <si>
    <t>L-1529-315332352</t>
  </si>
  <si>
    <t>1066874581</t>
  </si>
  <si>
    <t>III 60, 40</t>
  </si>
  <si>
    <t xml:space="preserve">DIVI|| IMP. IVSTINIA=||ni Institutionum siue : </t>
  </si>
  <si>
    <t>Originaleinband mit Schließen extra in Kassette</t>
  </si>
  <si>
    <t>L-1529-31530698X</t>
  </si>
  <si>
    <t>1066847827</t>
  </si>
  <si>
    <t>III 60, 41</t>
  </si>
  <si>
    <t>Doctor Jo=||hann Fabri.|| Christenliche ableynung|| des erschröckenlichen yrrsal/ sov Caspar schwēckfelder in der Schle=||sy/ wyd' die warheyt des hoc</t>
  </si>
  <si>
    <t>L-1529-17775334X</t>
  </si>
  <si>
    <t>1002646758</t>
  </si>
  <si>
    <t>III 60, 42</t>
  </si>
  <si>
    <t>Lav||rentii Vallae|| Elegantiarum libri sex, deó?|| Reciprocatione Sui &amp;|| Suus. multis, di=||uersisq́ Pro|| totypis|| dili=|| genter collatis, emẽdat</t>
  </si>
  <si>
    <t>L-1529-177753358</t>
  </si>
  <si>
    <t>III 60, 42a</t>
  </si>
  <si>
    <t>III 60, 42 a</t>
  </si>
  <si>
    <t>L-1530-315303786</t>
  </si>
  <si>
    <t>1066844275</t>
  </si>
  <si>
    <t>III 60, 43</t>
  </si>
  <si>
    <t>CAij Julij Cesaris des groß=||mechtigen ersten Römisch=||en Keysers Historien vom|| Gallier vñ der Römer Burgerische krieg: so er selbst beschriben: .</t>
  </si>
  <si>
    <t>L-1530-315487526</t>
  </si>
  <si>
    <t>1066956928</t>
  </si>
  <si>
    <t>III 60, 44</t>
  </si>
  <si>
    <t xml:space="preserve">ROmische historien : </t>
  </si>
  <si>
    <t>fester Rücken mit Schmuckprägung, Kreide, Pastell oder Rußtinte</t>
  </si>
  <si>
    <t>L-1531-315491140</t>
  </si>
  <si>
    <t>1066960658</t>
  </si>
  <si>
    <t>III 60, 45</t>
  </si>
  <si>
    <t>PLACEN=||TINI IVRISCON-||sulti uetustissimi de ua-||rietate actionum libri sex.|| ITEM.|| Rogerij compendium de diuer=||sis praescriptionibus.|| Eiusd</t>
  </si>
  <si>
    <t>L-1531-315328681</t>
  </si>
  <si>
    <t>1066870799</t>
  </si>
  <si>
    <t>III 60, 46</t>
  </si>
  <si>
    <t xml:space="preserve">ROmischer Keyser=||licher Maiestat Orde=||nung uñ Reformation|| gůter Pollicei im Hey=||ligen Römischen Reich : </t>
  </si>
  <si>
    <t>L-1531-315323213</t>
  </si>
  <si>
    <t>1066864837</t>
  </si>
  <si>
    <t>III 60, 47</t>
  </si>
  <si>
    <t>DJe @Lehenrecht ver||teütscht: auch iñ eyn ne=||we vnd richtige ord=||nung der titel ge=||satzt: vnd zůsa=||men bracht.|| Mit erklerung vnd auszlegung</t>
  </si>
  <si>
    <t>L-1532-164689494</t>
  </si>
  <si>
    <t>997744367</t>
  </si>
  <si>
    <t>III 60, 48</t>
  </si>
  <si>
    <t>ABschiedt des Rei||chßtags z°u Regen||spurg Anno M. D. xxxij.|| gehalten.|| Reformation des Keyser||lichen Cammergerichts, durch Römischer|| Keiserlic</t>
  </si>
  <si>
    <t>III 60, 49</t>
  </si>
  <si>
    <t>L-1533-315462140</t>
  </si>
  <si>
    <t>1066934118</t>
  </si>
  <si>
    <t>III 60, 50</t>
  </si>
  <si>
    <t>VOn den übertreff=||lichisten vñ ber#[ue]mptisten fraw||en/ zw#[oe]lff iñ der gemeynd/ vnd zw#[oe]lff iñ sunderheyt ge=||zelt/ sampt jren rümlichen th</t>
  </si>
  <si>
    <t>L-1533-315487739</t>
  </si>
  <si>
    <t>1066957118</t>
  </si>
  <si>
    <t>III 60, 51</t>
  </si>
  <si>
    <t xml:space="preserve">¬DEs¬ allerdurchleuchtig=||sten großmechtigst? vn=||überwindtlichsten Key=||ser Karls des fünfften: vnnd des|| heyligen R#[oe]mischen Reichs peinlich </t>
  </si>
  <si>
    <t>L-1533-315487674</t>
  </si>
  <si>
    <t>1066957053</t>
  </si>
  <si>
    <t>III 60, 52</t>
  </si>
  <si>
    <t>Titi Liuij deß|| aller redtsprechsten vnnd hochbe=||rümptsten geschicht schreibers: R#[oe]=||mische Historien mit etlichen newen translation ausz dem|</t>
  </si>
  <si>
    <t>L-1533-315493895</t>
  </si>
  <si>
    <t>1066963657</t>
  </si>
  <si>
    <t>III 60, 53</t>
  </si>
  <si>
    <t>R#[oe]mischer Keyser||licher Maiestat vnd gemey=||ner Stende des heylig? Reichs ordnung|| auff jungst gehalten Reichßt#[ae]gen gemacht/ wie es iñ|| sa</t>
  </si>
  <si>
    <t>L-1533-315470011</t>
  </si>
  <si>
    <t>1066942382</t>
  </si>
  <si>
    <t>III 60, 54</t>
  </si>
  <si>
    <t>Von den welschen Purppeln|| WJe die Ritterbr#[ue]der des|| Purpelschen ordens mit grossen|| schlachten vnd stürmen jr Ritter=||schafft erhaltent/ Auch</t>
  </si>
  <si>
    <t>L-9999-414753321</t>
  </si>
  <si>
    <t>1138249351</t>
  </si>
  <si>
    <t>III 60, 55</t>
  </si>
  <si>
    <t>L-1534-315490365</t>
  </si>
  <si>
    <t>1066959846</t>
  </si>
  <si>
    <t>III 60, 56</t>
  </si>
  <si>
    <t>VNdergerichts ordnung|| des Ertzstiffts Meyntz:|| iñ welcher gantz fleissig angezeygt/ wie vnd welch=||er gestalt an allen vnd jeden obgemelts Ertzsti</t>
  </si>
  <si>
    <t>L-1535-315490373</t>
  </si>
  <si>
    <t>1066959854</t>
  </si>
  <si>
    <t>III 60, 57</t>
  </si>
  <si>
    <t>VNdergerichts ordnung des|| Ertzstiffts Meyntz/ inn welcher gantz fleissig an=||gezeygt/ wie vnd welcher gestalt an allen vnd|| jeden obgemelts Ertzst</t>
  </si>
  <si>
    <t>L-1535-315492929</t>
  </si>
  <si>
    <t>106696257X</t>
  </si>
  <si>
    <t>III 60, 58</t>
  </si>
  <si>
    <t>Der @R#[oe]mischen|| Keyser Historien: von dem abgang|| des Augusti an: biß auff Titum|| vnd Vespasianum/ von jar zu jar/ durch Corne=||lium Tacitum b</t>
  </si>
  <si>
    <t>L-1537-315492953</t>
  </si>
  <si>
    <t>106696260X</t>
  </si>
  <si>
    <t>III 60, 59</t>
  </si>
  <si>
    <t>LATINISSI||MAE COLLOQVIORVM|| FORMVLAE.|| Ex Terentij Comoedijs selectae,(à Cornelio Grapheo ||)|| ac in Germanicam Lin-||guam uersae.||[v.(IOANNES PI</t>
  </si>
  <si>
    <t>L-1537-315468831</t>
  </si>
  <si>
    <t>1066941106</t>
  </si>
  <si>
    <t>III 60, 60</t>
  </si>
  <si>
    <t xml:space="preserve">EYn @verantvorttung Podagrae vor dem Richter... : </t>
  </si>
  <si>
    <t>L-1537-315492716</t>
  </si>
  <si>
    <t>1066962316</t>
  </si>
  <si>
    <t>III 60, 61</t>
  </si>
  <si>
    <t>VNdergerichts ordnung des Er=||tzstiffts Thrier/ durch den Hochwirdigsten inn Gott|| vatter/ Fürsten vnd herren/ Herrn Johansen Ertzbischouen zu Thrie</t>
  </si>
  <si>
    <t>L-1537-315316721</t>
  </si>
  <si>
    <t>1066857881</t>
  </si>
  <si>
    <t>III 60, 62</t>
  </si>
  <si>
    <t>DEß @aller Durchleuchtig=||sten großmechtigsten vn=||uberwindtlichsten Keyser Karls|| des fünfften/ vnd des heyligen Römischen Reychs pein||lich geric</t>
  </si>
  <si>
    <t>L-1539-315493097</t>
  </si>
  <si>
    <t>1066962766</t>
  </si>
  <si>
    <t>III 60, 63</t>
  </si>
  <si>
    <t>VNdergerichts ordnung des Er=||tzstiffts Thrier/ durch den Hochwirdigsten iñ Gott|| vatter/ Fürsten vnd herren/ Herrn Johansen Ertzbischouen zu Thrier</t>
  </si>
  <si>
    <t>L-1540-315493453</t>
  </si>
  <si>
    <t>1066963177</t>
  </si>
  <si>
    <t>III 60, 64</t>
  </si>
  <si>
    <t>TYPVS ECCLE=||SIAE PRIO=||RIS.|| Anzeigung/ wie die heilig Kyrche|| Gottes/ inwendig siben vnd mehr hun=||dert jaren/ nach vnsers Her=||ren Auffart/ g</t>
  </si>
  <si>
    <t>Schaden stabil, Umschlag trotzt Buchschuh</t>
  </si>
  <si>
    <t>L-1540-315487429</t>
  </si>
  <si>
    <t>1066956812</t>
  </si>
  <si>
    <t>III 60, 65</t>
  </si>
  <si>
    <t xml:space="preserve">Der @heiligen Messen|| brauch/ wie er in der alten Kyr=||chen vor tausent jaren|| gewesen.|| Aus S. Joan. Chrysostomo|| verdeutscht.|| ...|| : </t>
  </si>
  <si>
    <t>L-1540-315331186</t>
  </si>
  <si>
    <t>1066873380</t>
  </si>
  <si>
    <t>III 60, 66</t>
  </si>
  <si>
    <t xml:space="preserve"> L. FLORI|| DE GESTIS ROMANO=||RVM LIBRI QVATVOR, VNA CVM|| adnotationibus Iaon. Camertis, quæ Comenta||rij uice in omnem Romanam historiā|| esse poss</t>
  </si>
  <si>
    <t>L-1541-164689737</t>
  </si>
  <si>
    <t>997744677</t>
  </si>
  <si>
    <t>III 60, 67</t>
  </si>
  <si>
    <t xml:space="preserve">ABschiedt deß Reichß||tags zu Regen||spurg gehal||ten||ANNO||M. D. XLI.|| Cum GRATIA &amp; Priuilegio Imperiali|| : </t>
  </si>
  <si>
    <t>L-1541-315493437</t>
  </si>
  <si>
    <t>1066963150</t>
  </si>
  <si>
    <t>III 60, 68</t>
  </si>
  <si>
    <t xml:space="preserve">CATECHI=||STICVM EXAMEN CHRI=||stiani, pueri, ad pedes : </t>
  </si>
  <si>
    <t>L-1541-315487666</t>
  </si>
  <si>
    <t>1066957045</t>
  </si>
  <si>
    <t>III 60, 69</t>
  </si>
  <si>
    <t>Titi Liuij deß|| aller redsprechsten vnd hochbe=||r#[ue]mpsten geschicht schreibersz/ R#[oe]mische Historien/|| jetzundt mit gantzen fleiß besichtigt/</t>
  </si>
  <si>
    <t>L-1542-315325887</t>
  </si>
  <si>
    <t>1066867704</t>
  </si>
  <si>
    <t>III 60, 70</t>
  </si>
  <si>
    <t>DEß @aller Důrchleüchtigsten|| großmechtigsten: Vnüber=||windtlichsten Keyser Karls desz füfften/ vnnd desz Hey=||ligen Römischen Reichs peinlich Geri</t>
  </si>
  <si>
    <t>L-1544-315063092</t>
  </si>
  <si>
    <t>1066674566</t>
  </si>
  <si>
    <t>III 60, 71</t>
  </si>
  <si>
    <t xml:space="preserve">VALERII|| MAXIMI FACTO-||RVM DICTORVMQVE|| memorabilium Libri Nouem.|| PRAETEREA CAII TITII|| Probi, in Decimum Lib. huius Ope=||ris, Epitome, etc.|| </t>
  </si>
  <si>
    <t>L-1546-154448621</t>
  </si>
  <si>
    <t>994061137</t>
  </si>
  <si>
    <t>III 60, 72</t>
  </si>
  <si>
    <t xml:space="preserve">LITVRGIA|| S. BASILII|| MAG. NVPER E|| TENEBRIS ERVTA; ET|| in lucem nunc primum|| edita.|| CVM PRAEFATIO-||ne Georgij Vuicelij [Georg Witzel].|| : </t>
  </si>
  <si>
    <t>L-1546-315493399</t>
  </si>
  <si>
    <t>1066963118</t>
  </si>
  <si>
    <t>III 60, 73</t>
  </si>
  <si>
    <t xml:space="preserve">LAVS|| MARIAE DEI/||PARAE VIRGINIS, EX|| antiquißimis Ecclesiae|| Catholicae Patri/||bus agge/||sta.|| PER GEORGI/||VM VVICELIVM.|| : </t>
  </si>
  <si>
    <t>enthält Blindlagen</t>
  </si>
  <si>
    <t>L-1546-343788683</t>
  </si>
  <si>
    <t>1079607978</t>
  </si>
  <si>
    <t>III 60, 74</t>
  </si>
  <si>
    <t>fixieren, ggf. JP unterlegen im Gelenk, mit JP überfangen, ws. Klucel einsetzen?, ws. extrem(!) feuchteempfindliches Leder</t>
  </si>
  <si>
    <t>L-1548-815623631</t>
  </si>
  <si>
    <t>1267944188</t>
  </si>
  <si>
    <t>III 60, 75</t>
  </si>
  <si>
    <t>überprüfen, ob das das erst enthaltene Werk ist</t>
  </si>
  <si>
    <t>Kapital und Leder fixieren, Gelenk mit JP-Gewebe-Laminat unterlegen und dadurch Deckel fixieren, ggf. mit JP überfangen, ggf. innen den Falz abdecken, ws. extrem(!) feuchteempfindliches Leder</t>
  </si>
  <si>
    <t>L-1548-315323418</t>
  </si>
  <si>
    <t>1066865094</t>
  </si>
  <si>
    <t>III 60, 76</t>
  </si>
  <si>
    <t>FORMVLA RE=||FORMATIONIS PER CAE-||SAREAM MAIESTATEM|| Statibus Ecclesiasticis in Comitijs Augustanis ad de-||liberandum proposita, et ab eisdem, ut p</t>
  </si>
  <si>
    <t>L-1549-315326913</t>
  </si>
  <si>
    <t>1066868867</t>
  </si>
  <si>
    <t>III 60, 77</t>
  </si>
  <si>
    <t xml:space="preserve">SACRAE CAESA=||REAE MAIESTATIS DECLARA-||RATIO, QVOMODO IN NE-||gocio Religionis per Imperium usqz ad definitionem|| Concilij generalis uiuendum sit, </t>
  </si>
  <si>
    <t>L-1549-315324384</t>
  </si>
  <si>
    <t>1066866147</t>
  </si>
  <si>
    <t>III 60, 78</t>
  </si>
  <si>
    <t>DEr @Römischen|| Keiserlichen Maiestat|| Erklärung/ wie es der Reli=||gion halben/ imm Heyligen|| Reich/ biß zÃ Außtrag deß|| gemeynen Concilij gehalt</t>
  </si>
  <si>
    <t>L-1549-315490187</t>
  </si>
  <si>
    <t>1066959668</t>
  </si>
  <si>
    <t>III 60, 79</t>
  </si>
  <si>
    <t>R#[oe]mischer Keyser=||licher Maiestat/|| vnd deß Heyligen Reichs Landtfriden/|| auff dem Reichßtag zÄ Augspurg declariert/ er=||neüwert/ auffgericht/</t>
  </si>
  <si>
    <t>Seiten glätten?</t>
  </si>
  <si>
    <t>L-1549-315326158</t>
  </si>
  <si>
    <t>1066867984</t>
  </si>
  <si>
    <t>III 60, 80</t>
  </si>
  <si>
    <t xml:space="preserve">Römischer Keyserli=||cher Maiestat/ vnd|| desz heyligen Reichs sondere Con=||stitutiones/ vff ettlichen/ hieuor/ gehal=||tenen Reichßtägen vffgericht </t>
  </si>
  <si>
    <t>L-1549-164690077</t>
  </si>
  <si>
    <t>997745096</t>
  </si>
  <si>
    <t>III 60, 81</t>
  </si>
  <si>
    <t>ABschiedt Der|| Röm. Keys. Maiest. vnd ge||meyner Stend, vff dem Reichsztag z°u Aug||spurg vffgericht, Anno Domini|| M. D. XLVIII.|| Resolution vnd Er</t>
  </si>
  <si>
    <t>L-1549-315493755</t>
  </si>
  <si>
    <t>1066963517</t>
  </si>
  <si>
    <t>III 60, 82</t>
  </si>
  <si>
    <t xml:space="preserve">AVREA BVLLA|| CAROLI QVARTI ROMANO-||RVM IMPERATORIS,|| &amp; Regis Bohemiae, &amp;c.|| ...|| : </t>
  </si>
  <si>
    <t>mit Blindlagen</t>
  </si>
  <si>
    <t>L-1549-315326166</t>
  </si>
  <si>
    <t>III 60, 83</t>
  </si>
  <si>
    <t>L-1549-315192097</t>
  </si>
  <si>
    <t>1066769680</t>
  </si>
  <si>
    <t>III 60, 84</t>
  </si>
  <si>
    <t>DEr Römi=||schen Key=||serlichen Maiestat|| Ordnung vnd Reforma=||tion/ gůter Pollicei/ zů|| befürderung deß gemey=||nen NÃtz/ vff dem Reichßtag zÃ Au</t>
  </si>
  <si>
    <t>L-1550-315324899</t>
  </si>
  <si>
    <t>1066866635</t>
  </si>
  <si>
    <t>III 60, 85</t>
  </si>
  <si>
    <t>DEr @Römischen|| Kay. Mai. vnd|| gemeyner Stend deß|| heyligen Reichs ange=||nommene vnd bewilligte Cammergerichts Ordnung/||... auß allen alten Cam=|</t>
  </si>
  <si>
    <t>L-1550-315329068</t>
  </si>
  <si>
    <t>106687123X</t>
  </si>
  <si>
    <t>III 60, 86</t>
  </si>
  <si>
    <t>DE CON=||SCRIBENDIS|| EPISTOLIS|| DES. ERASMI|| ROTERODAMI OPVS.|| IOANNIS LVDOVICI VIVIS|| VALENTINI LIBEL=||lus uerè aureus.|| CONRADI CELTIS|| METH</t>
  </si>
  <si>
    <t>L-1551-31548764X</t>
  </si>
  <si>
    <t>1066957029</t>
  </si>
  <si>
    <t>III 60, 87</t>
  </si>
  <si>
    <t>Titi Liuij deß|| aller Redsprechsten vnd Hochbe=||r#[ue]mpsten Geschichtschreibers/ R#[oe]mische Historien/|| jetzundt mit gantzen fleiß besichtigt/ g</t>
  </si>
  <si>
    <t>L-1551-164690565</t>
  </si>
  <si>
    <t>997745622</t>
  </si>
  <si>
    <t>III 60, 88</t>
  </si>
  <si>
    <t xml:space="preserve">ABschiedt Der|| Röm. Keys. Maiest. vnd ge||meyner Stend, vff dem Reichßtag z°u Aug||spurg vffgericht, Anno Domini|| MDLI : </t>
  </si>
  <si>
    <t>L-1551-315491086</t>
  </si>
  <si>
    <t>1066960593</t>
  </si>
  <si>
    <t>III 60, 89</t>
  </si>
  <si>
    <t>P. Ouidij Nasonis deß aller Sin=||reichsten Poeten METAMORPHOSIS/ Das|| ist von der wunderbarlicher Verenderung der Gestalten der Menschen/|| Thier/ v</t>
  </si>
  <si>
    <t>L-1552-314710604</t>
  </si>
  <si>
    <t>1066458820</t>
  </si>
  <si>
    <t>III 60, 90</t>
  </si>
  <si>
    <t>L-1552-169129314</t>
  </si>
  <si>
    <t>999770985</t>
  </si>
  <si>
    <t>III 60, 90a</t>
  </si>
  <si>
    <t>III 60, 90 a</t>
  </si>
  <si>
    <t>Des @Heyligen Römi=||schen Reichs Ordnungen.|| Die Gulden Bulla, sampt aller gehaltner Reichßtäg Abschieden.|| Besonderlich auch die Artickel vnd Ordn</t>
  </si>
  <si>
    <t>L-1555-315326255</t>
  </si>
  <si>
    <t>1066868050</t>
  </si>
  <si>
    <t>III 60, 91</t>
  </si>
  <si>
    <t>DEß aller Durch=||leüchtigsten/ Groß=||mechtigsten/ Vnüberwindt=||lichsten Keyser Karls deß fünfften/ vnd deß Heyligen Römischen Reichs peinlich Geric</t>
  </si>
  <si>
    <t>L-1557-315216573</t>
  </si>
  <si>
    <t>1066796122</t>
  </si>
  <si>
    <t>III 60, 92</t>
  </si>
  <si>
    <t>Titi Liuij deß|| aller Redsprechsten vnd Hochbe|| rh#[ue]mptesten Geschichtschreibers/ Rh#[oe]mische Historien/|| jetzundt mit gantzem fleiß besichtig</t>
  </si>
  <si>
    <t>L-1507-315494514</t>
  </si>
  <si>
    <t>1066964289</t>
  </si>
  <si>
    <t>III 60, 93</t>
  </si>
  <si>
    <t>Der @Stat Wor~ms|| Reformacion: statut?. ordenug|| Satzung die all? Stett?: cńmunen: Regim?ten: Fürst?=||thum: Herschafft?: Amptleüt?: nutzlich fürder</t>
  </si>
  <si>
    <t>L-1509-315493356</t>
  </si>
  <si>
    <t>106696307X</t>
  </si>
  <si>
    <t>III 60, 94</t>
  </si>
  <si>
    <t>Der @Stat Wor~ms|| Reformacion: statut?. ordenug|| Satzung die all? Stett?: cńmunen: Regim?ten: fürst?=||thum: Herschafften: Amptleüt?: nutzlich: fürd</t>
  </si>
  <si>
    <t>Einschlag fixieren, am Rücken evtl. nur überfangen</t>
  </si>
  <si>
    <t>L-1509-785173919</t>
  </si>
  <si>
    <t>1262787432</t>
  </si>
  <si>
    <t>III 60, 95</t>
  </si>
  <si>
    <t>Schaden ansonsten stabil</t>
  </si>
  <si>
    <t>nur Leder am Rücken fixieren, Schaden ist stabil</t>
  </si>
  <si>
    <t>L-1509-315074647</t>
  </si>
  <si>
    <t>1066686521</t>
  </si>
  <si>
    <t>III 60, 96</t>
  </si>
  <si>
    <t xml:space="preserve">PAssionis dominice sermo historialis notabilis atque praeclarus. : </t>
  </si>
  <si>
    <t>L-1509-315328045</t>
  </si>
  <si>
    <t>1066870136</t>
  </si>
  <si>
    <t>III 60, 97</t>
  </si>
  <si>
    <t xml:space="preserve">Directorium Misse de nouo|| perspectum &amp; emendatum.|| [scδm frequentiorem cursum : </t>
  </si>
  <si>
    <t>L-9999-414281977</t>
  </si>
  <si>
    <t>1137966572</t>
  </si>
  <si>
    <t>III 60, 98</t>
  </si>
  <si>
    <t xml:space="preserve">Sammelband mit Gesetzen und Verordnungen des Heiligen Römischen Reiches : </t>
  </si>
  <si>
    <t>HG</t>
  </si>
  <si>
    <t xml:space="preserve">
leichter Schaden im Gelenk</t>
  </si>
  <si>
    <t>L-1531-315493623</t>
  </si>
  <si>
    <t>1066963363</t>
  </si>
  <si>
    <t>III 60, 99</t>
  </si>
  <si>
    <t>Artliche k#[ue]nste man||cherlei weise Dinnten vnd aller hand|| Farben zubereyten. Auch Goldt vnd Silber sampt|| allen Metallen/ auß der Fedder zu sch</t>
  </si>
  <si>
    <t>L-1532-315299770</t>
  </si>
  <si>
    <t>1066839743</t>
  </si>
  <si>
    <t>III 60, 100</t>
  </si>
  <si>
    <t xml:space="preserve">Allerley Mackel vnd : </t>
  </si>
  <si>
    <t>Gelenk vorn innen mit JP-Streifen stabilisieren, Gelenk außen unterlegen und/oder überfangen mit JP</t>
  </si>
  <si>
    <t>L-9999-414837207</t>
  </si>
  <si>
    <t>1138320277</t>
  </si>
  <si>
    <t>III 60, 101</t>
  </si>
  <si>
    <t>L-1534-315191538</t>
  </si>
  <si>
    <t>1066769036</t>
  </si>
  <si>
    <t>III 60, 102</t>
  </si>
  <si>
    <t xml:space="preserve">Biblia, beider Allt vnnd Newen Testamenten, fleissig, treülich vnd Christlich, nach alter, inn Christlicher kirchen gehabter Translation... : </t>
  </si>
  <si>
    <t>unbedingt Box! (Schließen schließen nicht)</t>
  </si>
  <si>
    <t xml:space="preserve">
ÖW ist eigentlich 60, dicker überformter Holzdeckelband</t>
  </si>
  <si>
    <t>Box! (Schließen schließen nicht)</t>
  </si>
  <si>
    <t>L-1535-315492813</t>
  </si>
  <si>
    <t>1066962456</t>
  </si>
  <si>
    <t>III 60, 103</t>
  </si>
  <si>
    <t>Petrus Iordan Lectori S.D.|| EN TIBI NYNC ITERVM CANDIDE LECTOR,|| COELESTIVM RERVM|| DISCIPLINAE, ATQVE TOTIVS SPHAERICAE|| peritissimi, Iohannis Sto</t>
  </si>
  <si>
    <t>L-1541-154091103</t>
  </si>
  <si>
    <t>993968074</t>
  </si>
  <si>
    <t>III 60, 104</t>
  </si>
  <si>
    <t xml:space="preserve">DE CHALCO-||GRAPHIAE INVENTIO-||NE POEMA ENCOMIA-||STICVM,|| : </t>
  </si>
  <si>
    <t xml:space="preserve">
unkompliziert, saures Füllmaterial</t>
  </si>
  <si>
    <t>L-1541-315489286</t>
  </si>
  <si>
    <t>106695867X</t>
  </si>
  <si>
    <t>III 60, 105</t>
  </si>
  <si>
    <t xml:space="preserve">Ein @Christliche lere/|| zu gr#[ue]ndtlichem vnd bestendigem vn=||derricht des rechten Glaubens/|| vnd eines Gotseligen : </t>
  </si>
  <si>
    <t>L-1548-315470542</t>
  </si>
  <si>
    <t>1066942919</t>
  </si>
  <si>
    <t>III 60, 106</t>
  </si>
  <si>
    <t xml:space="preserve">D. CONRADI BRVNI|| IVRECONSVLTI OPERA TRIA,|| NVNC PRIMVM AEDITA.|| DE LEGATIONIBVS : </t>
  </si>
  <si>
    <t>L-1549-314709657</t>
  </si>
  <si>
    <t>1066457662</t>
  </si>
  <si>
    <t>III 60, 107</t>
  </si>
  <si>
    <t>HISTORIAE HVSSITARVM|| LIBRI DVODECIM|| PER IOANNEM COCHLAEVM, ARTIVM|| AC SACRAE THEOLOGIAE MAGISTRVM, CANONICVM|| Vratislauiensem ... collecti ex ua</t>
  </si>
  <si>
    <t>L-1550-315493372</t>
  </si>
  <si>
    <t>1066963096</t>
  </si>
  <si>
    <t>III 60, 108</t>
  </si>
  <si>
    <t xml:space="preserve"> IN ECCLESIA||STEN SALOMONIS ANNO-||TATIONES, PIAE ET ERVDITAE, EX VARIIS : </t>
  </si>
  <si>
    <t>L-1520-31549462X</t>
  </si>
  <si>
    <t>1066964394</t>
  </si>
  <si>
    <t>III 61 A, 1</t>
  </si>
  <si>
    <t>Signaturschild ist mit kleinem "a" beschriftet</t>
  </si>
  <si>
    <t>(Breuiarius denuo reuisus et|| emendatus Ceremonias: Ritum canendi: legendi ...|| cńsuetudines in choro insignis et ingenue|| Misneñ. Ecclesie obserud</t>
  </si>
  <si>
    <t xml:space="preserve">
durch Rest. leichter! Bauch, sonst unkompliziert</t>
  </si>
  <si>
    <t>L-1541-315489251</t>
  </si>
  <si>
    <t>1066958645</t>
  </si>
  <si>
    <t>III 61, 1</t>
  </si>
  <si>
    <t xml:space="preserve">Wider Hans|| Worst.|| D. Martinus|| Luther.|| : </t>
  </si>
  <si>
    <t>L-1504-154630012</t>
  </si>
  <si>
    <t>994152264</t>
  </si>
  <si>
    <t>III 62, 1</t>
  </si>
  <si>
    <t xml:space="preserve">Incipit Epistola beati Bern=||ardi ad Raimundum nepotē||suum De cura et modo rei fami||liaris vtilius gubernando : </t>
  </si>
  <si>
    <t>L-1520-315294949</t>
  </si>
  <si>
    <t>1066834997</t>
  </si>
  <si>
    <t>III 62, 2</t>
  </si>
  <si>
    <t xml:space="preserve">Das @büech der gemeinen land=||pot. Landsordnüng. Satzüng.|| vnd Gebreüch. des fürstenn=||thumbs in Obern vnd Nidern|| Bairn. Jm funftzehnhundert vnd </t>
  </si>
  <si>
    <t>L-1528-315491752</t>
  </si>
  <si>
    <t>1066961344</t>
  </si>
  <si>
    <t>III 62, 3</t>
  </si>
  <si>
    <t xml:space="preserve">Tewtsche : </t>
  </si>
  <si>
    <t>Einband mit Schutz- oder Stoßkanten</t>
  </si>
  <si>
    <t>L-9999-414827848</t>
  </si>
  <si>
    <t>1138311316</t>
  </si>
  <si>
    <t>III 63, 1</t>
  </si>
  <si>
    <t xml:space="preserve">Sammelband mit zwei Werken von Angelo Poliziano und "Füllmaterial" : </t>
  </si>
  <si>
    <t>L-1534-31546450X</t>
  </si>
  <si>
    <t>1066936676</t>
  </si>
  <si>
    <t>III 64, 1</t>
  </si>
  <si>
    <t>Constitutiones monachorum sancti benedicti congregationis coelestinorum nunquam hactenus impraessae et multis in locis a labeculis quibusdam emaculata</t>
  </si>
  <si>
    <t>L-1545-315487992</t>
  </si>
  <si>
    <t>1066957347</t>
  </si>
  <si>
    <t>III 65, 1</t>
  </si>
  <si>
    <t xml:space="preserve">Ain @Kurtzer Auszug des treffen=||lichen Wercks vnd Fridschirmbuchs/|| Marsilij von Padua.|| Dariñ der Kayser vnd B#[ae]pste gewalt : </t>
  </si>
  <si>
    <t>L-1556-315494115</t>
  </si>
  <si>
    <t>1066963916</t>
  </si>
  <si>
    <t>III 65, 2</t>
  </si>
  <si>
    <t>Kirchen|| Ordnung.|| Wie es mit der Christenlichen Leere/|| heiligen Sacramenten/ vnd Ceremoni=||en/ inn des Durchleuchtigsten ...|| Ottheinrichs/|| P</t>
  </si>
  <si>
    <t>L-1557-315468149</t>
  </si>
  <si>
    <t>1066940363</t>
  </si>
  <si>
    <t>III 65, 3</t>
  </si>
  <si>
    <t>RES PVBLICA VENETVM.|| Der grossen Commun/ der|| Statt Venedig/ vrsprung/|| erbawung vnd aufnemung. Jrer Herrschafft/|| erweitung/ Regiment/ Ordnung v</t>
  </si>
  <si>
    <t>L-1535-315211164</t>
  </si>
  <si>
    <t>1066790078</t>
  </si>
  <si>
    <t>III 66, 1</t>
  </si>
  <si>
    <t>La @Bible Lui est toute la Saincte escripture : En laquelle sont contenus, le Vieil Testament &amp; le Nouueau, translatez en Francoys, Le Vieil de Lebrie</t>
  </si>
  <si>
    <t>L-1552-315492902</t>
  </si>
  <si>
    <t>1066962553</t>
  </si>
  <si>
    <t>III 67, 1</t>
  </si>
  <si>
    <t xml:space="preserve">Der @thewre schoene Spruch Mosi. Gene. XV. Abraham gleubete dem HERRN vnd das rechent er yhm zur Gerechtigkeit. Aussgelegt Durch D. Marti. Luth. vber </t>
  </si>
  <si>
    <t>L-1508-315338229</t>
  </si>
  <si>
    <t>1066880700</t>
  </si>
  <si>
    <t>III 68, 1</t>
  </si>
  <si>
    <t xml:space="preserve">Ioannis Francisci Pici Mirandvlae domini Concordiaeqve comitis, Liber de providentia Dei contra philosophastros : </t>
  </si>
  <si>
    <t>L-1502-315493445</t>
  </si>
  <si>
    <t>1066963169</t>
  </si>
  <si>
    <t>III 69, 1</t>
  </si>
  <si>
    <t xml:space="preserve">Kunst desz Notariat vnd wie sich der|| Notarius in seinem Ampt halten vnd regieren soll. Jst ver-||deütscht. Durch den ... herren Andres-||sen nawer. </t>
  </si>
  <si>
    <t>evtl. sehr schmale Hülse</t>
  </si>
  <si>
    <t>L-1502-315486910</t>
  </si>
  <si>
    <t>1066956189</t>
  </si>
  <si>
    <t>III 69, 2</t>
  </si>
  <si>
    <t>Confessionale cõtinens|| tractatum decem preceptoru. Et septem vicioru ca||pitaliu.Cum quibusdã introductorijs: #[et] attin?ti=||bus.Collectis per Eng</t>
  </si>
  <si>
    <t>L-1512-315486945</t>
  </si>
  <si>
    <t>1066956227</t>
  </si>
  <si>
    <t>III 69, 3</t>
  </si>
  <si>
    <t xml:space="preserve">Elucidarius Dya||logicus theologie tripertitus: infi-||nitarum questionum resolutiuus.|| Vade mecum.|| : </t>
  </si>
  <si>
    <t>L-1503-315493534</t>
  </si>
  <si>
    <t>1066963266</t>
  </si>
  <si>
    <t>III 69, 4</t>
  </si>
  <si>
    <t>De Gloriosissime im#[pro]atricis nostre virginis|| Marie altissimi genitricis cesarei Con||ceptione sermonem varijs et do=||gmatibus preclarissimo#[ru</t>
  </si>
  <si>
    <t>L-1506-785156844</t>
  </si>
  <si>
    <t>1263033296</t>
  </si>
  <si>
    <t>III 69, 5</t>
  </si>
  <si>
    <t>L-1517-315490667</t>
  </si>
  <si>
    <t>1066960143</t>
  </si>
  <si>
    <t>III 69, 6</t>
  </si>
  <si>
    <t xml:space="preserve">Missale #[s]sm Choru #[et]|| Ritu Eysteteñ. Ecclesie.|| : </t>
  </si>
  <si>
    <t xml:space="preserve">
BB aus Papier mit Perg.lage</t>
  </si>
  <si>
    <t>L-1503-315494107</t>
  </si>
  <si>
    <t>1066963908</t>
  </si>
  <si>
    <t>III 69, 7</t>
  </si>
  <si>
    <t xml:space="preserve">Missale et de t?#[por]e et de|| sanct#[is] nedu #[s]m ordina||riu archiepiscopatus ec||clesie pragensis.|| : </t>
  </si>
  <si>
    <t xml:space="preserve">
Rücken ggf. unterfüttern</t>
  </si>
  <si>
    <t>Gelenke trotzt Schaden stabil, ggf. nach Digit. Restaurieren</t>
  </si>
  <si>
    <t>Box</t>
  </si>
  <si>
    <t>nur loses Leder fixieren, Gelenke belassen (ist stabil genug), ggf. nach Digit. restaurieren)</t>
  </si>
  <si>
    <t>L-1508-315469676</t>
  </si>
  <si>
    <t>106694203X</t>
  </si>
  <si>
    <t>III 69, 8</t>
  </si>
  <si>
    <t>Ein @spiegel der naturlichen himlischen|| vnd prophetischen sehungen aller tr#[ue]bsalen/ angst/ vnd not/|| die vber alle stende/ geschlechte/ vnd gem</t>
  </si>
  <si>
    <t>Originaleinband liegt bei</t>
  </si>
  <si>
    <t>L-1515-315492139</t>
  </si>
  <si>
    <t>1066961735</t>
  </si>
  <si>
    <t>III 69, 9</t>
  </si>
  <si>
    <t xml:space="preserve">Tractatus de efficacia aque benedicte:|| magistri Johannis de Turre cremata.|| : </t>
  </si>
  <si>
    <t>L-1514-315490675</t>
  </si>
  <si>
    <t>1066960151</t>
  </si>
  <si>
    <t>III 69, 10</t>
  </si>
  <si>
    <t>Das @leben vnsers erle||digers Jesu Christi/ nach lauttug des hey=||ligen Ewangeli/ mit vil andechtiger be=||trachtung/ Auch mit beylauffung des|| leb</t>
  </si>
  <si>
    <t>L-1507-315491000</t>
  </si>
  <si>
    <t>1066960518</t>
  </si>
  <si>
    <t>III 69, 11</t>
  </si>
  <si>
    <t>Speculum passionis|| domini nostri Ihesu christi. In quo reluc?t hec omnia sin/||gulariter vere &amp; absolute: puta. Omnis #[pro]fectio yerarchie|| Omniu</t>
  </si>
  <si>
    <t xml:space="preserve">
nur 110, wegen Schaden</t>
  </si>
  <si>
    <t>L-1509-315465298</t>
  </si>
  <si>
    <t>1066937443</t>
  </si>
  <si>
    <t>III 69, 12</t>
  </si>
  <si>
    <t xml:space="preserve">Versehug leib:|| sell eer vnd gutt|| : </t>
  </si>
  <si>
    <t>L-9999-414283465</t>
  </si>
  <si>
    <t>1137968877</t>
  </si>
  <si>
    <t>III 69, 13</t>
  </si>
  <si>
    <t>L-1517-167583956</t>
  </si>
  <si>
    <t>999124102</t>
  </si>
  <si>
    <t>III 69, 14 a</t>
  </si>
  <si>
    <t xml:space="preserve">Die @geuerlicheiten vnd einsteils|| der geschichten des loblichen streyt||paren vnd hochberümbten helds|| vnd Ritters herr Tewrdannckhs|| : </t>
  </si>
  <si>
    <t>L-1524-315469986</t>
  </si>
  <si>
    <t>1066942358</t>
  </si>
  <si>
    <t>III 69, 15</t>
  </si>
  <si>
    <t>L-1524-315328851</t>
  </si>
  <si>
    <t>1066870993</t>
  </si>
  <si>
    <t>III 69, 15 a</t>
  </si>
  <si>
    <t>Eins schönn vñ|| des rechtenn Zehents bringung|| jnn Reichstag gen Nürmberg.|| Herrn Hieronymi von Endorff/|| zu Mosen/ Ritter vnd Doctors|| der Recht</t>
  </si>
  <si>
    <t>L-1518-31549235X</t>
  </si>
  <si>
    <t>1066961956</t>
  </si>
  <si>
    <t>III 69, 15 b</t>
  </si>
  <si>
    <t xml:space="preserve">Venerabilis et eximij Doctoris|| Richardi de sancto victore Ordinis canonicorum|| regularium S.Au~g.De Trinitate libri sex.|| : </t>
  </si>
  <si>
    <t>L-1523-178750948</t>
  </si>
  <si>
    <t>1003104428</t>
  </si>
  <si>
    <t>III 69, 15c</t>
  </si>
  <si>
    <t>III 69, 15 c</t>
  </si>
  <si>
    <t>Was auff dē|| Reichsztag zu Nü||remberg, von wegen Bebstlich||er heiligkeit, an Keyserlicher Maiestat|| Stathalter vnd Stende, Lutherischer|| sachen h</t>
  </si>
  <si>
    <t>L-2009-324232</t>
  </si>
  <si>
    <t>997592117</t>
  </si>
  <si>
    <t>III 69, 15 e</t>
  </si>
  <si>
    <t xml:space="preserve">Perornata eademqve verissima D. Christophori descriptio : </t>
  </si>
  <si>
    <t>L-9999-812451201</t>
  </si>
  <si>
    <t>126787385X</t>
  </si>
  <si>
    <t>III 69, 15d</t>
  </si>
  <si>
    <t>L-1527-153951540</t>
  </si>
  <si>
    <t>993888127</t>
  </si>
  <si>
    <t>III 69, 16</t>
  </si>
  <si>
    <t xml:space="preserve">DIALLA||GE, HOC EST,|| CONCILIATIO LOCO||rum scripturae, qui prima facie|| inter se pugnare ui||dentur : </t>
  </si>
  <si>
    <t xml:space="preserve">
knapp 15 cm hoch</t>
  </si>
  <si>
    <t>L-1528-153951982</t>
  </si>
  <si>
    <t>993888585</t>
  </si>
  <si>
    <t>III 69, 16a</t>
  </si>
  <si>
    <t>III 69, 16 a</t>
  </si>
  <si>
    <t>DIALLA||GE, HOC EST,||CONCILIATIO LOCO||rum scripturae, qui prima facie|| inter se pugnare ui||dentur</t>
  </si>
  <si>
    <t>L-1528-163068933</t>
  </si>
  <si>
    <t>996946691</t>
  </si>
  <si>
    <t>III 69, 16 a - 2</t>
  </si>
  <si>
    <t>L-1525-315492678</t>
  </si>
  <si>
    <t>1066962278</t>
  </si>
  <si>
    <t>III 69, 17</t>
  </si>
  <si>
    <t xml:space="preserve">Eyn @Ratschlag/|| Den etliche Christenliche Pfarherrn/ Prediger/|| vnnd andere/ G#[oe]tlicher schrifft verstendige/|| Einem Fürsten/ welcher yetzigen </t>
  </si>
  <si>
    <t xml:space="preserve">
aufgepilzte Ecken</t>
  </si>
  <si>
    <t>L-1525-315492708</t>
  </si>
  <si>
    <t>1066962308</t>
  </si>
  <si>
    <t>III 69, 18</t>
  </si>
  <si>
    <t xml:space="preserve">Beschwerung der alten Teüfe||lischen Schlangen mit dem : </t>
  </si>
  <si>
    <t>welliger Buchblock, fester Rücken mit Schmuckprägung</t>
  </si>
  <si>
    <t>L-1525-176005064</t>
  </si>
  <si>
    <t>1002012155</t>
  </si>
  <si>
    <t>III 69, 18 a</t>
  </si>
  <si>
    <t>Der @Ehelich standt von Got mit ge=||benedeyung auffgesetzt, soll vmb schwärhait|| wegen der seltzamen gaben der Junck=||frawschafft yederman frey sei</t>
  </si>
  <si>
    <t>L-1524-315490179</t>
  </si>
  <si>
    <t>106695965X</t>
  </si>
  <si>
    <t>III 69, 18 b</t>
  </si>
  <si>
    <t>Mandat des Durchleüchti=||gen Hochgepornen F#[ue]rsten vnd Herren|| herrn Phi||lipps Landtgraff zu Hessen|| Graffe zu|| Catzenelnbogen||#[et]c. Christ</t>
  </si>
  <si>
    <t>L-1531-315488166</t>
  </si>
  <si>
    <t>1066957533</t>
  </si>
  <si>
    <t>III 69, 19</t>
  </si>
  <si>
    <t xml:space="preserve">Der @Hun||dert vnd eylffte|| Psalm außgelegt durch|| D. Martin Luther.|| Wittemberg.|| : </t>
  </si>
  <si>
    <t>mit Blindmaterial</t>
  </si>
  <si>
    <t>Umschlag (Leder pudert, Rücken ist beschädigt)</t>
  </si>
  <si>
    <t>nur unechte Bünde und Leder sichern, Gelenke belassen (ist stabil und bekommt Umschlag)</t>
  </si>
  <si>
    <t>L-1538-315493704</t>
  </si>
  <si>
    <t>1066963452</t>
  </si>
  <si>
    <t>III 69, 20</t>
  </si>
  <si>
    <t>Ein @sch#[oe]ner spruch|| so sich eyner Cronica|| vergleicht/ von mancherley krie=||gen/ schlachten vñ andern wunder=||barlichen thaten vnd geschichte</t>
  </si>
  <si>
    <t>L-1531-315488115</t>
  </si>
  <si>
    <t>1066957479</t>
  </si>
  <si>
    <t>III 69, 21</t>
  </si>
  <si>
    <t xml:space="preserve">Klag Antwort vnd vr=||teyl/ zwischen Fraw Armut vnd Pluto dem|| Gott der reichtumb welches vnter yhn das pesser sey.|| : </t>
  </si>
  <si>
    <t>L-1531-315330821</t>
  </si>
  <si>
    <t>1066873062</t>
  </si>
  <si>
    <t>III 69, 22</t>
  </si>
  <si>
    <t>Eyn @Sendtbrieff oder epistel|| des hochgelerten Erasmi rote||rodami/ an den edlen Herren Johan Schlechten|| von Costeletz/ in welcher gar schön die e</t>
  </si>
  <si>
    <t>L-1548-315493267</t>
  </si>
  <si>
    <t>1066962995</t>
  </si>
  <si>
    <t>III 69, 23</t>
  </si>
  <si>
    <t>Vitruuius|| Teutsch.|| Nemlichen des aller namhafftigi=||sten vñ hocherfarnesten/ R#[oe]mischen Architecti/ vnd Kunst=||reichen Werck oder Bawmeisters</t>
  </si>
  <si>
    <t>L-1525-166163945</t>
  </si>
  <si>
    <t>998402117</t>
  </si>
  <si>
    <t>III 69, 23a</t>
  </si>
  <si>
    <t>III 69, 23 a</t>
  </si>
  <si>
    <t>DE SACRO|| CONIVGIO COMMENTARIVS|| FRANCISCI LAMBERTI|| in Positiones LXIX. partitus|| : Eiusdem Antithesis uerbi dei &amp; inuentoru ho=||minum, prima po</t>
  </si>
  <si>
    <t>L-1525-794432697</t>
  </si>
  <si>
    <t>1267532122</t>
  </si>
  <si>
    <t>III 69, 23b</t>
  </si>
  <si>
    <t>Box (wegen Einband)</t>
  </si>
  <si>
    <t>Leder niederkleben, Fehlstellen belassen (ist alles stabil)</t>
  </si>
  <si>
    <t>x (eher Ecken wattiert)</t>
  </si>
  <si>
    <t>wattierte Ecken vorn und hinten nachleimen und ggf. mit JP stabilisieren</t>
  </si>
  <si>
    <t>L-1551-315488050</t>
  </si>
  <si>
    <t>106695741X</t>
  </si>
  <si>
    <t>III 69, 24</t>
  </si>
  <si>
    <t>OPERA|| Mathematica|| IOANNIS SCHONERI|| CAROLOSTADII IN VNVM VOLVMEN|| CONGESTA, ET PVBLICAE VTILITATI|| studiosorum omnium, ac celebri famae Norici|</t>
  </si>
  <si>
    <t>fester Rücken mit Schmuckprägung, welliger Buchblock, stark brüchiges Einbandmaterial</t>
  </si>
  <si>
    <t>L-1552-315493666</t>
  </si>
  <si>
    <t>106696341X</t>
  </si>
  <si>
    <t>III 69, 25</t>
  </si>
  <si>
    <t>Spiegel|| der Hauszucht,|| Jesus Syrach genañt: Sampt|| eyner kurtzen Außlegung.|| F#[ue]r die armen Haußu#[ae]tter vnnd|| jhr Gesinde/ Wie sie ein Go</t>
  </si>
  <si>
    <t>L-1553-315491868</t>
  </si>
  <si>
    <t>1066961476</t>
  </si>
  <si>
    <t>III 69, 26</t>
  </si>
  <si>
    <t xml:space="preserve">Der @klagendt Ehren||holdt/ vber Fürsten|| vnd Adel|| Hans Sachs|| : </t>
  </si>
  <si>
    <t>L-1553-315181508</t>
  </si>
  <si>
    <t>1066758840</t>
  </si>
  <si>
    <t>III 69, 27</t>
  </si>
  <si>
    <t>Band in Ausstellung</t>
  </si>
  <si>
    <t>L-1554-315199806</t>
  </si>
  <si>
    <t>1066777829</t>
  </si>
  <si>
    <t>III 69, 28</t>
  </si>
  <si>
    <t xml:space="preserve">Die @Judit mit Ho||loferne/ ob der belege-||rung der Stat : </t>
  </si>
  <si>
    <t>L-1523-315488344</t>
  </si>
  <si>
    <t>106695772X</t>
  </si>
  <si>
    <t>III 69, 29</t>
  </si>
  <si>
    <t xml:space="preserve">Ein @sermon D.M.|| Lutthers/ Auff das|| Ewangelion Luce am.j.ca~p.|| Maria stund auff/ vnnd|| gieng ab eylend in|| das gebirg.|| Wittemberg.|| : </t>
  </si>
  <si>
    <t>L-1523-847999084</t>
  </si>
  <si>
    <t>1272437973</t>
  </si>
  <si>
    <t>III, 69 29 a</t>
  </si>
  <si>
    <t>III 69, 29 a</t>
  </si>
  <si>
    <t>Eyn @Sermon|| Doctor wentzeslai Linck|| Von anr#[ue]ffunge der heyligen. Darneben|| auch vom gebet/ meß h#[oe]ren vnd fürpit|| Geprediget am Suntag de</t>
  </si>
  <si>
    <t>mit  Blindmaterial</t>
  </si>
  <si>
    <t>L-1524-84799547X</t>
  </si>
  <si>
    <t>127243432X</t>
  </si>
  <si>
    <t>III 69, 29 b</t>
  </si>
  <si>
    <t xml:space="preserve">Vom cristlichen|| Adel oder freyheit der kin=||der gottes vnd glau=||bigen menschen.|| : </t>
  </si>
  <si>
    <t>L-1519-315489049</t>
  </si>
  <si>
    <t>1066958424</t>
  </si>
  <si>
    <t>III 69, 30</t>
  </si>
  <si>
    <t xml:space="preserve">Eyn @sermon von der|| betrachtug des heyligen leydens christi.|| Doctor Martini Luther Augustiner zu Wittenbergk.|| : </t>
  </si>
  <si>
    <t>L-1524-833770225</t>
  </si>
  <si>
    <t>1268674788</t>
  </si>
  <si>
    <t>III 69, 31</t>
  </si>
  <si>
    <t xml:space="preserve">Von Testamẽ=||ten der sterbenden mẽschen/|| wie die geschehen vnd volzogen sol=||len werden nach G#[oe]tlichem ge=||setz/ : </t>
  </si>
  <si>
    <t>III 69, 32</t>
  </si>
  <si>
    <t>L-1557-16331375X</t>
  </si>
  <si>
    <t>997077026</t>
  </si>
  <si>
    <t>III 69, 33</t>
  </si>
  <si>
    <t xml:space="preserve">Schreybkalender aufs M.D.LVII. Jar|| : Darinn der Römische vnd Gemeine Kalender|| sampt den Euangelien|| Festen vnd Erwelungen|| ordentlich angezeygt </t>
  </si>
  <si>
    <t>L-1502-822833050</t>
  </si>
  <si>
    <t>1268135534</t>
  </si>
  <si>
    <t>III 70, 1</t>
  </si>
  <si>
    <t xml:space="preserve">Sancte Romane ecclesie fidei defensionis clippeu[m] aduersus walde[n]sium seu pickardoru[m] heresim. certas Germanie Bohemieq[ue] nationes in odiu[m] </t>
  </si>
  <si>
    <t>8000,00 EUR</t>
  </si>
  <si>
    <t>am ehesten Gelenke mit JP+Gewebe unterlegen (Bünde selbst nicht stabilisieren), ob Leder sich gut anheben lässt?, am Rücken die Kapitale sichern durch überkleben mit JP</t>
  </si>
  <si>
    <t>L-1518-315492805</t>
  </si>
  <si>
    <t>1066962448</t>
  </si>
  <si>
    <t>III 71, 1</t>
  </si>
  <si>
    <t xml:space="preserve">CALENDARIVM|| ROMANVM MA/||gnum, Caesaree maiestati dicatum, D.Ioanne|| Stoeffler iustingensi Mathematico|| authore.|| ...|| : </t>
  </si>
  <si>
    <t>L-1518-315191333</t>
  </si>
  <si>
    <t>106676882X</t>
  </si>
  <si>
    <t>III 72, 1</t>
  </si>
  <si>
    <t xml:space="preserve">Opus toti christiane reipublice maxime utile, de arcanis catholice ueritatis, contra obstinatissimam Iudeorum nostre tempestatis perfidiam ex Talmud, </t>
  </si>
  <si>
    <t>L-1516-162612133</t>
  </si>
  <si>
    <t>996697721</t>
  </si>
  <si>
    <t>III 73A, 1</t>
  </si>
  <si>
    <t>III 73 A, 1</t>
  </si>
  <si>
    <t>Francisci Marii Grapaldi: poetae Laureati : de Partibus Aedium: Addita|| modo: Verborum explicatione: Quae in eodem libro: continen||tur: ...</t>
  </si>
  <si>
    <t>hohler Rücken, gefaltete Blätter</t>
  </si>
  <si>
    <t>L-1502-315186100</t>
  </si>
  <si>
    <t>1066763372</t>
  </si>
  <si>
    <t>III 73, 1</t>
  </si>
  <si>
    <t>Baptiste Mantuani Bucolica : seu adolescentia in decem aeglogas divisa</t>
  </si>
  <si>
    <t>L-1514-315294973</t>
  </si>
  <si>
    <t>1066835012</t>
  </si>
  <si>
    <t>III 73, 2</t>
  </si>
  <si>
    <t>Danorum Regum heroumque historiae stilo elegantia Saxone Grammatico natione Sialandico necnon Roskildensis ecclesie preposito : abbinc supra trecentos</t>
  </si>
  <si>
    <t>L-1521-315082267</t>
  </si>
  <si>
    <t>1066694702</t>
  </si>
  <si>
    <t>III 73, 2 a</t>
  </si>
  <si>
    <t>Alberti Pii Carporum Comitis illustrissimi, ad Erasmi Roterodami expostulationem resposio accurata &amp; paraenetica, Martini Lutheri &amp; asseclarum eius ha</t>
  </si>
  <si>
    <t>L-1514-167032437</t>
  </si>
  <si>
    <t>99882707X</t>
  </si>
  <si>
    <t>III 73, 2 b</t>
  </si>
  <si>
    <t xml:space="preserve">M[arci] Annei Lucani Lordubensis Pharsalia diligentissime per G. Versellanum recognita : </t>
  </si>
  <si>
    <t>L-1518-16992209X</t>
  </si>
  <si>
    <t>1000047687</t>
  </si>
  <si>
    <t>III 73, 2 c</t>
  </si>
  <si>
    <t>Platonis opera a Marsilio|| Ficino traducta: adiectus ad eius vitae &amp; operū enar||rationem Axiocho ab Rodulpho [!] Agricola &amp; Alcyo||ne ab Augustino D</t>
  </si>
  <si>
    <t>L-1510-315220503</t>
  </si>
  <si>
    <t>1066800642</t>
  </si>
  <si>
    <t>III 73, 3</t>
  </si>
  <si>
    <t xml:space="preserve">Historici clarissimi: que extant Decades cum Epitome L. Flori inomneis libros : </t>
  </si>
  <si>
    <t>loses Leder fixieren, Gelenke ggf. mit JP überfangen</t>
  </si>
  <si>
    <t>L-1512-40695920X</t>
  </si>
  <si>
    <t>1132641950</t>
  </si>
  <si>
    <t>III 73, 4</t>
  </si>
  <si>
    <t>Opera</t>
  </si>
  <si>
    <t>T. 1. : Primus Tomus opreum Origenis Adamantij</t>
  </si>
  <si>
    <t>L-1512-406959226</t>
  </si>
  <si>
    <t>1132641969</t>
  </si>
  <si>
    <t>T. 2. : Secundus tomus operum Origenis Adamantij</t>
  </si>
  <si>
    <t>L-1507-315465352</t>
  </si>
  <si>
    <t>1066937516</t>
  </si>
  <si>
    <t>III 73, 5</t>
  </si>
  <si>
    <t xml:space="preserve">Novem F. Baptiste Mantuani Carmelitae ... opera praeter caetera moralia : </t>
  </si>
  <si>
    <t>L-1548-315200790</t>
  </si>
  <si>
    <t>1066778833</t>
  </si>
  <si>
    <t>III 73, 6</t>
  </si>
  <si>
    <t>In sacrosanctum Iesu Christi Euangelivm secvndum Ioannem enarrationes : ivxta ervditotvm sententiam factae ; cum indice copiosissimo</t>
  </si>
  <si>
    <t>L-1545-154505285</t>
  </si>
  <si>
    <t>994098219</t>
  </si>
  <si>
    <t>III 73, 6 a</t>
  </si>
  <si>
    <t>Venerabilis Bedae|| presbyteri theologi doctissimi iuxta|| ac Sanctissimi, Commentationum in Sa||cras literas</t>
  </si>
  <si>
    <t>L-1544-154505633</t>
  </si>
  <si>
    <t>99409843X</t>
  </si>
  <si>
    <t>L-1502-154136255</t>
  </si>
  <si>
    <t>993994350</t>
  </si>
  <si>
    <t>III 73, 7</t>
  </si>
  <si>
    <t>Opuscula diui Augu||stini longe prestantissima cum duplici||indicio rursus parrhisiis coimpressa||</t>
  </si>
  <si>
    <t>L-1502-154136115</t>
  </si>
  <si>
    <t>993994253</t>
  </si>
  <si>
    <t>L-1502-332794555</t>
  </si>
  <si>
    <t>1075286875</t>
  </si>
  <si>
    <t>III 73, 8</t>
  </si>
  <si>
    <t>L-9999-414171306</t>
  </si>
  <si>
    <t>1137888938</t>
  </si>
  <si>
    <t>III 73, 9</t>
  </si>
  <si>
    <t xml:space="preserve">Sammelband mit Werken von Quintus Horatius Flaccus : </t>
  </si>
  <si>
    <t>III 73, 11</t>
  </si>
  <si>
    <t>Band steht in Austellung</t>
  </si>
  <si>
    <t>L-1509-31518079X</t>
  </si>
  <si>
    <t>1066758131</t>
  </si>
  <si>
    <t>III 73, 11 @</t>
  </si>
  <si>
    <t>L-9999-413881482</t>
  </si>
  <si>
    <t>113772692X</t>
  </si>
  <si>
    <t>III 73, 12</t>
  </si>
  <si>
    <t xml:space="preserve">Sammelband von Werken zum kanonischen Recht : </t>
  </si>
  <si>
    <t>L-1531-163758182</t>
  </si>
  <si>
    <t>997386355</t>
  </si>
  <si>
    <t>III 73, 12 b</t>
  </si>
  <si>
    <t>Hor[a]e deipar[a]e virginis Mari[a]e secu[n]du[m] vsum Roma||num, plerisque biblie figuris atque chorea lethi circun||septe, nouisque effigiebus adorn</t>
  </si>
  <si>
    <t>L-1504-154135763</t>
  </si>
  <si>
    <t>993993958</t>
  </si>
  <si>
    <t>III 73, 13</t>
  </si>
  <si>
    <t>L-1505-315174781</t>
  </si>
  <si>
    <t>1066752419</t>
  </si>
  <si>
    <t>III 73, 14</t>
  </si>
  <si>
    <t xml:space="preserve">Tractatus de anima : </t>
  </si>
  <si>
    <t>L-1506-315208791</t>
  </si>
  <si>
    <t>1066787409</t>
  </si>
  <si>
    <t>III 73, 15</t>
  </si>
  <si>
    <t xml:space="preserve">In hoc libro contenta opera Hvgonis de Sancto Victore : </t>
  </si>
  <si>
    <t>L-1507-315208481</t>
  </si>
  <si>
    <t>1066787018</t>
  </si>
  <si>
    <t>III 73, 16</t>
  </si>
  <si>
    <t>Theologia Damasceni : De ineffabili diuinitate, De creaturarum genesi ordine Moseos, De iis que ab incarnatione vsque ad resurrectionem, De iis que po</t>
  </si>
  <si>
    <t>L-1514-315308478</t>
  </si>
  <si>
    <t>1066849463</t>
  </si>
  <si>
    <t>III 73, 17</t>
  </si>
  <si>
    <t xml:space="preserve">Galeni opera : </t>
  </si>
  <si>
    <t>L-1513-315294841</t>
  </si>
  <si>
    <t>1066834903</t>
  </si>
  <si>
    <t>III 73, 18</t>
  </si>
  <si>
    <t>Liber trium virorum &amp; trium spiritualium virginum: Hermæ Liber vnus. Vguetini Liber vnus. F. Roberti Libri duo. Hildegardis Sciuias Libri tres. Elizab</t>
  </si>
  <si>
    <t>Originaleinband liegt der Kassette bei</t>
  </si>
  <si>
    <t>x max 110</t>
  </si>
  <si>
    <t xml:space="preserve">
Neueinband (Perg.)</t>
  </si>
  <si>
    <t>L-1529-315318066</t>
  </si>
  <si>
    <t>1066859361</t>
  </si>
  <si>
    <t>III 73, 19</t>
  </si>
  <si>
    <t xml:space="preserve">C. Plinii Caecilii Secundi Novocomensis, Epistolarum libri X. Eiusdem panagyricus Traiano principi dictus. Eiusdem de viri illustrib. in re militari, </t>
  </si>
  <si>
    <t>L-1544-834172275</t>
  </si>
  <si>
    <t>1268890332</t>
  </si>
  <si>
    <t>III 73, 19 a</t>
  </si>
  <si>
    <t>L-1546-176987142</t>
  </si>
  <si>
    <t>1002285739</t>
  </si>
  <si>
    <t>III 73, 19b</t>
  </si>
  <si>
    <t>III 73, 19 b</t>
  </si>
  <si>
    <t>TĒS @KAIN̄ES DIATHĒ-||KĒS APANTA||</t>
  </si>
  <si>
    <t>Umschlag (bes. Einband)</t>
  </si>
  <si>
    <t>L-1556-315309423</t>
  </si>
  <si>
    <t>1066850437</t>
  </si>
  <si>
    <t>III 73, 20</t>
  </si>
  <si>
    <t xml:space="preserve">Novvm D. N. Iesv Christi testamentum : </t>
  </si>
  <si>
    <t>L-1507-315176296</t>
  </si>
  <si>
    <t>1066753873</t>
  </si>
  <si>
    <t>III 73, 21</t>
  </si>
  <si>
    <t>Leonardi Aretini De bello Gotthorum : seu de Bello Italico aduersus Gotthos Libri Quattuor</t>
  </si>
  <si>
    <t>L-1536-156637766</t>
  </si>
  <si>
    <t>994566468</t>
  </si>
  <si>
    <t>III 73, 21a</t>
  </si>
  <si>
    <t>III 73, 21 a</t>
  </si>
  <si>
    <t xml:space="preserve">Volumen [parvum] : Justiniani Romanorum imperatoris Volumen|| ut peculiari vocabulo nuncupant|| totius iuris ciuilis velut colophon ac complementum|| </t>
  </si>
  <si>
    <t>Fragmente beiliegend</t>
  </si>
  <si>
    <t>L-1509-315199296</t>
  </si>
  <si>
    <t>1066777330</t>
  </si>
  <si>
    <t>III 73, 22</t>
  </si>
  <si>
    <t>Expositio beati Gregorij pape super Cantica canticorum : Cantica Gregori sermona breui manifestat ; Dulcius vt castis auribus illa sonent</t>
  </si>
  <si>
    <t>L-9999-413885623</t>
  </si>
  <si>
    <t>1137732741</t>
  </si>
  <si>
    <t>III 73, 23</t>
  </si>
  <si>
    <t xml:space="preserve">Sammelband mit zwei Werken von Thascius Caecilius Cyprianus : </t>
  </si>
  <si>
    <t>L-1513-154629308</t>
  </si>
  <si>
    <t>994151691</t>
  </si>
  <si>
    <t>III 73, 23a</t>
  </si>
  <si>
    <t>III 73, 23 a</t>
  </si>
  <si>
    <t>Bibliogr. Angaben klären, kein Titelblatt</t>
  </si>
  <si>
    <t>[Melliflui deuotiq doctoris Sācti Bernardi ... Opus preclarū suos cōplectēs sermones de tempore: de sanctis: et super cantica canticorum : Aliosq plur</t>
  </si>
  <si>
    <t>L-1510-315461829</t>
  </si>
  <si>
    <t>1066933766</t>
  </si>
  <si>
    <t>III 73, 24</t>
  </si>
  <si>
    <t>Speculum spiritualium : in quo non solum de vita actiua et contemplatiua: verum etiam de viciis, quibus humana mens inquinatur, ac virtutibus quibus i</t>
  </si>
  <si>
    <t>L-1514-315333987</t>
  </si>
  <si>
    <t>1066876231</t>
  </si>
  <si>
    <t>III 73, 25</t>
  </si>
  <si>
    <t xml:space="preserve">Missale Diocesis Coloniensis : </t>
  </si>
  <si>
    <t>L-1514-314736093</t>
  </si>
  <si>
    <t>1066488770</t>
  </si>
  <si>
    <t>III 73, 26</t>
  </si>
  <si>
    <t xml:space="preserve">Augustini Dathi Senensis, ... Orationium prima pars ... secunda pars : </t>
  </si>
  <si>
    <t>L-1510-315465328</t>
  </si>
  <si>
    <t>1066937478</t>
  </si>
  <si>
    <t>III 73, 27</t>
  </si>
  <si>
    <t xml:space="preserve">Figure biblie : </t>
  </si>
  <si>
    <t>L-1512-314736255</t>
  </si>
  <si>
    <t>1066488940</t>
  </si>
  <si>
    <t>III 73, 28</t>
  </si>
  <si>
    <t xml:space="preserve">Summa virtutum ac vitiorum Guilhelmi Paraldi Episcopi Lugdunensis de ordine predicatorum : </t>
  </si>
  <si>
    <t>L-1514-31546304X</t>
  </si>
  <si>
    <t>106693505X</t>
  </si>
  <si>
    <t>III 73, 29</t>
  </si>
  <si>
    <t>Clarissimi artiu et sacre theologie doctoris magri Thome devio Caietani toti ordis pdicatoru gnalis magri : Jn pma sactissimi doctoris Thome Aqnatis s</t>
  </si>
  <si>
    <t>L-1523-315469390</t>
  </si>
  <si>
    <t>1066941742</t>
  </si>
  <si>
    <t>III 73, 30</t>
  </si>
  <si>
    <t xml:space="preserve">Assertionis Lutherane cōfutatio : </t>
  </si>
  <si>
    <t>lose Seiten befestigen</t>
  </si>
  <si>
    <t>L-1514-315328649</t>
  </si>
  <si>
    <t>1066870756</t>
  </si>
  <si>
    <t>III 73, 31</t>
  </si>
  <si>
    <t xml:space="preserve">Speculum finalis retributionis nouiter impressum : </t>
  </si>
  <si>
    <t>L-1514-315470828</t>
  </si>
  <si>
    <t>1066943184</t>
  </si>
  <si>
    <t>III 73, 31/a</t>
  </si>
  <si>
    <t>Compendium aureum ac in practicam orbe toto deducibile de vnione beneficiorum acutissimi doctoris domini Petri de perusio iuris canonici illuminatoris</t>
  </si>
  <si>
    <t>L-1514-31506286X</t>
  </si>
  <si>
    <t>1066674361</t>
  </si>
  <si>
    <t>III 73, 32</t>
  </si>
  <si>
    <t>Artificalis introductio permodum Epitomatis : in decem libros Ethicorum Aristotelis adiectis elucidata commentariis</t>
  </si>
  <si>
    <t>L-1509-765660482</t>
  </si>
  <si>
    <t>1253118221</t>
  </si>
  <si>
    <t>III 73, 32a</t>
  </si>
  <si>
    <t xml:space="preserve">Sammelband mit Drucken des 16. Jahrhunderts : </t>
  </si>
  <si>
    <t>1500,00 EUR</t>
  </si>
  <si>
    <t>L-1517-315331739</t>
  </si>
  <si>
    <t>1066873933</t>
  </si>
  <si>
    <t>III 73, 33</t>
  </si>
  <si>
    <t xml:space="preserve">Pe. Rosseti Laurētias Stephanis Panegyris, opuscūlu de puero Iudeo &amp; miraculo Eucharistie : </t>
  </si>
  <si>
    <t>L-1555-171141768</t>
  </si>
  <si>
    <t>1000777227</t>
  </si>
  <si>
    <t>III 73, 33a</t>
  </si>
  <si>
    <t>III 73, 33 a</t>
  </si>
  <si>
    <t>Homiliae per fe-||stivitates sancto-||rum</t>
  </si>
  <si>
    <t xml:space="preserve"> : P. hyemalis</t>
  </si>
  <si>
    <t>L-1557-171141873</t>
  </si>
  <si>
    <t>1000777332</t>
  </si>
  <si>
    <t>III 73, 33 a ( angebundenes Werk)</t>
  </si>
  <si>
    <t xml:space="preserve"> : P. aestivalis</t>
  </si>
  <si>
    <t>L-1517-315310413</t>
  </si>
  <si>
    <t>1066851433</t>
  </si>
  <si>
    <t>III 73, 34</t>
  </si>
  <si>
    <t xml:space="preserve">Epistole diui Pauli apostoli : </t>
  </si>
  <si>
    <t>L-1520-315457872</t>
  </si>
  <si>
    <t>1066929327</t>
  </si>
  <si>
    <t>III 73, 35</t>
  </si>
  <si>
    <t xml:space="preserve">Claudii Seysselli, archiepiscopi Tavrinensis, de Diuina prouidentia Tractatus : </t>
  </si>
  <si>
    <t>L-1520-833772759</t>
  </si>
  <si>
    <t>1268677469</t>
  </si>
  <si>
    <t>III 73, 36</t>
  </si>
  <si>
    <t xml:space="preserve">Regule morales Johanis de Gersonno doctoris christianissimi : </t>
  </si>
  <si>
    <t>L-1520-315335866</t>
  </si>
  <si>
    <t>1066878196</t>
  </si>
  <si>
    <t>III 73, 37</t>
  </si>
  <si>
    <t>Concordata inter sanctissimum Dominum nostrum Papam Leonem decimum et christianissimum Dominum nostrum Franciscum hujus nominis primum Lecta, publicat</t>
  </si>
  <si>
    <t>L-1520-315464259</t>
  </si>
  <si>
    <t>1066936382</t>
  </si>
  <si>
    <t>III 73, 38</t>
  </si>
  <si>
    <t xml:space="preserve">Les @presentes heures a lusage de Paris tout au long sans riens reqrir auec qs. les YV oraisos. saite. brigide : </t>
  </si>
  <si>
    <t>hohler Rücken, erhabene Illuminationen</t>
  </si>
  <si>
    <t>nicht auflegen</t>
  </si>
  <si>
    <t>L-1521-315300833</t>
  </si>
  <si>
    <t>106684092X</t>
  </si>
  <si>
    <t>III 73, 39</t>
  </si>
  <si>
    <t xml:space="preserve">De Primatv Petri adversvs Lvddervm Ioannis Eckii Libri tres : </t>
  </si>
  <si>
    <t>Rest des Klemmeinbandes steht bei GF (in Mappe) hätte aber bei NF von Höhe her Platz (Regalboden ist allerdings mehr als voll)</t>
  </si>
  <si>
    <t>L-1531-315469765</t>
  </si>
  <si>
    <t>1066942129</t>
  </si>
  <si>
    <t>III 73, 40</t>
  </si>
  <si>
    <t xml:space="preserve">Nicolai Perotti libellus no infrugifer de metris Odarum Horatianarum : </t>
  </si>
  <si>
    <t>L-1543-156070618</t>
  </si>
  <si>
    <t>994511248</t>
  </si>
  <si>
    <t>III 73, 40 a</t>
  </si>
  <si>
    <t>M[arcus] Tull[ius] Ciceronis de oratore dialogi tres, à Philippo Mela[n]chthone noua ac locupletiore quàm anteàv̄nquam locorum insignium enarratione i</t>
  </si>
  <si>
    <t>90,00 MDDR</t>
  </si>
  <si>
    <t>L-1524-786237503</t>
  </si>
  <si>
    <t>1263572855</t>
  </si>
  <si>
    <t>III 73, 40 b</t>
  </si>
  <si>
    <t xml:space="preserve">Sammelband mit Teilausgabe und  Fragment des Alten Testaments, gedruckt von Simon Colinaeus, Paris : </t>
  </si>
  <si>
    <t>L-1531-315463600</t>
  </si>
  <si>
    <t>1066935661</t>
  </si>
  <si>
    <t>III 73, 41</t>
  </si>
  <si>
    <t xml:space="preserve">Le @liure intitule Internelle consolation, tres utile et proffitable a tous chrestiens qui desirent faire le salut de leurs ames : </t>
  </si>
  <si>
    <t>L-1536-315464526</t>
  </si>
  <si>
    <t>1066936692</t>
  </si>
  <si>
    <t>III 73, 42</t>
  </si>
  <si>
    <t>Flaue Uegece Rene homme noble et illustre du fait de guerre, et fleur de cheualerie : quatre liures</t>
  </si>
  <si>
    <t>L-1535-158504658</t>
  </si>
  <si>
    <t>995009910</t>
  </si>
  <si>
    <t>III 73, 42 a</t>
  </si>
  <si>
    <t xml:space="preserve">Alberti|| Dvreri picto||ris et architecti prae||stantissimi de vrbibvs, arcibvs,|| castellisque condensis, ac muniendis rationes|| aliquot, praesenti </t>
  </si>
  <si>
    <t>fester Rücken mit Schmuckprägung, gefaltete Blätter, welliger Buchblock</t>
  </si>
  <si>
    <t>B: 22x33
F: 34x33</t>
  </si>
  <si>
    <t>L-1549-15411684X</t>
  </si>
  <si>
    <t>993976174</t>
  </si>
  <si>
    <t>III 73, 42/b</t>
  </si>
  <si>
    <t>Aristophanis Poe͏̈te|| COMICI PLVTVS, IAM NVNC|| per Carolum Girardum Bituricum Latinus|| factas, Commentarijs insuper sanè|| quàm vtiliß. recèns illu</t>
  </si>
  <si>
    <t>L-1539-154002895</t>
  </si>
  <si>
    <t>993914640</t>
  </si>
  <si>
    <t>III 73, 43</t>
  </si>
  <si>
    <t>DIVI AMBROSII|| Episcopi Mediolanensis omnia ope-||RA, PER ERVDITOS VIROS EX ACCVRATA DIVER-||sorum codicum collatione eme︠data ...|| in quatuor ordin</t>
  </si>
  <si>
    <t>L-1542-315456256</t>
  </si>
  <si>
    <t>1066927502</t>
  </si>
  <si>
    <t>III 73, 44</t>
  </si>
  <si>
    <t>Dialogi aliquot Joannis Ravisii Textoris : Niuernensis mendis compluribus repurgati studiosae iuventuti non minus vtiles quàm iucundi ; Adjecta sunt a</t>
  </si>
  <si>
    <t>L-9999-414172639</t>
  </si>
  <si>
    <t>1137891300</t>
  </si>
  <si>
    <t>III 73, 45</t>
  </si>
  <si>
    <t>L-1545-315209046</t>
  </si>
  <si>
    <t>1066787719</t>
  </si>
  <si>
    <t>III 73, 46</t>
  </si>
  <si>
    <t>Iuuenci Hispani presbyteri Historia evangelica, versu Heroico descripta : claruit sub Constantino magno Anno domini, ccc.xxx</t>
  </si>
  <si>
    <t>L-1546-315465875</t>
  </si>
  <si>
    <t>1066938083</t>
  </si>
  <si>
    <t>III 73, 47</t>
  </si>
  <si>
    <t>Theophylacti Archiepiscopi Bulgariae in quatuor Evangelia enarrationes, innumeris penè locis recognitae &amp; restitutae : Praemissae est Ph. Montani epis</t>
  </si>
  <si>
    <t>L-1550-315463007</t>
  </si>
  <si>
    <t>1066935017</t>
  </si>
  <si>
    <t>III 73, 48</t>
  </si>
  <si>
    <t xml:space="preserve">Claudii Galeni Pergameni, medicorum facile principis, aliquot opera : </t>
  </si>
  <si>
    <t>L-1552-155412345</t>
  </si>
  <si>
    <t>994340877</t>
  </si>
  <si>
    <t>III 73, 49</t>
  </si>
  <si>
    <t xml:space="preserve">Aischyloy|| promētheys desmōtēs,|| Epta epi thēbais|| persai,|| Agamemnōn,|| Eumenides,|| Iketides|| ... : </t>
  </si>
  <si>
    <t>L-9999-414375564</t>
  </si>
  <si>
    <t>1138056731</t>
  </si>
  <si>
    <t>III 73, 50</t>
  </si>
  <si>
    <t>L-1555-848040031</t>
  </si>
  <si>
    <t>1272479420</t>
  </si>
  <si>
    <t>III 73, 51</t>
  </si>
  <si>
    <t xml:space="preserve">Philosophorvm qvae svnt apvd Ciceronem dicta &amp; facta : </t>
  </si>
  <si>
    <t>L-1556-315175923</t>
  </si>
  <si>
    <t>1066753563</t>
  </si>
  <si>
    <t>III 73, 52</t>
  </si>
  <si>
    <t xml:space="preserve">Tu makariotatu 'Ippolytu, ... Logos peri tes synteleias tu kosmu ... : </t>
  </si>
  <si>
    <t>L-1556-315468548</t>
  </si>
  <si>
    <t>1066940789</t>
  </si>
  <si>
    <t>III 73, 53</t>
  </si>
  <si>
    <t xml:space="preserve">M. T. Ciceronis ad M. filium de Officiis libri tres : </t>
  </si>
  <si>
    <t>Gelenk ggf. mit JP unterlegen</t>
  </si>
  <si>
    <t>L-1557-315202866</t>
  </si>
  <si>
    <t>106678132X</t>
  </si>
  <si>
    <t>III 73, 54</t>
  </si>
  <si>
    <t xml:space="preserve">Beatissimi Hippolyti episcopi et martyris Oratio, de Consummatione mundi, ac de Antichristo, &amp; Secundo aduentu Domini nostri Iesu Christi : </t>
  </si>
  <si>
    <t xml:space="preserve">mit Blindmaterial </t>
  </si>
  <si>
    <t>L-1556-315297743</t>
  </si>
  <si>
    <t>1066837643</t>
  </si>
  <si>
    <t>III 73, 55</t>
  </si>
  <si>
    <t>Francisci Vicomercati Mediolanensis In quatuor libros Aristotelis meteorologicorum commentarii : et eorvndem librorvm e graeco in latinvm per evndem c</t>
  </si>
  <si>
    <t>Buchschuh (wg. Schließen)</t>
  </si>
  <si>
    <t>o/u</t>
  </si>
  <si>
    <t>L-1559-315463422</t>
  </si>
  <si>
    <t>1066935440</t>
  </si>
  <si>
    <t>III 73, 56</t>
  </si>
  <si>
    <t xml:space="preserve">L' @Histoire de Thucydide Athenien, de la guerre qui fut entre les Peloponnesiens &amp; Atheniens : </t>
  </si>
  <si>
    <t>L-1558-315297123</t>
  </si>
  <si>
    <t>1066837066</t>
  </si>
  <si>
    <t>III 73, 57</t>
  </si>
  <si>
    <t xml:space="preserve">Pro sacerdotum barbis : </t>
  </si>
  <si>
    <t>L-1560-315207531</t>
  </si>
  <si>
    <t>1066785902</t>
  </si>
  <si>
    <t>III 73, 58</t>
  </si>
  <si>
    <t>Confessio catholicae fidei Christiana : vel potivs explicatio qvaedam confessionis a patribus factae in synodo Prouinciali, quae habita est Petrikouia</t>
  </si>
  <si>
    <t>Leder fixieren, Einschlag stabilisieren, Gelenke mit JP überfangen</t>
  </si>
  <si>
    <t>L-1560-175715408</t>
  </si>
  <si>
    <t>1001857976</t>
  </si>
  <si>
    <t>III 73, 59</t>
  </si>
  <si>
    <t>Defensio|| [pro trimembri Theologia M. Lutheri contra aedificatores Babylonicae turris, ...] Frederici Staphylii|| ADVERSVS|| Philippum Melanthonem,||</t>
  </si>
  <si>
    <t>L-1534-163758778</t>
  </si>
  <si>
    <t>997386932</t>
  </si>
  <si>
    <t>III 73, 60</t>
  </si>
  <si>
    <t xml:space="preserve">[Horae Beatae Mariae Virginis secundum consuetudinem romanae curiae] : </t>
  </si>
  <si>
    <t>Ledereinband, Buchblock aus Pergament</t>
  </si>
  <si>
    <t>nicht verwenden</t>
  </si>
  <si>
    <t>L-1503-818824093</t>
  </si>
  <si>
    <t>1268059498</t>
  </si>
  <si>
    <t>III 73, 61</t>
  </si>
  <si>
    <t>850,00 EUR</t>
  </si>
  <si>
    <t>mit JP unterlegen und überfangen</t>
  </si>
  <si>
    <t>L-1510-15538287X</t>
  </si>
  <si>
    <t>99431339X</t>
  </si>
  <si>
    <t>III 74 A, 1</t>
  </si>
  <si>
    <t>Devotissimum opus passionis Chri||sti Meditationum incipit : a seraphico||doctore Bonauentura editum : omni||bus predicatoribus deuotisque religio||si</t>
  </si>
  <si>
    <t>L-1519-315324341</t>
  </si>
  <si>
    <t>1066866074</t>
  </si>
  <si>
    <t>III 74, 1</t>
  </si>
  <si>
    <t xml:space="preserve">Conflati ex angelico doctore s. Thoma primum volumen : </t>
  </si>
  <si>
    <t xml:space="preserve">
ÖW eigentlich 60</t>
  </si>
  <si>
    <t>L-1503-306836378</t>
  </si>
  <si>
    <t>1003970656</t>
  </si>
  <si>
    <t>III 75, 1</t>
  </si>
  <si>
    <t xml:space="preserve">MAgnencij Rabani|| Mauri De Laudib#[us] sancte Crucis|| opus. erudicione versu prosa#[que]|| mirificum.|| : </t>
  </si>
  <si>
    <t>L-1504-315491787</t>
  </si>
  <si>
    <t>1066961379</t>
  </si>
  <si>
    <t>III 75, 2</t>
  </si>
  <si>
    <t xml:space="preserve">Rabani Mauri|| Archiepiscopi Maguntini.|| De Institutione cleri=||coru. opusculum|| aureum.|| ... [Hrsg. v.] Georgius Symler.|| ...|| : </t>
  </si>
  <si>
    <t>L-1505-31549185X</t>
  </si>
  <si>
    <t>1066961468</t>
  </si>
  <si>
    <t>III 75, 3</t>
  </si>
  <si>
    <t>Rabanus De institutiõe|| clericorum.ad Heistulphu Archiepiscopu. libri tres.|| Eiusdem epistola ad Humbertum episcopum.quota|| generatione licitum sit</t>
  </si>
  <si>
    <t>L-1507-154135283</t>
  </si>
  <si>
    <t>993993621</t>
  </si>
  <si>
    <t>III 75, 4</t>
  </si>
  <si>
    <t xml:space="preserve">Rationarium Euangeli||starum. omnia in se euangelia.||prosa. uersu. imaginibusqe||q̄ē mirifice cōplectēs|| : </t>
  </si>
  <si>
    <t>K</t>
  </si>
  <si>
    <t>L-1506-170682692</t>
  </si>
  <si>
    <t>1000466167</t>
  </si>
  <si>
    <t>III 75, 5</t>
  </si>
  <si>
    <t xml:space="preserve">PRINCIPIVM|| LIBRI||(IOANNIS REVCHLIN PHORCENSIS|| LL. DOC. AD DIONYSIVM FRATREM|| SVVM GERMANVM DE RVDIMENTIS|| HEBRAICIS ...||) : </t>
  </si>
  <si>
    <t>L-1541-315201436</t>
  </si>
  <si>
    <t>1066779627</t>
  </si>
  <si>
    <t>III 76, 1</t>
  </si>
  <si>
    <t xml:space="preserve">Kronyka Czeská : </t>
  </si>
  <si>
    <t>L-1558-315189622</t>
  </si>
  <si>
    <t>1066767114</t>
  </si>
  <si>
    <t>III 76, 2</t>
  </si>
  <si>
    <t>De trivmphali adventv serenissimi et invictissimi imperatoris Ferdinandi I. P.P. Pragam Bohemorum Metropolim, Gratulatoriae Acclamationes : ex Academi</t>
  </si>
  <si>
    <t>evtl. kleine Hülse, Fragment inneliegend, ggf. Rücken mit JP überfangen</t>
  </si>
  <si>
    <t>III 77, 1</t>
  </si>
  <si>
    <t xml:space="preserve">
Pergamentumschlag</t>
  </si>
  <si>
    <t xml:space="preserve">
bes. Vorsicht wegen Lage hinten</t>
  </si>
  <si>
    <t>v.a. Risse im Titelblatt , ggf auch letztes Blatt, Lage hinten belassen</t>
  </si>
  <si>
    <t>L-1552-822821869</t>
  </si>
  <si>
    <t>1268123862</t>
  </si>
  <si>
    <t>Historiae Regni Boiemiae, De Rebvs Memoria Dignis, In Illa Gestis, Ab Initio Boiemorum, qui ex Illyria venientes, eandem Boiemiam, in medio propemodum</t>
  </si>
  <si>
    <t>460,00 EUR</t>
  </si>
  <si>
    <t>L-1554-315464313</t>
  </si>
  <si>
    <t>1066936455</t>
  </si>
  <si>
    <t>III 78, 1</t>
  </si>
  <si>
    <t>CATECHIS=||MVS|| PRedigsweise gestelt/ für|| die kirche zu Regenspurg/ zum|| Methodo/ das ist/ ordentlicher|| summa Christlicher lere/ ...|| Durch Nic</t>
  </si>
  <si>
    <t>L-1560-161002250</t>
  </si>
  <si>
    <t>995843651</t>
  </si>
  <si>
    <t>III 78, 2</t>
  </si>
  <si>
    <t>Summa vnd Aus||zug der ersten vnd andern antwort|| Nicolai Galli, auf der Professorn zu Wittem||temberg [!] ausgangne Acta, Suma vnd Aus||zug derselbe</t>
  </si>
  <si>
    <t>L-1501-315326328</t>
  </si>
  <si>
    <t>106686814X</t>
  </si>
  <si>
    <t>III 79, 1</t>
  </si>
  <si>
    <t xml:space="preserve">Liber de ciuitate christi con pilatus : </t>
  </si>
  <si>
    <t>L-1517-315487054</t>
  </si>
  <si>
    <t>1066956375</t>
  </si>
  <si>
    <t>III 80, 1</t>
  </si>
  <si>
    <t>Das @ist der geistlich streit|| gemacht vnnd gepredigt worden durch|| den Hochgelertenn Bayder Rechtenn|| Doctor Vlrich krafft pfarrer zu Vlm|| außget</t>
  </si>
  <si>
    <t>L-1504-315220163</t>
  </si>
  <si>
    <t>1066800278</t>
  </si>
  <si>
    <t>III 81, 1</t>
  </si>
  <si>
    <t xml:space="preserve">Kanuti, Episcopi Niburgensis, quaedam breves Expositiones et Legum et Jurium Concordantiae et allegationes circa Leges Juciae Latine et Danice : </t>
  </si>
  <si>
    <t>L-1504-315220155</t>
  </si>
  <si>
    <t>doppelt?</t>
  </si>
  <si>
    <t>L-1521-315218711</t>
  </si>
  <si>
    <t>1066798540</t>
  </si>
  <si>
    <t>III 82, 1</t>
  </si>
  <si>
    <t xml:space="preserve">Pvb. Francisci Modesti Ariminensis, ad Antonium Grimanvm. P. S. Q. V. Venetias : </t>
  </si>
  <si>
    <t>L-1520-315294493</t>
  </si>
  <si>
    <t>1066834555</t>
  </si>
  <si>
    <t>III 83, 1</t>
  </si>
  <si>
    <t>nur Einband (Papierband) am Standort (Inhalt offenbar heraus gelöst)</t>
  </si>
  <si>
    <t>L-1522-170280322</t>
  </si>
  <si>
    <t>1000270947</t>
  </si>
  <si>
    <t>III 83, 3</t>
  </si>
  <si>
    <t>THOMAE|| RAD.[ini] TODISCHI PLACENT|| : Or. Prae. artium &amp; Sacr. Theol. ma||gistri, atq? in almo urbis Romae|| gymnasio diuinas lite||ras ordinarie do</t>
  </si>
  <si>
    <t>L-1533-769693059</t>
  </si>
  <si>
    <t>1255208783</t>
  </si>
  <si>
    <t>III 83, 4</t>
  </si>
  <si>
    <t xml:space="preserve">Sammelband mit zwei Erstdrucken in griechischer Schrift : </t>
  </si>
  <si>
    <t>L-1529-315490942</t>
  </si>
  <si>
    <t>1066960453</t>
  </si>
  <si>
    <t>III 84, 1</t>
  </si>
  <si>
    <t>Wat byllick|| vñ recht ys/ eyne kor=||te erklaring/ allen stenden|| denstlick.|| Dorch Joannem Oldendorp/|| Keyserliker rechte Doctorem/|| Syndicum th</t>
  </si>
  <si>
    <t>L-1557-315490489</t>
  </si>
  <si>
    <t>1066959978</t>
  </si>
  <si>
    <t>III 84, 2</t>
  </si>
  <si>
    <t xml:space="preserve">Kerckenordeninge:|| Wo ydt mit Christlyker Lere// vorre=||kinge der Sacramente// Ordination der Dene=||re des Euangelij// ordentlyken Ceremoni=||en// </t>
  </si>
  <si>
    <t>L-1544-315201215</t>
  </si>
  <si>
    <t>106677935X</t>
  </si>
  <si>
    <t>III 85, 1</t>
  </si>
  <si>
    <t xml:space="preserve">Pavli Grisignani de Salerno Ar. et Me. Doctoris Clarissimi In Aphorismis Hippocratis expositio foeliciter incipit : </t>
  </si>
  <si>
    <t>Deckel stark nach innen gerundet</t>
  </si>
  <si>
    <t>Box (wegen Deckeln)</t>
  </si>
  <si>
    <t>L-9999-414746198</t>
  </si>
  <si>
    <t>1138240702</t>
  </si>
  <si>
    <t>III 86, 1</t>
  </si>
  <si>
    <t>L-1555-315465506</t>
  </si>
  <si>
    <t>1066937672</t>
  </si>
  <si>
    <t>III 87, 1</t>
  </si>
  <si>
    <t>Arte breve y provechosa de cuenta castellana y arithmetica, donde se nuestra las cinco reglas de guarismo por la cuenta castellana y reglas de memoria</t>
  </si>
  <si>
    <t>JP+Gewebe unterlegen</t>
  </si>
  <si>
    <t>L-1519-315494727</t>
  </si>
  <si>
    <t>1066964491</t>
  </si>
  <si>
    <t>III 88, 1</t>
  </si>
  <si>
    <t xml:space="preserve">GRAVAMINA|| GERMANICAE NATIONIS|| cum remedijs &amp; auisamentis ad Cae=||saream Maiestatem.|| [Hrsg.v. Jakob Wimpheling] : </t>
  </si>
  <si>
    <t>L-1520-315492600</t>
  </si>
  <si>
    <t>1066962200</t>
  </si>
  <si>
    <t>III 88, 2</t>
  </si>
  <si>
    <t xml:space="preserve">EPIGRAMMA||TA IOANNIS SAPIDI.|| Selestadij bonas literas ac|| linguam utram#[que]|| docentis.|| [Hrsg. v. (IACOBVS SPIEGEL ...||)] : </t>
  </si>
  <si>
    <t>L-1520-315493070</t>
  </si>
  <si>
    <t>106696274X</t>
  </si>
  <si>
    <t>III 88, 3</t>
  </si>
  <si>
    <t xml:space="preserve">IOAN||NES LODOVICVS|| Viues, Valentinus, aduersus|| pseudodialecticos.|| EIVSDEM POM||peius fugiens.|| : </t>
  </si>
  <si>
    <t>L-1520-315493380</t>
  </si>
  <si>
    <t>106696310X</t>
  </si>
  <si>
    <t>III 88, 4</t>
  </si>
  <si>
    <t>DIVO|| MAXIMILIANO IV||bente Pragmatice sancti=||onis Medulla ex=||cerpta.||(DE actionibus &amp; astutijs quorun=||dam Curtisanorum.||) [Hrsg. v. (Iacobus</t>
  </si>
  <si>
    <t>L-1501-315463732</t>
  </si>
  <si>
    <t>1066935823</t>
  </si>
  <si>
    <t>III 89, 1</t>
  </si>
  <si>
    <t>Quodlibetica decisio perpulchra et deuota de septem doloribus|| xp̃ifere virginis marie ac conmuni #[et] saluberrima confraternitate|| de super instit</t>
  </si>
  <si>
    <t>L-1538-315493712</t>
  </si>
  <si>
    <t>1066963479</t>
  </si>
  <si>
    <t>III 90, 1</t>
  </si>
  <si>
    <t xml:space="preserve">M.T. CICE||RONIS EPISTOLAE FA||MILIARES.|| : </t>
  </si>
  <si>
    <t>L-1538-315208074</t>
  </si>
  <si>
    <t>1066786534</t>
  </si>
  <si>
    <t>III 90, 2</t>
  </si>
  <si>
    <t xml:space="preserve">Psalterivm Vniversvm Itervm ab Avtore magna diligentia recognitum atque emendatum cum praefationibus ac testemoniis doctissimorum hominum... Adiectis </t>
  </si>
  <si>
    <t>L-1516-154007579</t>
  </si>
  <si>
    <t>99391909X</t>
  </si>
  <si>
    <t>III 91, 1</t>
  </si>
  <si>
    <t>L-1516-154006947</t>
  </si>
  <si>
    <t>993918549</t>
  </si>
  <si>
    <t>L-1516-78518192X</t>
  </si>
  <si>
    <t>1263056237</t>
  </si>
  <si>
    <t xml:space="preserve">Sammelband mit zwei Wörterbüchern von Elio Antonio Nebrija : </t>
  </si>
  <si>
    <t>L-1530-315492384</t>
  </si>
  <si>
    <t>1066961980</t>
  </si>
  <si>
    <t>III 92, 1</t>
  </si>
  <si>
    <t xml:space="preserve">ANfang: vrsprung:|| vnnd herko~men des|| Thurnirs in Teutscher nation.|| Wieuil Thurnier bisz vff den let=||sten zu Worms ...|| gehalten/ vnd|| durch </t>
  </si>
  <si>
    <t>L-1532-315488522</t>
  </si>
  <si>
    <t>1066957894</t>
  </si>
  <si>
    <t>III 92, 2</t>
  </si>
  <si>
    <t>ANfang/ vrsprug|| vnd herkomen|| des Thurniers inn Teut=||scher nation. Wieuil Thurnier|| biß vff den letstenn zu Wormbs:|| ... gehalten/ vñ durch was</t>
  </si>
  <si>
    <t>L-1532-315488530</t>
  </si>
  <si>
    <t>III 92, 3</t>
  </si>
  <si>
    <t>L-1538-315490985</t>
  </si>
  <si>
    <t>1066960496</t>
  </si>
  <si>
    <t>III 93, 1</t>
  </si>
  <si>
    <t xml:space="preserve">AENEAE|| SILVII SENENSIS DE BO-||hemorum origine, ac gestis historia, uariaru rerum nar-||rationem complectens. Cui copiosus acceßit in-||dex ...|| : </t>
  </si>
  <si>
    <t>L-1539-315466340</t>
  </si>
  <si>
    <t>106693858X</t>
  </si>
  <si>
    <t>III 93, 2</t>
  </si>
  <si>
    <t>POLYANTHEA|| OPVS SVAVISSIMIS FLORIBVS EXORNATVM,|| authore Dominico Nano Mirabellio.Ciue Albense,artium´q;|| doctore,ad communem Reipublicae literari</t>
  </si>
  <si>
    <t>L-1540-315470054</t>
  </si>
  <si>
    <t>1066942420</t>
  </si>
  <si>
    <t>III 93, 3</t>
  </si>
  <si>
    <t xml:space="preserve">HOMERI|| ILIAS AD VERBVM|| translata, Andrea Diuo|| Iustinopolitano|| interprete.|| : </t>
  </si>
  <si>
    <t>L-9999-414747461</t>
  </si>
  <si>
    <t>113824290X</t>
  </si>
  <si>
    <t>III 94, 1</t>
  </si>
  <si>
    <t>L-1501-315492236</t>
  </si>
  <si>
    <t>1066961832</t>
  </si>
  <si>
    <t>III 95, 1</t>
  </si>
  <si>
    <t>Theologia naturalis siue li||ber creaturarum specialiter|| de homine et de natura eius in quantum homo: et de his que|| sunt ei necessaria ad cognosce</t>
  </si>
  <si>
    <t>L-1502-315469005</t>
  </si>
  <si>
    <t>1066941297</t>
  </si>
  <si>
    <t>III 95, 2</t>
  </si>
  <si>
    <t xml:space="preserve">FOrmulare. vnd|| Tútsch rethorica.|| : </t>
  </si>
  <si>
    <t>L-1503-315331259</t>
  </si>
  <si>
    <t>1066873445</t>
  </si>
  <si>
    <t>III 95, 3</t>
  </si>
  <si>
    <t xml:space="preserve">Margarita poetica.|| ...|| : </t>
  </si>
  <si>
    <t>L-1503-177481706</t>
  </si>
  <si>
    <t>1002498287</t>
  </si>
  <si>
    <t>III 95, 3a</t>
  </si>
  <si>
    <t>III 95, 3 a</t>
  </si>
  <si>
    <t>Concordia curatorum:|| #[et] fratrum mendicantiũ|| Carmen elegiacum deplangens discordiam &amp; dis/||ssensionem christianorum cuiuscun#[que] status dig||</t>
  </si>
  <si>
    <t>L-1507-315492724</t>
  </si>
  <si>
    <t>1066962324</t>
  </si>
  <si>
    <t>III 95, 4</t>
  </si>
  <si>
    <t>Baptiste Mantuani|| Bucolica seu adolescentia in decem aeglogas|| diuisa: Ab Iodoco Badio Ascensio fami||liariter exposita: cum indice dictionu.|| Car</t>
  </si>
  <si>
    <t>L-1510-31549350X</t>
  </si>
  <si>
    <t>1066963231</t>
  </si>
  <si>
    <t>III 95, 5</t>
  </si>
  <si>
    <t>Tranßlatzion|| oder tütschung? des hochgeachten Nico||lai von wyle: den zyten Statschriber der|| Stat Esselingen: etlicher bücher Enee sil||uij: Pogij</t>
  </si>
  <si>
    <t>L-1512-315494379</t>
  </si>
  <si>
    <t>1066964157</t>
  </si>
  <si>
    <t>III 95, 6</t>
  </si>
  <si>
    <t xml:space="preserve">Vocabularius|| gemma gemmaru|| nouiter impressus:|| additione#[que] multa||rum dictionum ex|| ornatus:|| : </t>
  </si>
  <si>
    <t>L-1502-315493100</t>
  </si>
  <si>
    <t>1066962804</t>
  </si>
  <si>
    <t>III 95, 7</t>
  </si>
  <si>
    <t>Publij Virgilij marõis opera.||(cu cõm?tariis Seruii Mauri honorati grãmatici: Aelii Donati: Christofori Lan=||dini: Antonii Mancinelli &amp; Domicii Cald</t>
  </si>
  <si>
    <t>L-1503-406964815</t>
  </si>
  <si>
    <t>1132647207</t>
  </si>
  <si>
    <t>III 95, 8</t>
  </si>
  <si>
    <t>L-1502-406964831</t>
  </si>
  <si>
    <t>1132647223</t>
  </si>
  <si>
    <t>III 95, 8 (angebunden)</t>
  </si>
  <si>
    <t xml:space="preserve">[3]. : </t>
  </si>
  <si>
    <t>L-1502-406964823</t>
  </si>
  <si>
    <t>1132647215</t>
  </si>
  <si>
    <t>[2]. : [Polycarpi martyris Smyr=||neorum episcopi...|| Ad Philippen=||ses. Epistola.||]</t>
  </si>
  <si>
    <t>L-1516-315488557</t>
  </si>
  <si>
    <t>1066957916</t>
  </si>
  <si>
    <t>III 95, 9</t>
  </si>
  <si>
    <t>Die @zehẽ ge||bot in disem|| büch erclert vnd vßge||legt durch etlich hoch||berümbte lerer/ Vnd fragt der iũng||er den meister/ der lert wie man die||</t>
  </si>
  <si>
    <t>L-1518-315488549</t>
  </si>
  <si>
    <t>1066957908</t>
  </si>
  <si>
    <t>III 95, 10</t>
  </si>
  <si>
    <t>Spiegel der|| Artzny des|| geleichen vormals nie|| võ kein? doctor in tüt||sch vßgang? ist nützlich vñ gut all?|| denen so der artzet radt beger?t/ au</t>
  </si>
  <si>
    <t>L-1518-161495788</t>
  </si>
  <si>
    <t>995969922</t>
  </si>
  <si>
    <t>III 95, 10 a</t>
  </si>
  <si>
    <t xml:space="preserve">Sermones|| [et] varij Tractat[us] Keiser||spergii iam recens excusi: quoru[m]|| Indice[m]versa pagella videbis|| ... : </t>
  </si>
  <si>
    <t>L-2007-325491</t>
  </si>
  <si>
    <t>986509019</t>
  </si>
  <si>
    <t>III 95, 10 b</t>
  </si>
  <si>
    <t>Das @bùch d'|| sünden des|| munds.Võ dem hoch|| gelerten Doctor Keiser=||sperg/die er nent die blatr? am mund|| dauõ er.xxix.predig? vñ leer? gethon||</t>
  </si>
  <si>
    <t>L-1505-315493402</t>
  </si>
  <si>
    <t>1066963126</t>
  </si>
  <si>
    <t>III 95, 11</t>
  </si>
  <si>
    <t xml:space="preserve">Jacobi Wimphelingi|| De Jntegritate|| Libellus|| ...|| : </t>
  </si>
  <si>
    <t>L-1507-169623483</t>
  </si>
  <si>
    <t>999891499</t>
  </si>
  <si>
    <t>III 95, 11a</t>
  </si>
  <si>
    <t>III 95, 11 a</t>
  </si>
  <si>
    <t>Passio domini nostri Je||su Christi, ex euangelistarum textu &amp; [quam] accura=||tissime deprompta additis sanctissimis exquisi||tissimisq figuris|| ...</t>
  </si>
  <si>
    <t>L-1503-169616517</t>
  </si>
  <si>
    <t>999884867</t>
  </si>
  <si>
    <t>III 95, 11b</t>
  </si>
  <si>
    <t>III 95, 11 b</t>
  </si>
  <si>
    <t xml:space="preserve">Sermones parati de|| tempore &amp; de sanctis. cum Jnuentario quodam vti||li nuper superaddito|| : </t>
  </si>
  <si>
    <t>L-1511-315467916</t>
  </si>
  <si>
    <t>1066940134</t>
  </si>
  <si>
    <t>III 95, 12</t>
  </si>
  <si>
    <t xml:space="preserve">Formulare Und|| tütsch Rethorica.|| : </t>
  </si>
  <si>
    <t>L-1513-161493610</t>
  </si>
  <si>
    <t>995967695</t>
  </si>
  <si>
    <t>III 95, 13</t>
  </si>
  <si>
    <t>Nauicula siue specu||lum fatuor[?] Prestantissimi sacrar[?]|| Doctoris Johannis Geiler Keysersber||gij Concionatoris Argentine[?].||a Jacobo Otthero||</t>
  </si>
  <si>
    <t>L-1513-16149370X</t>
  </si>
  <si>
    <t>III 95, 13 a</t>
  </si>
  <si>
    <t>III 95, 13/a</t>
  </si>
  <si>
    <t>L-1516-315465034</t>
  </si>
  <si>
    <t>1066937214</t>
  </si>
  <si>
    <t>III 95, 14</t>
  </si>
  <si>
    <t>L-1517-165577657</t>
  </si>
  <si>
    <t>99810082X</t>
  </si>
  <si>
    <t>III 95, 14 a</t>
  </si>
  <si>
    <t>L-1516-155603256</t>
  </si>
  <si>
    <t>994401965</t>
  </si>
  <si>
    <t>III 95, 14/b</t>
  </si>
  <si>
    <t>Pupilla oculi|| De septem Sacramentoru admini||stratione:de decem Preceptis decalogi:ceteris[que] ecclesiastico[rum]|| ... officijs: Joannis de|| Burg</t>
  </si>
  <si>
    <t>L-1519-315219564</t>
  </si>
  <si>
    <t>1066799520</t>
  </si>
  <si>
    <t>III 95, 15</t>
  </si>
  <si>
    <t xml:space="preserve">Die @syben Bůszpsalmen Mit teütscher auszlegung, Nach dem schrifftlichen synne ... grundtlich gerichtet. : </t>
  </si>
  <si>
    <t>L-1519-315493003</t>
  </si>
  <si>
    <t>1066962650</t>
  </si>
  <si>
    <t>III 95, 16</t>
  </si>
  <si>
    <t>Theologia.|| Teütsch.|| Das ist ain edels vnd kostlichs b#[ue]ch||lin/ von rechtem verstand/ was|| Adam vnd Christus sey/ vnd|| wie Adam in vns ster=|</t>
  </si>
  <si>
    <t>L-1521-315469374</t>
  </si>
  <si>
    <t>1066941718</t>
  </si>
  <si>
    <t>III 95, 17</t>
  </si>
  <si>
    <t xml:space="preserve">AVLI GEL||LII NOCTIVM ATTI=||CARVM.LIBRI VN||DEVIGINTI.|| In easdem, Encomiu carmine Luscinii|| ad HVTTENVM ...|| : </t>
  </si>
  <si>
    <t>L-1521-177021292</t>
  </si>
  <si>
    <t>1002318963</t>
  </si>
  <si>
    <t>III 95, 17 b</t>
  </si>
  <si>
    <t>III 95, 17 a</t>
  </si>
  <si>
    <t>Die @verteutschte Text aus den|| Bebstlichen Rechten : vnd vil|| andren glaubwirdigen ge=||schriffte ; daraus sich meni||klich allerley mag erku|| den</t>
  </si>
  <si>
    <t>L-1521-177021284</t>
  </si>
  <si>
    <t>L-1504-31549252X</t>
  </si>
  <si>
    <t>106696212X</t>
  </si>
  <si>
    <t>III 95, 18</t>
  </si>
  <si>
    <t>Disz ist der brun des|| Radts vsz welchem eyn bekümerter|| o#///d betrüpter m?sch trost radt vñ wyßheit empfahet/ das|| manch? dick radts not ist/ was</t>
  </si>
  <si>
    <t>L-1505-315332115</t>
  </si>
  <si>
    <t>1066874301</t>
  </si>
  <si>
    <t>III 95, 19</t>
  </si>
  <si>
    <t xml:space="preserve">KEyserlich vnd Künig||liche Lant vnd lehenrecht|| nach gemeinem sittẽ vnd gebruch der rechten.|| : </t>
  </si>
  <si>
    <t>L-1513-315317884</t>
  </si>
  <si>
    <t>1066859175</t>
  </si>
  <si>
    <t>III 95, 20</t>
  </si>
  <si>
    <t xml:space="preserve">Der @text des Passions. Oder lidens christi. ausz den vier euangelisten zusammen jnn eyn syn bracht mit schönen figüren... : </t>
  </si>
  <si>
    <t>L-1513-153914203</t>
  </si>
  <si>
    <t>993860303</t>
  </si>
  <si>
    <t>III 95, 21</t>
  </si>
  <si>
    <t>DJe @Türckisch Chronica|| Von irem vrsprung anefang|| vnd regiment|| biß vff dise zeit|| sampt yrē|| kriegen vnd streyten mit den chri||sten begangen|</t>
  </si>
  <si>
    <t>L-1510-31546884X</t>
  </si>
  <si>
    <t>1066941114</t>
  </si>
  <si>
    <t>III 95, 22</t>
  </si>
  <si>
    <t>Celeberrimi sacrarum lite||rarum Doctoris Joannis Geiler Keisersbergi:|| Argentinensiu Cocionatoris bene meri/||ti.De oratione dñica Sermones:|| Per J</t>
  </si>
  <si>
    <t>L-1508-16618859X</t>
  </si>
  <si>
    <t>998425532</t>
  </si>
  <si>
    <t>III 95, 22a</t>
  </si>
  <si>
    <t>III 95, 22 a</t>
  </si>
  <si>
    <t xml:space="preserve">Christophori Landini Florentini libri quattuor : </t>
  </si>
  <si>
    <t>L-1511-315492260</t>
  </si>
  <si>
    <t>1066961867</t>
  </si>
  <si>
    <t>III 95, 23</t>
  </si>
  <si>
    <t xml:space="preserve">HIEROCLIS STOICI PHILOSOPHI|| in aurea Pythagorae carmina|| Commentarius.|| : </t>
  </si>
  <si>
    <t>L-1512-342900307</t>
  </si>
  <si>
    <t>1079300384</t>
  </si>
  <si>
    <t>III 95, 24</t>
  </si>
  <si>
    <t xml:space="preserve">Nauicula Penitentie|| Per excellentissimum sacre pagine doctorem Jo||annem Keyserpergium Argentinensium|| Concionatorem predicata. A Ja||cobo Otthero </t>
  </si>
  <si>
    <t>L-1521-31533049X</t>
  </si>
  <si>
    <t>1066872740</t>
  </si>
  <si>
    <t>III 95, 24 a</t>
  </si>
  <si>
    <t xml:space="preserve">Gespech biechlin neüw|| Karsthans.|| Zů dem Leser.|| Ein neüwer Karsthans komm ich her : </t>
  </si>
  <si>
    <t>L-1521-170885348</t>
  </si>
  <si>
    <t>1000635376</t>
  </si>
  <si>
    <t>III 95, 24b</t>
  </si>
  <si>
    <t>III 95, 24 b</t>
  </si>
  <si>
    <t xml:space="preserve">Das @ist der hoch thu||ren Babel, id est Cō[n]fusio Pa-||pe, darinn Doctor Lu-||ther gefangen ist|| : </t>
  </si>
  <si>
    <t>L-1515-785181075</t>
  </si>
  <si>
    <t>1263055281</t>
  </si>
  <si>
    <t>III 95, 24c</t>
  </si>
  <si>
    <t xml:space="preserve">Sammelband mit zwei Werken von Marcus Tullius Cicero : </t>
  </si>
  <si>
    <t>L-1522-315468971</t>
  </si>
  <si>
    <t>1066941262</t>
  </si>
  <si>
    <t>III 95, 25</t>
  </si>
  <si>
    <t>Doctor keiserszberg Postil:|| Vber die fyer Euangelia durchs jor/ sampt dem Quadragesimal/ vnd von|| ettlichen Heyligen/ newlich vßgangen.|| (DEr Pass</t>
  </si>
  <si>
    <t>L-1521-315487038</t>
  </si>
  <si>
    <t>1066956359</t>
  </si>
  <si>
    <t>III 95, 25 a</t>
  </si>
  <si>
    <t>(HVLDE||RICHI AB|| HVTTEN|| EQ. GERM.|| In Hieronymum Aleandru, &amp; Marinum Caraccio=||lum, LEONIS decimi, P.M. Oratores in Ger=||mania, Inuectiue singu</t>
  </si>
  <si>
    <t>L-1520-31529941X</t>
  </si>
  <si>
    <t>1066839409</t>
  </si>
  <si>
    <t>III 95, 25 b</t>
  </si>
  <si>
    <t xml:space="preserve">BVLLA|| Decimi Leonis, contra errores Martini|| Lutheri, &amp; sequacium.|| ... ||[Hrsg.v. (Vlrichus de Hutten ...||)] : </t>
  </si>
  <si>
    <t>L-1520-315487232</t>
  </si>
  <si>
    <t>1066956561</t>
  </si>
  <si>
    <t>III 95, 25 c</t>
  </si>
  <si>
    <t xml:space="preserve">Hoc in libello haec continentur:|| VLRICHI : </t>
  </si>
  <si>
    <t>L-1523-315488700</t>
  </si>
  <si>
    <t>1066958076</t>
  </si>
  <si>
    <t>III 95, 25 d</t>
  </si>
  <si>
    <t>Wrteil D. Martin Luthers|| vnd Philippi Melanchthonis von|| Erasmo Roterdam.|| Ein Christlicher sendtbrieff D.|| Martin Luthers an D. Wolfgang Fabriti</t>
  </si>
  <si>
    <t>L-1511-167077805</t>
  </si>
  <si>
    <t>998855499</t>
  </si>
  <si>
    <t>III 95, 25 e</t>
  </si>
  <si>
    <t>De libertate ec||clesiastica: tractatus Jo||annis Lupi apo[stolice] se[dis]|| protonotarij|| : Eiusdem tracta||tus dialogic?[us] ; de cō[n]federa||tiō</t>
  </si>
  <si>
    <t>L-1522-315488735</t>
  </si>
  <si>
    <t>1066958092</t>
  </si>
  <si>
    <t>III 95, 26</t>
  </si>
  <si>
    <t>Eyn @missiue all? den so von wegen|| des wortt gottes verfolgug lyden tr#[oe]stlich/ võ|| doctor Martin Luther an den Erenuesten|| Harttmut von Cronbe</t>
  </si>
  <si>
    <t>L-1524-315488654</t>
  </si>
  <si>
    <t>1066958025</t>
  </si>
  <si>
    <t>III 95, 27</t>
  </si>
  <si>
    <t xml:space="preserve">Die @weyse vnd Or=||denung der Meß, Vnnd|| wie man das Hoch=||wirdig Sacra=||ment niessen|| soll.|| D.Mart.Luthers.|| M.D.xxiiij.|| Wittenberg.|| : </t>
  </si>
  <si>
    <t>L-1525-315487143</t>
  </si>
  <si>
    <t>1066956472</t>
  </si>
  <si>
    <t>III 95, 28</t>
  </si>
  <si>
    <t xml:space="preserve">IMPERA||TORVM ROMANORVM|| LIBELLVS.|| Vnà cum imaginibus,|| ad uiuam effigiem|| expreßis.|| : </t>
  </si>
  <si>
    <t>L-1525-163627339</t>
  </si>
  <si>
    <t>997310707</t>
  </si>
  <si>
    <t>III 95, 28 a</t>
  </si>
  <si>
    <t>[Opera omnia, cum vita eius ex Herodoto, Plutarcho et Dione]</t>
  </si>
  <si>
    <t>[2.] : Odysseia, Batrachomyomachia, hymnoi ...</t>
  </si>
  <si>
    <t>L-1524-315490535</t>
  </si>
  <si>
    <t>1066960003</t>
  </si>
  <si>
    <t>III 95, 29</t>
  </si>
  <si>
    <t>ANNO=||TATIONES PHILIPPI|| Melanchthonis in Epistolam Pauli|| ad Romanos unã. Et ad Corinthi||os duas, diligentiß. recognitae.|| ITEM PRAEPATIO|| Meth</t>
  </si>
  <si>
    <t>L-1524-315493518</t>
  </si>
  <si>
    <t>106696324X</t>
  </si>
  <si>
    <t>III 95, 30</t>
  </si>
  <si>
    <t xml:space="preserve">Ein @kurtz Register : </t>
  </si>
  <si>
    <t>L-1530-31530765X</t>
  </si>
  <si>
    <t>1066848556</t>
  </si>
  <si>
    <t>III 95, 31</t>
  </si>
  <si>
    <t>Außgebrennte vnd Distillierte wasser, wie sie zů iedem gebresten des Menschen leibs, vnd warzů sunst deren gebrauch fürträglich, dienen. Jetzt newlich</t>
  </si>
  <si>
    <t>L-1531-315331909</t>
  </si>
  <si>
    <t>1066874107</t>
  </si>
  <si>
    <t>III 95, 32</t>
  </si>
  <si>
    <t>Chronica,|| Zeÿtbuch vnd geschÿcht||bibel von anbegyn biß inn diß ge||genwertig M.D.xxxj. jar...|| verfaßt. Durch Sebastianum Frācken von|| Wörd ...||</t>
  </si>
  <si>
    <t>L-1535-315487003</t>
  </si>
  <si>
    <t>1066956308</t>
  </si>
  <si>
    <t>III 95, 33</t>
  </si>
  <si>
    <t>JOsephi des hochbe||r#[ue]mpten vnd vast nutzlich=||en Historici.|| Zwentzig b#[ue]cher von den alten geschichten|| ... corrigiert vnd gebessert.|| Si</t>
  </si>
  <si>
    <t>L-1536-315487097</t>
  </si>
  <si>
    <t>1066956413</t>
  </si>
  <si>
    <t>III 95, 34</t>
  </si>
  <si>
    <t xml:space="preserve">Gart der gesuntheit|| Zu latein|| HORTVS|| SANITATIS. Sagt in vier|| B#[ue]cheren wie hernach volget.|| [Sp.1]Von : </t>
  </si>
  <si>
    <t>L-9999-414174798</t>
  </si>
  <si>
    <t>1137895888</t>
  </si>
  <si>
    <t>III 95, 35</t>
  </si>
  <si>
    <t>6300,00 EUR</t>
  </si>
  <si>
    <t>L-1541-156066491</t>
  </si>
  <si>
    <t>994508492</t>
  </si>
  <si>
    <t>III 95, 35 a</t>
  </si>
  <si>
    <t>M. Tvllii Ciceronis alterum epistolarum volumen : Ad T. Atticum ; Ad M. Brutum ; ad Q. fratrem , Cum praefatione Joannis Sturmij ad Vuolfgangum Abbate</t>
  </si>
  <si>
    <t>L-1549-315487682</t>
  </si>
  <si>
    <t>1066957061</t>
  </si>
  <si>
    <t>III 95, 36</t>
  </si>
  <si>
    <t>Spiegel der Mensch=||lichen bl#[oe]digkeit.|| Warhafftige abcontrafactur al=||ler menschlichen stenden auff Erden/ vnnd das || vnder allen/ kein wanck</t>
  </si>
  <si>
    <t>L-1559-175394415</t>
  </si>
  <si>
    <t>1001684656</t>
  </si>
  <si>
    <t>III 95, 36a</t>
  </si>
  <si>
    <t>III 95, 36 a</t>
  </si>
  <si>
    <t>Ioannis Sleidani commentariorum de statu religionis et reipublicae, Carolo Quinto Caesare, libri 26 : una cum apologia ab ipso authore conscripta et i</t>
  </si>
  <si>
    <t>3.450,00 EUR</t>
  </si>
  <si>
    <t>L-1538-315301953</t>
  </si>
  <si>
    <t>1066842213</t>
  </si>
  <si>
    <t>III 95, 37</t>
  </si>
  <si>
    <t xml:space="preserve">DEr @Richterlich Clagspiegel.|| ... : </t>
  </si>
  <si>
    <t>mit JP+Gewebe unterlegen</t>
  </si>
  <si>
    <t>L-9999-414748298</t>
  </si>
  <si>
    <t>1138244139</t>
  </si>
  <si>
    <t>III 95, 38</t>
  </si>
  <si>
    <t>L-1541-315493178</t>
  </si>
  <si>
    <t>1066962901</t>
  </si>
  <si>
    <t>III 95, 39</t>
  </si>
  <si>
    <t>Valerius Maxi=||mus von geschichten der|| R#[oe]mer vnd aussers Volcks/ Per=||ser/ Medier/ Griechen/ Aphern/|| Flem̃ing vnd Teutschen ...|| Jtzunt von</t>
  </si>
  <si>
    <t>L-1538-315494328</t>
  </si>
  <si>
    <t>1066964106</t>
  </si>
  <si>
    <t>III 95, 40</t>
  </si>
  <si>
    <t>Eine @trewe Warnung/|| Wie die b#[ae]pst allwegen wider die Teut||schen Keyser geweßt/ auff das kürtzest auß allen Chro=||nicken gezogen. K.M. fürzubr</t>
  </si>
  <si>
    <t>L-1540-31549073X</t>
  </si>
  <si>
    <t>1066960224</t>
  </si>
  <si>
    <t>III 95, 41</t>
  </si>
  <si>
    <t xml:space="preserve">Die @alt vnd new Schel=||men Zunfft.|| Ein sch#[oe]ne Satyra// das ist// straffbüch||lein viler handt laster// die allenthalben in der welt : </t>
  </si>
  <si>
    <t>L-1545-315488328</t>
  </si>
  <si>
    <t>1066957703</t>
  </si>
  <si>
    <t>III 95, 42</t>
  </si>
  <si>
    <t xml:space="preserve">WJder das Ba~b||stu~m zu Rom vom : </t>
  </si>
  <si>
    <t>L-1522-315490918</t>
  </si>
  <si>
    <t>1066960437</t>
  </si>
  <si>
    <t>III 95, 43</t>
  </si>
  <si>
    <t>QVOD|| EXPEDIAT EPISTOLAE|| et Euangelij lectionem in Mis=||sa, uernaculo sermone plebi|| promulgari, Oecolampa||dij ad Hedionem|| Epistola.|| ...|| :</t>
  </si>
  <si>
    <t>L-1545-163209340</t>
  </si>
  <si>
    <t>99701475X</t>
  </si>
  <si>
    <t>III 95, 44</t>
  </si>
  <si>
    <t>CHRONICA|| der Alten Christ||lichen Kirchen.|| j. Hystoria Ecclesiastica Euse||bij Pamphili Caesariensis xj. Bücher.||.ij. Hystoria Ecclesiastica Tri=</t>
  </si>
  <si>
    <t>L-1521-315469749</t>
  </si>
  <si>
    <t>1066942102</t>
  </si>
  <si>
    <t>III 96, 1</t>
  </si>
  <si>
    <t xml:space="preserve">Opvs Merlini Cocaii Poete Mantuani Macaronicorum : </t>
  </si>
  <si>
    <t>L-1532-177606290</t>
  </si>
  <si>
    <t>1002571936</t>
  </si>
  <si>
    <t>III 96, 2</t>
  </si>
  <si>
    <t xml:space="preserve">Synodia|| vgonia|| episcopi|| Phamavgv=||stani|| De conciliis : </t>
  </si>
  <si>
    <t xml:space="preserve">
Verlegereinband</t>
  </si>
  <si>
    <t>Schaden ist stabil genug --&gt; belassen; mit Büttenrand</t>
  </si>
  <si>
    <t>L-1521-315334355</t>
  </si>
  <si>
    <t>1066876614</t>
  </si>
  <si>
    <t>III 97, 1</t>
  </si>
  <si>
    <t xml:space="preserve">Montisferrati Marchionum &amp; Principum Regie propaginis: successionumque series nuper elucidata : </t>
  </si>
  <si>
    <t>L-1518-315462760</t>
  </si>
  <si>
    <t>1066934762</t>
  </si>
  <si>
    <t>III 98, 1</t>
  </si>
  <si>
    <t>P. Vergilius Maro cum Magnete suo Seruio Mario grammatico : interprete quam castigatissimo : &amp; pristinae lectioni : sibique demum plene restituto: cui</t>
  </si>
  <si>
    <t>Gelenk vorn ganz durchtrennen?, mit JP+Gewebe unterlegen</t>
  </si>
  <si>
    <t>L-1558-154381950</t>
  </si>
  <si>
    <t>994053215</t>
  </si>
  <si>
    <t>III 99 D, 1</t>
  </si>
  <si>
    <t>SENTEN=||TIAE EX DOCTORIBVS COLLECTAE, PER|| DOCTISS: VIRVM R. BARNI|| ANGLVM, ...|| Nunc longè quàm antea emendatius edi=||tae, ac id genus illustrib</t>
  </si>
  <si>
    <t xml:space="preserve">
flexibel mit Klappe (Kopert)</t>
  </si>
  <si>
    <t>Flexibler Perg.bd. mit Klappe (Kopert)</t>
  </si>
  <si>
    <t>L-1522-315326115</t>
  </si>
  <si>
    <t>1066867941</t>
  </si>
  <si>
    <t>III 99, 1</t>
  </si>
  <si>
    <t>Ain @Nützliche|| Sermon zů allen Cristē menschē/ von der rechte|| Euangelische meß/ vnd von der beraytung|| zů dem Tisch gottes/...|| Von Johanne Diep</t>
  </si>
  <si>
    <t>L-1534-315492589</t>
  </si>
  <si>
    <t>1066962189</t>
  </si>
  <si>
    <t>III 99, 2</t>
  </si>
  <si>
    <t>DAuids Eebruch: Mordt|| Straff vnd busz.|| EJn kurtze verzeychnusz vñ|| Außlegung des xj. vnd xij. Capitels/ des|| Andern Buchs Samuelis/ von dem Fall</t>
  </si>
  <si>
    <t>L-9999-406966141</t>
  </si>
  <si>
    <t>1132648823</t>
  </si>
  <si>
    <t>III 99, 3</t>
  </si>
  <si>
    <t>Chronica Zeitbuch unnd Geschichtbibell von anbegyn biß in diss gegenwertig M.D.xxxvi. iar verlengt</t>
  </si>
  <si>
    <t>Schaden am Einband ist stabil genug</t>
  </si>
  <si>
    <t>ca. mittig des BB am Fuß immer wieder Risse; Schaden am Einband belassen (ist m.E. stabil genug)</t>
  </si>
  <si>
    <t>L-9999-40696615X</t>
  </si>
  <si>
    <t>1132648831</t>
  </si>
  <si>
    <t>III 99, 3 (angebunden)</t>
  </si>
  <si>
    <t>L-9999-406966168</t>
  </si>
  <si>
    <t>113264884X</t>
  </si>
  <si>
    <t xml:space="preserve">3. : </t>
  </si>
  <si>
    <t>L-1546-315462531</t>
  </si>
  <si>
    <t>1066934541</t>
  </si>
  <si>
    <t>III 100, 1</t>
  </si>
  <si>
    <t xml:space="preserve">Prouechoso tratado de ca[m]bios y co[n]trataciones d' mercaderes y reprouacion de vsura : hecho por el lice[n]ciado Christoual de Villalo[n] graduado </t>
  </si>
  <si>
    <t>L-1501-315293942</t>
  </si>
  <si>
    <t>1066834091</t>
  </si>
  <si>
    <t>III 101, 1</t>
  </si>
  <si>
    <t xml:space="preserve">Ivvenalis. Persivs : </t>
  </si>
  <si>
    <t>Aldine</t>
  </si>
  <si>
    <t>L-1503-315463260</t>
  </si>
  <si>
    <t>1066935297</t>
  </si>
  <si>
    <t>III 101, 2</t>
  </si>
  <si>
    <t>Constantini Lascaris ... De octo partibus orationis liber primus. Eiusdem de constructione liber secundus. Eiusdem de nomine et verbo liber tertius. E</t>
  </si>
  <si>
    <t>L-1512-166255823</t>
  </si>
  <si>
    <t>998469998</t>
  </si>
  <si>
    <t>III 101, 2 a</t>
  </si>
  <si>
    <t>In hoc libro haec habentvr. Constantini Lascaris Byzantini de octo partibus or[ati]onis lib. I Eiusdem de constructione. Liber secundus. Eiusdem de no</t>
  </si>
  <si>
    <t>L-1502-169491854</t>
  </si>
  <si>
    <t>999810626</t>
  </si>
  <si>
    <t>III 101, 2b</t>
  </si>
  <si>
    <t>III 101, 2 b</t>
  </si>
  <si>
    <t>[Opera omnia]</t>
  </si>
  <si>
    <t>1. : Quae hoc volumine continentur. Ad Marinum Sannutum epistola ... Ouidii Metamorphoseōn libri quindecim</t>
  </si>
  <si>
    <t>1300,00 EUR</t>
  </si>
  <si>
    <t>L-1516-315195681</t>
  </si>
  <si>
    <t>1066773343</t>
  </si>
  <si>
    <t>III 101, 2 c</t>
  </si>
  <si>
    <t xml:space="preserve">P. Ouidij Nasonis uita per Aldum ex ipsius libris excerpta. Heroidum epistolae. Amorum libri 3. De arte amandi libri 3. De remedio amoris libri 2. De </t>
  </si>
  <si>
    <t>3. : Quae hoc volumine continentur. Annotationes in omnia Ouidij opera. Index fabularum, &amp; caeterorum, quae insunt hoc libro secundum ordinem alphabeti. Ouidij Metamorphoseon libri 15</t>
  </si>
  <si>
    <t>Ecken festigen, Gelenk hinten überfangen</t>
  </si>
  <si>
    <t>L-1515-167033263</t>
  </si>
  <si>
    <t>998827878</t>
  </si>
  <si>
    <t>III 101, 2 d</t>
  </si>
  <si>
    <t xml:space="preserve">[Pharsalia] : </t>
  </si>
  <si>
    <t xml:space="preserve">
Pergamentumschlag mit Einschlägen</t>
  </si>
  <si>
    <t>L-1519-156398532</t>
  </si>
  <si>
    <t>994539819</t>
  </si>
  <si>
    <t>III 101, 3</t>
  </si>
  <si>
    <t>III 101, 3 Bd. 1</t>
  </si>
  <si>
    <t>Opera Omnia</t>
  </si>
  <si>
    <t>5. : M. T. Ciceronis Orationum volumen primum. - Vol. 1</t>
  </si>
  <si>
    <t>Kapital sichern, Gelenke/Rücken mit JP überfangen</t>
  </si>
  <si>
    <t>L-1521-156398605</t>
  </si>
  <si>
    <t>994539827</t>
  </si>
  <si>
    <t>III 101, 3 Bd. 2</t>
  </si>
  <si>
    <t>2. : M. T. Ciceronis epistolarum ad Aticum, ad Brutum, ad Quintum Fratrem libri XX. nuper exacta recogniti cura</t>
  </si>
  <si>
    <t>L-1523-156398680</t>
  </si>
  <si>
    <t>994539835</t>
  </si>
  <si>
    <t>III 101, 3 Bd. 3</t>
  </si>
  <si>
    <t>6. : Opera philosophica. - Vol. 2: De natura deorum; De divinatione [u.a.]</t>
  </si>
  <si>
    <t>L-1540-15639877X</t>
  </si>
  <si>
    <t>994539851</t>
  </si>
  <si>
    <t>III 101, 3a</t>
  </si>
  <si>
    <t>III 101, 3 a</t>
  </si>
  <si>
    <t>[Abt. 1]. : M. Tullii Ciceronis epistolae familiares, diligentius, quam quae hactenus exierunt, emendatae</t>
  </si>
  <si>
    <t>L-1523-315317000</t>
  </si>
  <si>
    <t>1066858225</t>
  </si>
  <si>
    <t>III 101, 3 b</t>
  </si>
  <si>
    <t xml:space="preserve">Silii italici de bello pvnico secvndo XVII libri nvper diligentissime castigati : </t>
  </si>
  <si>
    <t>L-1559-315318430</t>
  </si>
  <si>
    <t>106685968X</t>
  </si>
  <si>
    <t>III 101, 4</t>
  </si>
  <si>
    <t>C. Plinii Secundi naturalis historiae libri trigintaseptem : index plenissimus</t>
  </si>
  <si>
    <t>Box (weg. Deckeln)</t>
  </si>
  <si>
    <t>L-1551-169106802</t>
  </si>
  <si>
    <t>999751190</t>
  </si>
  <si>
    <t>III 101, 4 a</t>
  </si>
  <si>
    <t>doppelter Katalogeintrag?</t>
  </si>
  <si>
    <t>OLYMPIODORI|| PHILOSOPHI ALEXANDRINI|| IN METEORA ARISTOTELIS COMMENTARII|| : IOANNIS GRAM||MATICI PHILOPONI SCHOLIA|| IN I. METEORUM ARISTOTELIS||</t>
  </si>
  <si>
    <t>L-1554-157751198</t>
  </si>
  <si>
    <t>994727151</t>
  </si>
  <si>
    <t>III 101, 4b</t>
  </si>
  <si>
    <t>Demosthenus logōn tmēma</t>
  </si>
  <si>
    <t>P. 3 : Dēmosthenus logōn|| tmēma tritōn||</t>
  </si>
  <si>
    <t xml:space="preserve">
flexibler Perg.bd.</t>
  </si>
  <si>
    <t>L-1501-315317256</t>
  </si>
  <si>
    <t>1066858470</t>
  </si>
  <si>
    <t>III 101, 5</t>
  </si>
  <si>
    <t xml:space="preserve">Librorum Francisci Petrarche Impressorum annotatio ... : </t>
  </si>
  <si>
    <t xml:space="preserve">
Rücken ausfüttern</t>
  </si>
  <si>
    <t>Schaden(Insektenfraß) ggf. belassen, ist relativ stabil</t>
  </si>
  <si>
    <t>L-1503-315464275</t>
  </si>
  <si>
    <t>1066936404</t>
  </si>
  <si>
    <t>III 101, 6</t>
  </si>
  <si>
    <t>steht bei GF</t>
  </si>
  <si>
    <t xml:space="preserve">Valerius Maximus cum commento Oliverii Arzignanensis: et pulcherrima ac utilissima quadam tabula ... : </t>
  </si>
  <si>
    <t>nur loses Leder Fixieren, Gelenke belassen (ist stabil genug)</t>
  </si>
  <si>
    <t>L-1503-31545430X</t>
  </si>
  <si>
    <t>1066925402</t>
  </si>
  <si>
    <t>III 101, 7</t>
  </si>
  <si>
    <t xml:space="preserve">Senece omnia opera : </t>
  </si>
  <si>
    <t>L-1504-315300701</t>
  </si>
  <si>
    <t>1066840776</t>
  </si>
  <si>
    <t>III 101, 8</t>
  </si>
  <si>
    <t>L-1554-406969795</t>
  </si>
  <si>
    <t>1132652952</t>
  </si>
  <si>
    <t>III 101, 9</t>
  </si>
  <si>
    <t>Delle navigationi et viaggi</t>
  </si>
  <si>
    <t>Vol. 1. : Primo volume, &amp; seconda editione delle nauigationi et viaggi in molti luoghi corretta, et ampliata, nella quale si contengono la descrittione dell'Africa, &amp; del paese del Prete Ianni, con varij viaggi, dalla città di Lisbona, &amp; dal mar Rosso à Calicut, &amp; insin' all' isole Molucche, doue nascono le spetierie, et la nauigatione attorno il mondo</t>
  </si>
  <si>
    <t>Bundsteg=0 wegen durchgängigen Tafeln</t>
  </si>
  <si>
    <t>Buchschuh (abriebgefährdet)</t>
  </si>
  <si>
    <t>L-1507-154281166</t>
  </si>
  <si>
    <t>99400091X</t>
  </si>
  <si>
    <t>III 101, 10</t>
  </si>
  <si>
    <t>Aurea ac pene diuina totius sa-||cre pagine Commentaria compendiose edita per Clarissimum||Theologum Fratrem Petrum Aureolum Seraphici or-||dinis alūn</t>
  </si>
  <si>
    <t>L-1507-315463481</t>
  </si>
  <si>
    <t>1066935548</t>
  </si>
  <si>
    <t>III 101, 11</t>
  </si>
  <si>
    <t xml:space="preserve">Almanach noua plurimis annis venturis inseruientia : </t>
  </si>
  <si>
    <t>L-9999-414281845</t>
  </si>
  <si>
    <t>113796636X</t>
  </si>
  <si>
    <t>III 101, 12</t>
  </si>
  <si>
    <t xml:space="preserve">Sammelband mit zwei astronomischen Werken : </t>
  </si>
  <si>
    <t>L-1520-31530085X</t>
  </si>
  <si>
    <t>1066840946</t>
  </si>
  <si>
    <t>III 101, 13</t>
  </si>
  <si>
    <t xml:space="preserve">Missale secundum ritum et ordinem ecclesie et diocesis Frisingensis : </t>
  </si>
  <si>
    <t>Reste des Klemmeinbandes liegen der Kassette bei</t>
  </si>
  <si>
    <t>L-1512-315465379</t>
  </si>
  <si>
    <t>1066937532</t>
  </si>
  <si>
    <t>III 101, 14</t>
  </si>
  <si>
    <t xml:space="preserve">Libellus isagogicus abdilazi, id est servi gloriosi dei : </t>
  </si>
  <si>
    <t>L-1534-154988871</t>
  </si>
  <si>
    <t>994259441</t>
  </si>
  <si>
    <t>III 101, 14a</t>
  </si>
  <si>
    <t>III 101, 14 a</t>
  </si>
  <si>
    <t xml:space="preserve">Ameto|| ouer comedia del||le nimphe fiorentine|| : </t>
  </si>
  <si>
    <t xml:space="preserve">
vorn klebt ein Zettel mit Infos drin (ähnlich wie Rest.bericht hinten)</t>
  </si>
  <si>
    <t>L-1558-175074690</t>
  </si>
  <si>
    <t>100154014X</t>
  </si>
  <si>
    <t>III 101, 14b</t>
  </si>
  <si>
    <t>III 101, 14 b</t>
  </si>
  <si>
    <t>Extraordinario libro di architettvra di Sebastiano Serlio, ...  : Nel quale si demonstrano 30 porte di opera rvstica ... et 20 di opera dilicata di di</t>
  </si>
  <si>
    <t>L-1519-315461691</t>
  </si>
  <si>
    <t>1066933618</t>
  </si>
  <si>
    <t>III 101, 15</t>
  </si>
  <si>
    <t>Baldus super toto codice : Cum multis Repetitionibus &amp; additionibus ; Ex proprio Auctoris exemplari noviter inventis &amp; excerptis: &amp; locis suis per ...</t>
  </si>
  <si>
    <t xml:space="preserve">
wegen Rücken (der klappt ab)</t>
  </si>
  <si>
    <t>Rücken für die Digit. am besten belassen (oder flexibles Gelenk erzeugen)</t>
  </si>
  <si>
    <t xml:space="preserve">
ist mit Begleitung wg. Rücken</t>
  </si>
  <si>
    <t>erstmal nur loses Gewebe an Deckeln fixieren; Rücken für Digit. belassen (ist extrem steif durch extrem dicke Rückeneinlage, Rest. würde nichts bringen) oder flexibles/verschiebbares Gelenk erzeugen durch z.B. einschieben eines Pergamentstreifens/Kartons unter das Bezugsmaterial am Deckel --&gt; Rest.aufwand ca. 2-3h(?)</t>
  </si>
  <si>
    <t>L-1522-154606200</t>
  </si>
  <si>
    <t>994129572</t>
  </si>
  <si>
    <t>III 101, 16</t>
  </si>
  <si>
    <t>OPERE DI GIROLAMO||BENIVIENI FIRENTI||NO : NOVISSIMA=||MENTE RIVEDV-||TE ET DA MOL||TI ERRORI||ESPVRGA-||TE CON||VNA Canzona dello Amor celeste||et di</t>
  </si>
  <si>
    <t>L-1534-177157356</t>
  </si>
  <si>
    <t>1002389798</t>
  </si>
  <si>
    <t>III 101, 17</t>
  </si>
  <si>
    <t xml:space="preserve">Di M. Antonio Tibaldeo Ferrarese lʹopere dʹamore, con le sue stanze nuouamente aggiunte reuiste, &amp; con ogni diligenza corrette &amp; ristampate : </t>
  </si>
  <si>
    <t>L-1524-315468866</t>
  </si>
  <si>
    <t>1066941130</t>
  </si>
  <si>
    <t>III 101, 18</t>
  </si>
  <si>
    <t xml:space="preserve">Perisavli Favstini Tradocii De honesto appetitv. Favstinvs Terdoceo [sic] De triumpho stvltitiae : </t>
  </si>
  <si>
    <t>L-1534-315201002</t>
  </si>
  <si>
    <t>1066779120</t>
  </si>
  <si>
    <t>III 101, 19</t>
  </si>
  <si>
    <t xml:space="preserve">Henrici Glareani Heluetii, poetae laureati De geographia liber unus ab ipso authore iam tertio recognitus : </t>
  </si>
  <si>
    <t>L-1533-158991907</t>
  </si>
  <si>
    <t>995213216</t>
  </si>
  <si>
    <t>III 101, 19 a</t>
  </si>
  <si>
    <t>ENCHIRIDION|| LOCORVM COMMV||nium Ioannis Eckij, aduersus|| Lutheranos|| Ab authore iam quarto recognitum &amp;|| octo locis auctum, &amp; a pluri||bus mendis</t>
  </si>
  <si>
    <t>L-1542-315211334</t>
  </si>
  <si>
    <t>1066790272</t>
  </si>
  <si>
    <t>III 101, 20</t>
  </si>
  <si>
    <t xml:space="preserve">Vulgata : aeditio veteris ac novi testamenti, quorum alterum ad Hebraicam, alterum ad Graedam veritatem emendatum est diligentissime, ut nova aeditio </t>
  </si>
  <si>
    <t xml:space="preserve">
BB baucht</t>
  </si>
  <si>
    <t>L-1542-315461683</t>
  </si>
  <si>
    <t>106693360X</t>
  </si>
  <si>
    <t>III 101, 21</t>
  </si>
  <si>
    <t>Raimvndi Lvlii ... De secretis naturae siue quinta essentia libri duo. His accesserunt, Alberti Magni ... De mineralibus &amp; rebus metallicis libri quin</t>
  </si>
  <si>
    <t>L-1543-315465255</t>
  </si>
  <si>
    <t>1066937400</t>
  </si>
  <si>
    <t>III 101, 22</t>
  </si>
  <si>
    <t xml:space="preserve">Opera utilissima del beato Agostini vescovo Hipponense di spiritu &amp; letera chiamata al beato Marcellino : </t>
  </si>
  <si>
    <t xml:space="preserve">
durchbrochener Perg.bd. mit Damast unterlegt</t>
  </si>
  <si>
    <t>durchbrochener Perg.bd. mit Damast unterlegt</t>
  </si>
  <si>
    <t>L-1540-719396689</t>
  </si>
  <si>
    <t>1230020926</t>
  </si>
  <si>
    <t>III 101, 22 a</t>
  </si>
  <si>
    <t xml:space="preserve">Sammelband mit Drucken von Comin da Trino : </t>
  </si>
  <si>
    <t>L-1557-15396765X</t>
  </si>
  <si>
    <t>99390601X</t>
  </si>
  <si>
    <t>III 101, 23</t>
  </si>
  <si>
    <t xml:space="preserve">LE @RICCHEZZE DELLA LINGVA|| VOLGARE SOPRA IL BOCCACCIO|| : </t>
  </si>
  <si>
    <t>L-1560-406972435</t>
  </si>
  <si>
    <t>1132656729</t>
  </si>
  <si>
    <t>III 101, 24</t>
  </si>
  <si>
    <t>Omnia opera Aristotelis</t>
  </si>
  <si>
    <t>8. : Metaphy</t>
  </si>
  <si>
    <t>L-1543-154047686</t>
  </si>
  <si>
    <t>993938299</t>
  </si>
  <si>
    <t>III 101, 25</t>
  </si>
  <si>
    <t xml:space="preserve">La @GRAMMATI||CA VOLGARE DI M. AL||BERTO DE GLI ACHA||RISI DA CENTO : </t>
  </si>
  <si>
    <t>L-1549-315323094</t>
  </si>
  <si>
    <t>1066864705</t>
  </si>
  <si>
    <t>III 101, 27</t>
  </si>
  <si>
    <t>III 101, 27 -1</t>
  </si>
  <si>
    <t xml:space="preserve">Opera di M. Francesco Petrarca, de rimedi de l' vna et l' altra fortvna, ad Azone, tradotta per Remigio fiorentino : </t>
  </si>
  <si>
    <t>III 101, 27 -2</t>
  </si>
  <si>
    <t>L-1557-169504190</t>
  </si>
  <si>
    <t>999822306</t>
  </si>
  <si>
    <t>III 101, 27 a</t>
  </si>
  <si>
    <t>Le @Transformationi di [Publius Ovidius Naso, übers. von] M. Lodovico Dolce : In qvesta qvarta impressione da lui in molti luoghi ricorrette ; Con Pri</t>
  </si>
  <si>
    <t>L-5305-31530958X</t>
  </si>
  <si>
    <t>1066850593</t>
  </si>
  <si>
    <t>III 101, 28</t>
  </si>
  <si>
    <t xml:space="preserve">Hamiša hunše torah : </t>
  </si>
  <si>
    <t>evtl. festigen mit Klucel</t>
  </si>
  <si>
    <t>L-1548-315323426</t>
  </si>
  <si>
    <t>1066865108</t>
  </si>
  <si>
    <t>III 101, 29</t>
  </si>
  <si>
    <t>La @geografia di Clavdio Ptolemeo Alessandrino : con alcuni comenti &amp; aggiunte fatteui da Sebastiano munstero Alamanno, Con le tauole non solamente an</t>
  </si>
  <si>
    <t>Rücken ist bereits gebrochen, scheint aber stabil genug</t>
  </si>
  <si>
    <t>L-1503-169953904</t>
  </si>
  <si>
    <t>100005554X</t>
  </si>
  <si>
    <t>III 101, 30</t>
  </si>
  <si>
    <t>Cosmographia Pape Pij.|| Asia Papae Pii: Historiam rerum ubiq. gestarum cū lo-||corum descriptione complectitur||</t>
  </si>
  <si>
    <t>[Teil 2.] : Europa Pii Pontificis nostrorum temporum uarias continens historias fehlt</t>
  </si>
  <si>
    <t>L-1524-315461527</t>
  </si>
  <si>
    <t>1066933421</t>
  </si>
  <si>
    <t>III 101, 31</t>
  </si>
  <si>
    <t>Libro maistreuole : Opera nuouamente stampata del 1524, in Venetia, laquale insegna maistreuolmente con nuouo modo &amp; arte a legere a li grandi &amp; picco</t>
  </si>
  <si>
    <t>L-1551-177066873</t>
  </si>
  <si>
    <t>1002341744</t>
  </si>
  <si>
    <t>III 101, 32</t>
  </si>
  <si>
    <t>Hǎmišša hụmšê tôrā : Adjectis insuper e rabinorum commentariis annotationibus</t>
  </si>
  <si>
    <t>L-1552-166775851</t>
  </si>
  <si>
    <t>998707805</t>
  </si>
  <si>
    <t>III 101, 33</t>
  </si>
  <si>
    <t xml:space="preserve">ESPOSITIONI|| VOLGARE|| DEL ... : </t>
  </si>
  <si>
    <t>L-1540-158110234</t>
  </si>
  <si>
    <t>994827342</t>
  </si>
  <si>
    <t>III 101, 34</t>
  </si>
  <si>
    <t>De Platonicae atque Aristotelicae philosophiae differentia, libellus : Nuper in lucem editus. Georgiou tou Gemistou tou kai Plethonos peri on Aristote</t>
  </si>
  <si>
    <t>L-1555-177913347</t>
  </si>
  <si>
    <t>1002741084</t>
  </si>
  <si>
    <t>III 101, 35</t>
  </si>
  <si>
    <t xml:space="preserve">Publii Virgilii Maronis opera omnia innumeris pene : </t>
  </si>
  <si>
    <t>L-1550-154864390</t>
  </si>
  <si>
    <t>994245459</t>
  </si>
  <si>
    <t>III 101, 36</t>
  </si>
  <si>
    <t>PIROTECHNIA|| : LI DIECE LIBRI DELLA|| PIROTECHNIA,|| Nelli quali si tratta non solo la diuersita|| delle minere, ma ancho quanto si ricer||ca alla pr</t>
  </si>
  <si>
    <t>L-1540-163763593</t>
  </si>
  <si>
    <t>997391812</t>
  </si>
  <si>
    <t>III 101, 37</t>
  </si>
  <si>
    <t>Horatius|| Cum Quinque Commentis|| : Qvinti Horatii|| Flacci Poemata omnia</t>
  </si>
  <si>
    <t>L-1540-169496759</t>
  </si>
  <si>
    <t>99981530X</t>
  </si>
  <si>
    <t>III 101, 38</t>
  </si>
  <si>
    <t>Publii Ovidii Nasonis Metamorphoseon, hoc est transformationum, libri quindecim : cum indice fabularum locupletissimo</t>
  </si>
  <si>
    <t>L-1548-160341663</t>
  </si>
  <si>
    <t>995639922</t>
  </si>
  <si>
    <t>III 101, 39</t>
  </si>
  <si>
    <t>Marsilio Ficino ... de le tre Vite, cioè, A qual guisa si possono le persone letterate mantenere in sanità : Per qual guisa si possa l'huo. mo prolung</t>
  </si>
  <si>
    <t>L-1558-169513238</t>
  </si>
  <si>
    <t>999831461</t>
  </si>
  <si>
    <t>III 101, 40</t>
  </si>
  <si>
    <t xml:space="preserve">Onvphrii Panvinii Veronensis Fratris Eremitae Augustiniani Reipvblicae Romanae commentariorum libri tres ... : </t>
  </si>
  <si>
    <t>L-1501-15663757X</t>
  </si>
  <si>
    <t>994566255</t>
  </si>
  <si>
    <t>III 101, 41</t>
  </si>
  <si>
    <t xml:space="preserve">Digestum uetus|| de Tortis : </t>
  </si>
  <si>
    <t>Vorsatz trocken reinigen (v.a. hinten)</t>
  </si>
  <si>
    <t>L-1536-17692017X</t>
  </si>
  <si>
    <t>1002268591</t>
  </si>
  <si>
    <t>III 101, 42</t>
  </si>
  <si>
    <t xml:space="preserve">Habes hic amice lector|| : </t>
  </si>
  <si>
    <t>L-2012-327106</t>
  </si>
  <si>
    <t>1026393566</t>
  </si>
  <si>
    <t>III 101, 43</t>
  </si>
  <si>
    <t>Svpplementvm Svpplementi Delle Croniche Del Venerando Padre Frate Iacobo Philippo, del ordine Heremitano, Primo Auttore : Nouamente reuisto, Vulgariza</t>
  </si>
  <si>
    <t>4500,00 EUR</t>
  </si>
  <si>
    <t>L-2019-302232</t>
  </si>
  <si>
    <t>118582569X</t>
  </si>
  <si>
    <t>III 101, 44</t>
  </si>
  <si>
    <t>Fratris Hieronymi Sauonarolæ Ferrariensis Expositioes in psalmos : Qui regis Israel : Miserere mei Deus : In te domine speraui : Item regulæ quedam fr</t>
  </si>
  <si>
    <t>354,00  EUR</t>
  </si>
  <si>
    <t>L-1505-31549025X</t>
  </si>
  <si>
    <t>1066959722</t>
  </si>
  <si>
    <t>III 102, 1</t>
  </si>
  <si>
    <t xml:space="preserve">Die @vierunzwin=||tzig gulden harnf=||fen|| : </t>
  </si>
  <si>
    <t>L-1516-315491884</t>
  </si>
  <si>
    <t>1066961492</t>
  </si>
  <si>
    <t>III 103, 1</t>
  </si>
  <si>
    <t xml:space="preserve">CONTENTA IN HOC LIBRO.|| DIVI HIERONYMI CONTRA IOVINIANVM HERE-||ticum libri duo, cum Apologetico eiusd? in defensio-||nem librorum contra praedictum </t>
  </si>
  <si>
    <t>L-1520-848039203</t>
  </si>
  <si>
    <t>1272478068</t>
  </si>
  <si>
    <t>III 103, 1b</t>
  </si>
  <si>
    <t>III 103, 1 b</t>
  </si>
  <si>
    <t>L-1515-783813759</t>
  </si>
  <si>
    <t>1262282411</t>
  </si>
  <si>
    <t>III 103, 1a</t>
  </si>
  <si>
    <t>1650,00 EUR</t>
  </si>
  <si>
    <t>Schonernagel aus Holz hinten unten rechts fragil: loses Fragment gehört auf Position 4-6</t>
  </si>
  <si>
    <t>L-1516-785386408</t>
  </si>
  <si>
    <t>1263172806</t>
  </si>
  <si>
    <t>III 103, 2</t>
  </si>
  <si>
    <t>L-1522-167210017</t>
  </si>
  <si>
    <t>998925993</t>
  </si>
  <si>
    <t>III 103, 2 a</t>
  </si>
  <si>
    <t>Ein @trew vormanũg|| Martini Luther zu allen|| Christen : Sich tzu vorhutten fur auff||ruhr vnnd Emporung|| Wittenberge||</t>
  </si>
  <si>
    <t>x (Leder)</t>
  </si>
  <si>
    <t>Broschur in Ledermappe</t>
  </si>
  <si>
    <t>L-1539-315490756</t>
  </si>
  <si>
    <t>1066960240</t>
  </si>
  <si>
    <t>III 103, 3</t>
  </si>
  <si>
    <t>FRIDERICI NAV:||SEAE BLANCICAMPIANI. LL. ET|| Theologiae Doctoris, Serenissimi Romano#[RUM].|| Hungariae, Boemiae#[que] &amp;c. Regis, &amp; Archi=||ducis Aus</t>
  </si>
  <si>
    <t>L-1554-155912364</t>
  </si>
  <si>
    <t>994422938</t>
  </si>
  <si>
    <t>III 103, 4</t>
  </si>
  <si>
    <t>SVMMA [Summa]|| DOCTRINAE|| CHRISTINAE.|| Quaestiones tradita, &amp; in vsum|| Christianae pueritiae nu[n]c pri/||mùm edita.|| [Verf. Petrus Canisius. Pri</t>
  </si>
  <si>
    <t>L-1555-177026413</t>
  </si>
  <si>
    <t>1002324033</t>
  </si>
  <si>
    <t>III 103, 5</t>
  </si>
  <si>
    <t>Liber Sacrosancti Evangelii de Jesu Christo Domino &amp; Deo nostro ... : Div. Ferdinandi Rom. Imperatoris designati iussu &amp; liberalitate, characteribus &amp;</t>
  </si>
  <si>
    <t>einige Einlagen inneliegend, Vorderdeckel stark deformiert</t>
  </si>
  <si>
    <t>L-1504-154448257</t>
  </si>
  <si>
    <t>994060793</t>
  </si>
  <si>
    <t>III 104, 1</t>
  </si>
  <si>
    <t xml:space="preserve">Celebradi patris Baptiste Ma||tuani Carmelite theologi Par=||thenices prime liber primus : </t>
  </si>
  <si>
    <t>L-9999-414832833</t>
  </si>
  <si>
    <t>1138315893</t>
  </si>
  <si>
    <t>III 104, 2</t>
  </si>
  <si>
    <t xml:space="preserve">Sammelband mit zwei Werken von Pietro Tommai : </t>
  </si>
  <si>
    <t>L-1508-315487321</t>
  </si>
  <si>
    <t>1066956685</t>
  </si>
  <si>
    <t>III 104, 3</t>
  </si>
  <si>
    <t xml:space="preserve">PRAECEPTA ISOCRATIS|| PER ERVDITISSIMVM|| VIRVM RVDOL-||PHVM AGRICO||LAM E GRAE||CO Sermo-||ne in lati-||nu Tra||duc||ta|| : </t>
  </si>
  <si>
    <t>III 104, 4</t>
  </si>
  <si>
    <t>Einband liegt in der Mappe bei</t>
  </si>
  <si>
    <t>L-1521-848040503</t>
  </si>
  <si>
    <t>1272480178</t>
  </si>
  <si>
    <t>Der @sechs vñ dreys=||sigist psalm Dauid|| eynen Christlichen Menschen tzu|| leren vñ tr#[oe]sten widder die|| Mütterey der b#eßenn|| vnnd freueln|| G</t>
  </si>
  <si>
    <t>L-1521-167207245</t>
  </si>
  <si>
    <t>998923095</t>
  </si>
  <si>
    <t>III 104, 4a</t>
  </si>
  <si>
    <t>III 104, 4 a</t>
  </si>
  <si>
    <t xml:space="preserve">Eyn @Sermon D. Martini Lutheri|| geprediget zu Erffurt yn der|| reyß gen Wormis|| M. D. XXi : </t>
  </si>
  <si>
    <t>L-1520-315489227</t>
  </si>
  <si>
    <t>1066958610</t>
  </si>
  <si>
    <t>III 104, 5</t>
  </si>
  <si>
    <t>Warumb des Bapsts vnd sey=||ner Jungerñ bucher von|| Doct. Martino Lu||ther vorbrt|| seynñ.|| Lasz auch anczeygen wer do|| wil. warumb sie D. Lu=||the</t>
  </si>
  <si>
    <t>L-1522-165117656</t>
  </si>
  <si>
    <t>99785636X</t>
  </si>
  <si>
    <t>III 104, 5 a</t>
  </si>
  <si>
    <t>Eyn @Sermon vom|| Fasten vnd Feyren,|| [Exodus 20,12] gepredigt von bruder Heinrich Ke=||tenbach, Barfusser Obseruantz|| czu Vlm ynn yhrem Con=||uent,</t>
  </si>
  <si>
    <t>L-1522-785393129</t>
  </si>
  <si>
    <t>1263179819</t>
  </si>
  <si>
    <t>III 104, 5 b</t>
  </si>
  <si>
    <t xml:space="preserve">Sammelband mit zwei Schriften von Martin Luther : </t>
  </si>
  <si>
    <t>L-9999-414819012</t>
  </si>
  <si>
    <t>1138309168</t>
  </si>
  <si>
    <t>III 104, 6</t>
  </si>
  <si>
    <t xml:space="preserve">Sammelband mit drei Werken von Martin Luther : </t>
  </si>
  <si>
    <t>L-1523-315488670</t>
  </si>
  <si>
    <t>1066958041</t>
  </si>
  <si>
    <t>III 104, 7</t>
  </si>
  <si>
    <t xml:space="preserve">¬Das¬ sieb?d Capitel|| S.Pauli zu den|| Chorinthern|| Ausgelegt|| durch|| Martinum Luther.|| : </t>
  </si>
  <si>
    <t>L-1525-31548912X</t>
  </si>
  <si>
    <t>1066958505</t>
  </si>
  <si>
    <t>III 104, 8</t>
  </si>
  <si>
    <t xml:space="preserve">Widder die hyme=||lischen propheten/|| von den bildern|| vnd Sacrament #[et]~c|| Martinus Luther.|| ...|| : </t>
  </si>
  <si>
    <t>L-9999-413881849</t>
  </si>
  <si>
    <t>113772742X</t>
  </si>
  <si>
    <t>III 104, 9</t>
  </si>
  <si>
    <t>L-2009-324235</t>
  </si>
  <si>
    <t>997517603</t>
  </si>
  <si>
    <t>III 104, 9 a</t>
  </si>
  <si>
    <t>L-1521-315488026</t>
  </si>
  <si>
    <t>106695738X</t>
  </si>
  <si>
    <t>III 104, 10</t>
  </si>
  <si>
    <t xml:space="preserve">Das @Magnificat Vorteutschet|| vnd auszgelegt durch D.|| Martinum luther Aug.|| : </t>
  </si>
  <si>
    <t>L-1520-164981233</t>
  </si>
  <si>
    <t>997769807</t>
  </si>
  <si>
    <t>III 104, 10 a</t>
  </si>
  <si>
    <t>Welche bucher Biblisch seint|| : Disses buchlin lernet vnder||scheyd zwueschen Biblischen buchern vnd|| vnbiblischen, darynnen viel geyrret haben,|| v</t>
  </si>
  <si>
    <t>L-1523-170687309</t>
  </si>
  <si>
    <t>1000470466</t>
  </si>
  <si>
    <t>III 104, 10 b</t>
  </si>
  <si>
    <t>Ain @Christliche frag Si=||monis Reutters von Schlaytz, an alle|| Bischöffe, vnnd andere gaystliche auch|| zum tayl weltlich regenten :  Warumb|| sy d</t>
  </si>
  <si>
    <t>L-1528-167085565</t>
  </si>
  <si>
    <t>998862851</t>
  </si>
  <si>
    <t>III 104, 10 c</t>
  </si>
  <si>
    <t xml:space="preserve">Vom abendmal|| Christi, Bekendnis|| : </t>
  </si>
  <si>
    <t>L-1522-315488212</t>
  </si>
  <si>
    <t>1066957584</t>
  </si>
  <si>
    <t>III 104, 11</t>
  </si>
  <si>
    <t xml:space="preserve">Antwortt|| deutsch : </t>
  </si>
  <si>
    <t>L-1542-315491949</t>
  </si>
  <si>
    <t>1066961557</t>
  </si>
  <si>
    <t>III 104, 12</t>
  </si>
  <si>
    <t>L-1532-315488085</t>
  </si>
  <si>
    <t>1066957444</t>
  </si>
  <si>
    <t>III 104, 13</t>
  </si>
  <si>
    <t>L-1525-315492082</t>
  </si>
  <si>
    <t>1066961689</t>
  </si>
  <si>
    <t>III 104, 14</t>
  </si>
  <si>
    <t xml:space="preserve">Philips Me=||lanchtchons Anwey=||sung ynn die heylige/|| G#[oe]tliche schrifft/ durch|| Georgium Spalati=||num verdeutscht.|| : </t>
  </si>
  <si>
    <t>L-1524-167183281</t>
  </si>
  <si>
    <t>998898333</t>
  </si>
  <si>
    <t>III 104, 14 a</t>
  </si>
  <si>
    <t xml:space="preserve">Von Kauffshand=||lung vnd wu=||cher : </t>
  </si>
  <si>
    <t>L-1524-786237821</t>
  </si>
  <si>
    <t>1263573177</t>
  </si>
  <si>
    <t>III 104, 14 b</t>
  </si>
  <si>
    <t>L-1527-315493208</t>
  </si>
  <si>
    <t>1066962936</t>
  </si>
  <si>
    <t>III 104, 15</t>
  </si>
  <si>
    <t xml:space="preserve">Vorzeichnus Su-||marien wie sich die : </t>
  </si>
  <si>
    <t>L-1527-167684795</t>
  </si>
  <si>
    <t>999178016</t>
  </si>
  <si>
    <t>III 104, 15a</t>
  </si>
  <si>
    <t>III 104, 15 a</t>
  </si>
  <si>
    <t>Etlicher Gottlosen|| vnd widderchristi=||schen lere von der Papistischen|| Messen, so der Barfusser zu Er=||furt D. Conrad Kling gethan,|| Verlegung d</t>
  </si>
  <si>
    <t>L-1529-167684949</t>
  </si>
  <si>
    <t>999178199</t>
  </si>
  <si>
    <t>III 104, 15b</t>
  </si>
  <si>
    <t>III 104, 15 b</t>
  </si>
  <si>
    <t xml:space="preserve">An die hoch=||geborne Furstin,|| fraw Sibilla Hertzogin zu|| Sachsen, Oeconomia Chri=||stiana das ist, von Christ=||licher haushaltung|| : </t>
  </si>
  <si>
    <t>L-1531-315494573</t>
  </si>
  <si>
    <t>1066964343</t>
  </si>
  <si>
    <t>III 104, 16</t>
  </si>
  <si>
    <t xml:space="preserve">Widder|| den Meuchler|| zu Dresen|| gedr#[ue]ckt.|| Mart. Luther.|| : </t>
  </si>
  <si>
    <t>L-1500-704954621</t>
  </si>
  <si>
    <t>1223003582</t>
  </si>
  <si>
    <t>III 104, 16 a</t>
  </si>
  <si>
    <t xml:space="preserve">
evtl. Rücken ausfüttern</t>
  </si>
  <si>
    <t>Buch ist stärker beschädigt, aber mit JP notgesichert, daher stabil genug für Digit. --&gt; mit Stephanie besprechen, ob Rest. dennoch erwünscht (dann ws. aber nicht mehr so gut aufzuschlagen); fester Rücken inzwischen hohl</t>
  </si>
  <si>
    <t>x nur 110, mit Begleitung</t>
  </si>
  <si>
    <t>Box (Kassette ist zu klein)</t>
  </si>
  <si>
    <t>L-1531-315489243</t>
  </si>
  <si>
    <t>1066958637</t>
  </si>
  <si>
    <t>III 104, 17</t>
  </si>
  <si>
    <t xml:space="preserve">Warnunge|| D.Martini Lu=||ther/ An seine|| lieben Deud=||schen.|| : </t>
  </si>
  <si>
    <t>Einband liegt der Kassette bei</t>
  </si>
  <si>
    <t>L-1532-315307668</t>
  </si>
  <si>
    <t>1066848564</t>
  </si>
  <si>
    <t>III 104, 18</t>
  </si>
  <si>
    <t xml:space="preserve">Die @Propheten alle Deudsch. : </t>
  </si>
  <si>
    <t>L-1536-167113534</t>
  </si>
  <si>
    <t>998890197</t>
  </si>
  <si>
    <t>III 104, 18a</t>
  </si>
  <si>
    <t>III 104, 18 a</t>
  </si>
  <si>
    <t xml:space="preserve">[Zwo|| Hochzeit|| Predigten|| D.|| Mar.|| Luther|| Wittemberg.|| 1536] : </t>
  </si>
  <si>
    <t>L-1536-167934902</t>
  </si>
  <si>
    <t>999336967</t>
  </si>
  <si>
    <t>III 104, 18 b</t>
  </si>
  <si>
    <t xml:space="preserve">[Der @XXIX|| Psalm Dauids von|| der gewalt der stimme Gottes,|| jnn den lüfften, An die hohen Re||genten, Sampt etlichen schreck||lichen vngewittern, </t>
  </si>
  <si>
    <t>L-9999-41482752X</t>
  </si>
  <si>
    <t>1138311278</t>
  </si>
  <si>
    <t>III 104, 19</t>
  </si>
  <si>
    <t>L-1537-159443032</t>
  </si>
  <si>
    <t>995384096</t>
  </si>
  <si>
    <t>III 104, 19a</t>
  </si>
  <si>
    <t>III 104, 19 a</t>
  </si>
  <si>
    <t>Ein @Christliche erin||nerung vnd Vor||rede, vor der Lateischen|| Bibel, erstlich zu Paris jnn|| Franckreich, vnd folgend zu Antorff|| jnn Braband ged</t>
  </si>
  <si>
    <t>L-9999-401757196</t>
  </si>
  <si>
    <t>1129395545</t>
  </si>
  <si>
    <t>III 104, 20</t>
  </si>
  <si>
    <t xml:space="preserve">Drei alte Drucke zu Ringerkunst und Fechtkunst und ein dazu im 19. Jahrhundert angefertigter historistischer Prachteinband der Klemmsammlung : </t>
  </si>
  <si>
    <t>L-1539-167079905</t>
  </si>
  <si>
    <t>998857661</t>
  </si>
  <si>
    <t>III 104, 20 a - 1</t>
  </si>
  <si>
    <t>GF</t>
  </si>
  <si>
    <t>Der ... @Teil der Bücher D. Mart. Luth. ...</t>
  </si>
  <si>
    <t>1. : Der @Erste|| Teil der Bü||cher D. Mart. Luth.|| vber etliche Epistel der|| Aposteln</t>
  </si>
  <si>
    <t>L-1550-16708013X</t>
  </si>
  <si>
    <t>998857874</t>
  </si>
  <si>
    <t>III 104, 20 a - 3</t>
  </si>
  <si>
    <t>3. : Der @Dritte Teil|| der bücher des Ehrnwirdigen|| herrn doctoris Martini Lutheri, darin zusamen|| gebracht sind christliche vnd tröstliche Erklerung vnd auslegung der fur||nemesten Psalmen, ...</t>
  </si>
  <si>
    <t>untere Schließe haltendes Teil</t>
  </si>
  <si>
    <t>L-1553-167080180</t>
  </si>
  <si>
    <t>998857955</t>
  </si>
  <si>
    <t>III 104, 20 a - 6</t>
  </si>
  <si>
    <t>6. : Der @Sechste|| teil der bücher des Ehrnwirdi||gen Herrn Doctoris Martini Lutheri, darinnen|| begriffen etliche auslegung der heiligen Schrifft im newen Testament,|| Auch die Bücher vom Ehestand, Kauffshendel vnd Wucher, Ver||manung vnd Trostschrifften, ...</t>
  </si>
  <si>
    <t>L-1539-167183672</t>
  </si>
  <si>
    <t>998898775</t>
  </si>
  <si>
    <t>III 104, 20b</t>
  </si>
  <si>
    <t>III 104, 20 b</t>
  </si>
  <si>
    <t xml:space="preserve">Von den|| Concilijs vnd|| Kirchen : </t>
  </si>
  <si>
    <t>mit anderen Büchern gemeinsam in einer Kassette</t>
  </si>
  <si>
    <t>L-1540-315494549</t>
  </si>
  <si>
    <t>1066964319</t>
  </si>
  <si>
    <t>III 104, 21</t>
  </si>
  <si>
    <t xml:space="preserve">Biblia: dat ys:|| de gantze Hillige Schrifft/ D#[ue]=||desch/ Vpt nye thogerichtet/|| vnde mit vlite cor=||rigert.|| D. Mart. Luth.|| : </t>
  </si>
  <si>
    <t>L-1539-167109278</t>
  </si>
  <si>
    <t>998886092</t>
  </si>
  <si>
    <t>III 104, 21a</t>
  </si>
  <si>
    <t>III 104, 21 a</t>
  </si>
  <si>
    <t>Der @CXXX. Psalm|| : De profundis clama|| von D. Mar. Luth.|| in Latinischer|| sprach ausge=||legt|| vnd jtzt ver=||deudscht|| durch|| Georg. Maior||</t>
  </si>
  <si>
    <t>L-1542-315488190</t>
  </si>
  <si>
    <t>1066957568</t>
  </si>
  <si>
    <t>III 104, 22</t>
  </si>
  <si>
    <t xml:space="preserve">Betb#[ue]ch=||lin, mit dem Calender|| vnd Passional, auffs|| new corrigiert vnd|| gemehret.|| D.Mar.|| Luther.|| : </t>
  </si>
  <si>
    <t>L-1542-153948558</t>
  </si>
  <si>
    <t>993885098</t>
  </si>
  <si>
    <t>III 104, 22 a</t>
  </si>
  <si>
    <t xml:space="preserve">Der @Barfu||ser Muenche Eulenspie-||gel vnd Alcoran : </t>
  </si>
  <si>
    <t>L-1543-167685090</t>
  </si>
  <si>
    <t>999178393</t>
  </si>
  <si>
    <t>III 104, 22 e</t>
  </si>
  <si>
    <t xml:space="preserve">An die Hochge||borne Fur=||stin, Fraw Sibilla|| Hertzogin zu Sachssen,|| Oeconomia|| Christiana, das ist,|| von Christlicher Haushal=||tung : </t>
  </si>
  <si>
    <t>L-1537-833774166</t>
  </si>
  <si>
    <t>1268678872</t>
  </si>
  <si>
    <t>III 104, 22 g</t>
  </si>
  <si>
    <t>L-1549-167646265</t>
  </si>
  <si>
    <t>999172476</t>
  </si>
  <si>
    <t>III 104, 22 h</t>
  </si>
  <si>
    <t>Initia|| doctrinae|| physicae, dicta||ta in Academia Vui||tebergensi|| : [Liber 1.2.3. in 1 Bd.]</t>
  </si>
  <si>
    <t>L-1556-315306971</t>
  </si>
  <si>
    <t>1066847819</t>
  </si>
  <si>
    <t>III 104, 23</t>
  </si>
  <si>
    <t xml:space="preserve">Biblia|| Das ist: Die gantze|| heilige Schrifft:|| Deudsch.|| Doct. Mart. Luth.|| : </t>
  </si>
  <si>
    <t xml:space="preserve">
13 cm dick, Bundsteg 0, steife Schließe</t>
  </si>
  <si>
    <t>Box (wg. Schließe)</t>
  </si>
  <si>
    <t>L-1526-15395048X</t>
  </si>
  <si>
    <t>993887112</t>
  </si>
  <si>
    <t>III 104, 24</t>
  </si>
  <si>
    <t>Der @Neuntzige||ste Psalmus|| Wie keyn trost|| h°ulff|| od||der sterck|| sey|| de, teuffel|| vnd aller får|| geystlich|| vnd leyplich|| zu widder||ste</t>
  </si>
  <si>
    <t>L-9999-414746961</t>
  </si>
  <si>
    <t>1138242047</t>
  </si>
  <si>
    <t>III 104, 25</t>
  </si>
  <si>
    <t xml:space="preserve">Sammelband mit zwei Werken von Martin Luther : </t>
  </si>
  <si>
    <t>L-1529-156634635</t>
  </si>
  <si>
    <t>99456354X</t>
  </si>
  <si>
    <t>III 104, 25a</t>
  </si>
  <si>
    <t>III 104, 25 a</t>
  </si>
  <si>
    <t>Wahrhafftig be||richt, Das das wort Gotts,||ohn tumult, ohn schwer||merey, zu Gosler vnd Braun||schweigk gepredigt wird,|| durch|| Anto : Coruinum|| z</t>
  </si>
  <si>
    <t>L-1534-167205846</t>
  </si>
  <si>
    <t>998921629</t>
  </si>
  <si>
    <t>III 104, 25b</t>
  </si>
  <si>
    <t>III 104, 25 b</t>
  </si>
  <si>
    <t xml:space="preserve">Der @LXV|| Psalm|| durch|| D. Mart. Luth.|| zu Dessaw|| fur den|| Feursten zu Anhalt|| gepredigt : </t>
  </si>
  <si>
    <t>L-1534-164451234</t>
  </si>
  <si>
    <t>997626577</t>
  </si>
  <si>
    <t>III 104, 26 a</t>
  </si>
  <si>
    <t xml:space="preserve">Wilch die rech||te Kirche, Vnd da||gegen wilch die falsche Kirch|| ist, Christlich antwort vnd|| tröstliche vnterricht, : </t>
  </si>
  <si>
    <t>L-1535-154040312</t>
  </si>
  <si>
    <t>993930700</t>
  </si>
  <si>
    <t>III 104, 26 b</t>
  </si>
  <si>
    <t xml:space="preserve">Ein @schö-||ner Sermon,|| von dem Wort, Zei-||chen vnd Sa-||crament|| : </t>
  </si>
  <si>
    <t>L-1536-171223543</t>
  </si>
  <si>
    <t>1000805778</t>
  </si>
  <si>
    <t>III 104, 26 c</t>
  </si>
  <si>
    <t>Das @Buch|| der Altveter, des|| Jsraelitischen volcks,|| Nemlich,|| Woher die Syna||gog, das volck Gottes,|| oder die Kirche, jren|| vrsprung habe|| :</t>
  </si>
  <si>
    <t>L-1535-167648985</t>
  </si>
  <si>
    <t>999175556</t>
  </si>
  <si>
    <t>III 104, 26 d</t>
  </si>
  <si>
    <t xml:space="preserve">Verlegung etlicher|| vnschristlicher|| Artikel|| Welche die Widerteuffer|| furgeben|| : </t>
  </si>
  <si>
    <t>L-1544-315492015</t>
  </si>
  <si>
    <t>1066961611</t>
  </si>
  <si>
    <t>III 104, 27</t>
  </si>
  <si>
    <t>Newe Deudsche Geistliche|| Gesenge CXXIII. Mit Vier vnd Fünff Stim-||men, F#[ue]r die gemeinen SCHVLEN, Mit|| sonderlichem vleis aus vielen erlesen.||</t>
  </si>
  <si>
    <t>QF (21x15,5)</t>
  </si>
  <si>
    <t>L-1546-315487704</t>
  </si>
  <si>
    <t>1066957088</t>
  </si>
  <si>
    <t>III 104, 28</t>
  </si>
  <si>
    <t>Zwo Sch#[oe]ne vnd|| Tr#[oe]stliche predigt D.Martini Lu=||theri/ Die erste/ Von der Tauffe Chri=||sti etc. aus dem iij.Capitel|| Matthej.|| Die ander</t>
  </si>
  <si>
    <t>L-1551-343799960</t>
  </si>
  <si>
    <t>1079624163</t>
  </si>
  <si>
    <t>III 104, 29</t>
  </si>
  <si>
    <t>T @Wittembergisch|| deudsch Geistlich|| Gesangb#[ue]ch=||lein.|| Mit vier vnd f#[ue]nff stimmen.|| Durch Johan Walthern/ Chur=||f#[ue]rstlichen von Sa</t>
  </si>
  <si>
    <t>L-1559-167208330</t>
  </si>
  <si>
    <t>99892413X</t>
  </si>
  <si>
    <t>III 104, 30</t>
  </si>
  <si>
    <t xml:space="preserve">Chronica|| des Ehrnwirdigen Herrn|| : </t>
  </si>
  <si>
    <t>L-1527-315490543</t>
  </si>
  <si>
    <t>1066960011</t>
  </si>
  <si>
    <t>III 104, 31</t>
  </si>
  <si>
    <t xml:space="preserve">Etliche spruch : </t>
  </si>
  <si>
    <t>L-1531-315488182</t>
  </si>
  <si>
    <t>106695755X</t>
  </si>
  <si>
    <t>III 104, 32</t>
  </si>
  <si>
    <t xml:space="preserve">Vermanug|| an die geistlichen|| versamlet auff dem Reichs=||tag zu Augsburg/ Anno|| 1531.|| Marti. Luther.|| : </t>
  </si>
  <si>
    <t>L-1531-833463683</t>
  </si>
  <si>
    <t>1268481114</t>
  </si>
  <si>
    <t>III 104, 32 a</t>
  </si>
  <si>
    <t>L-1540-167629735</t>
  </si>
  <si>
    <t>999156268</t>
  </si>
  <si>
    <t>III 104, 32 b</t>
  </si>
  <si>
    <t xml:space="preserve">Von der|| Kirchen, vnd al||ten Kirchen||lerern|| : </t>
  </si>
  <si>
    <t>L-1541-16763996X</t>
  </si>
  <si>
    <t>999166727</t>
  </si>
  <si>
    <t>III 104, 32 c</t>
  </si>
  <si>
    <t>Eine @Schrifft Philip. Melanth. new||lich latinisch gestellet : wid||der den vnreinen Bapsts|| Celibat, vnd verbot der Priester||ehe</t>
  </si>
  <si>
    <t>L-1529-812448545</t>
  </si>
  <si>
    <t>1267871814</t>
  </si>
  <si>
    <t>III 104, 32 d</t>
  </si>
  <si>
    <t xml:space="preserve">Sammelband mit drei Reformationsschriften : </t>
  </si>
  <si>
    <t>Schaden stabil, fester Rücken inzwischen hohl</t>
  </si>
  <si>
    <t>L-1530-167209701</t>
  </si>
  <si>
    <t>998925616</t>
  </si>
  <si>
    <t>III 104, 32 e</t>
  </si>
  <si>
    <t xml:space="preserve">Verma=||nung zum Sacra||ment des leibs vnd|| bluts vnsers|| HERRN.|| : </t>
  </si>
  <si>
    <t xml:space="preserve">
mit eingeklebten Infoblatt vorn</t>
  </si>
  <si>
    <t>L-1536-167186949</t>
  </si>
  <si>
    <t>998902365</t>
  </si>
  <si>
    <t>III 104, 32 f</t>
  </si>
  <si>
    <t>Ein @trost=||liche predigt von|| der zukunfft Christi,|| vnd den vorgehenden|| zeichen des Jüng=||sten tags /|| D. Mart. Luther.|| Wittemberg|| 1536||</t>
  </si>
  <si>
    <t>L-1536-167187783</t>
  </si>
  <si>
    <t>998903302</t>
  </si>
  <si>
    <t>III 104, 32 g</t>
  </si>
  <si>
    <t xml:space="preserve">Zwo pre=||digt vom zorn,|| : </t>
  </si>
  <si>
    <t>L-1536-158186060</t>
  </si>
  <si>
    <t>994848145</t>
  </si>
  <si>
    <t>III 104, 32 h</t>
  </si>
  <si>
    <t>Warhafftige historie,|| wie das Euangelium zu Münster angefangen, vnd dar||nach durch die Widderteuf||fer verstöret, widder|| aufgehört hat||: Darzu d</t>
  </si>
  <si>
    <t>L-1536-167648225</t>
  </si>
  <si>
    <t>999174746</t>
  </si>
  <si>
    <t>III 104, 32 i</t>
  </si>
  <si>
    <t>Das @welt-||liche Oberkeit|| den Widerteuffern mit|| leiblicher straffe zu|| wehren schuldig|| sey : Etlicher be-||dencken zu Witeberg</t>
  </si>
  <si>
    <t>L-1537-164064397</t>
  </si>
  <si>
    <t>997502614</t>
  </si>
  <si>
    <t>III 104, 32 k</t>
  </si>
  <si>
    <t xml:space="preserve">Etliche|| Brieue Johan=||nes Huss des Heiligen|| Merterers, aus dem ge=||fengnis zu Costentz,|| An die Behemen|| geschrieben|| : </t>
  </si>
  <si>
    <t>L-1530-167110020</t>
  </si>
  <si>
    <t>998886769</t>
  </si>
  <si>
    <t>III 104, 32 m</t>
  </si>
  <si>
    <t xml:space="preserve">Eine @bekend||nis Christlicher le||re vnd glaubens|| : </t>
  </si>
  <si>
    <t>mit 6 weiteren HPg in einer Kassette, Makulatur der Deckel des Originaleinbandes beiliegend</t>
  </si>
  <si>
    <t>L-1532-156356422</t>
  </si>
  <si>
    <t>994516029</t>
  </si>
  <si>
    <t>III 104, 32/a</t>
  </si>
  <si>
    <t>ws. GF, steht nicht bei NF</t>
  </si>
  <si>
    <t>L-1543-315488204</t>
  </si>
  <si>
    <t>1066957576</t>
  </si>
  <si>
    <t>III 104, 33</t>
  </si>
  <si>
    <t xml:space="preserve">Christliche|| Geseng Lateinisch vnd|| Deudsch, zum Begrebnis.|| D. Martinus|| Luther.|| : </t>
  </si>
  <si>
    <t>Buchschuh (hat Schließen)</t>
  </si>
  <si>
    <t>L-1545-315332085</t>
  </si>
  <si>
    <t>1066874271</t>
  </si>
  <si>
    <t>III 104, 34</t>
  </si>
  <si>
    <t xml:space="preserve">Bapst trew Hadriani iiij.// vnd Alexanders III. gegen Keyser : </t>
  </si>
  <si>
    <t>L-1546-167638696</t>
  </si>
  <si>
    <t>999165380</t>
  </si>
  <si>
    <t>III 104, 34a</t>
  </si>
  <si>
    <t>III 104, 34 a</t>
  </si>
  <si>
    <t>Vrsachen, wa=||rumb die Kirchen,|| welche reine, Christliche|| lehr bekennen, die selbige|| lehr angenomen, vnd dabey ewiglich|| zu bleiben sich schul</t>
  </si>
  <si>
    <t>L-1546-16763013X</t>
  </si>
  <si>
    <t>999156691</t>
  </si>
  <si>
    <t>III 104, 34b</t>
  </si>
  <si>
    <t>III 104, 34 b</t>
  </si>
  <si>
    <t>Cavsae Quare|| Et Amplexae Sint,|| Et Retinendam Dv||cant doctrinam, quam profitentur,|| Ecclesiae, quae confessionem Aug||gustae exhibitam Imperato||</t>
  </si>
  <si>
    <t>L-1535-315492155</t>
  </si>
  <si>
    <t>1066961751</t>
  </si>
  <si>
    <t>III 104, 35</t>
  </si>
  <si>
    <t>Enchiridion|| odder handtb#[ue]chlin|| eines Christlichen F#[ue]r=||stens/ darinnen leer vnd|| trost aller Oberkeit seer|| n#[ue]tzlich/ allein aus Go</t>
  </si>
  <si>
    <t>L-1530-167206249</t>
  </si>
  <si>
    <t>998922110</t>
  </si>
  <si>
    <t>III 104, 35a</t>
  </si>
  <si>
    <t>III 104, 35 a</t>
  </si>
  <si>
    <t xml:space="preserve">Der Hun=||dert vnd eilffte|| Psalm ausge=||legt durch : </t>
  </si>
  <si>
    <t>L-1548-315487852</t>
  </si>
  <si>
    <t>1066957223</t>
  </si>
  <si>
    <t>III 104, 36</t>
  </si>
  <si>
    <t>Die @Heubt=||artikel des Christ=||lichen glaubens/ Wider|| den Bapst/ vnd der Hellen|| pforten zu erhalten.|| Sampt dem Bekentnis|| des glaubens/ D. M</t>
  </si>
  <si>
    <t xml:space="preserve">
12°</t>
  </si>
  <si>
    <t>L-1522-315489073</t>
  </si>
  <si>
    <t>1066958459</t>
  </si>
  <si>
    <t>III 104, 37</t>
  </si>
  <si>
    <t xml:space="preserve">Uon denn|| geystlichen|| vnd kloster||gelubden|| Martini|| Luthers|| vrteyll.|| (verdeutscht durch ... Just|| Jona ...||) : </t>
  </si>
  <si>
    <t>L-1522-175547769</t>
  </si>
  <si>
    <t>1001771508</t>
  </si>
  <si>
    <t>III 104, 37 a</t>
  </si>
  <si>
    <t>Die @haubt||artickel durch|| welche gemeyne Chri||stenheyt byßhere|| verfuret wor=||den ist|| : Daneben auch grund vnnd|| anzeygen eyns gantzen|| rech</t>
  </si>
  <si>
    <t>L-1533-153916281</t>
  </si>
  <si>
    <t>993862357</t>
  </si>
  <si>
    <t>III 104, 37 b</t>
  </si>
  <si>
    <t xml:space="preserve">Von Almosen|| geben, Ein Sermon : </t>
  </si>
  <si>
    <t>L-1535-16710943X</t>
  </si>
  <si>
    <t>998886203</t>
  </si>
  <si>
    <t>III 104, 37 c</t>
  </si>
  <si>
    <t xml:space="preserve">Ausschrei||bunge eines hei||ligen freyen Christ||lichen Concilij|| Anno|| 1535 : </t>
  </si>
  <si>
    <t>L-1538-167685309</t>
  </si>
  <si>
    <t>999178695</t>
  </si>
  <si>
    <t>III 104, 37 d</t>
  </si>
  <si>
    <t xml:space="preserve">Wie ein iglicher|| Christ gegen allerley le=||re, gut vnd böse, nach|| Gottes befelh, sich gebür=||lich halten sol|| : </t>
  </si>
  <si>
    <t>L-1540-154381578</t>
  </si>
  <si>
    <t>99405288X</t>
  </si>
  <si>
    <t>III 104, 37 e</t>
  </si>
  <si>
    <t>Bekantnus des|| Glaubens:|| Die Robertus Barns, Der|| Heiligen Schrifft Doctor [jnn|| Deudschem Lande D. Antoni=||us genent] zu Lunden jnn Eng=||ellan</t>
  </si>
  <si>
    <t>L-1536-163195579</t>
  </si>
  <si>
    <t>997002131</t>
  </si>
  <si>
    <t>III 104, 37 f</t>
  </si>
  <si>
    <t xml:space="preserve">Woher Thumherrn Canonici|| heissen, Vnd was jr vnd etlich=||er anderer jrer Thumpfahfen|| vrsprüngliche Empter,|| gewesen sind|| Dialogus : </t>
  </si>
  <si>
    <t>L-1542-167110535</t>
  </si>
  <si>
    <t>998887307</t>
  </si>
  <si>
    <t>III 104, 37 g</t>
  </si>
  <si>
    <t>Exempel, Ei=||nen Rechten Christ=||lichen Bischoff zu|| Weihen|| : Geschehen zur Neumburg,|| Anno 1542</t>
  </si>
  <si>
    <t>L-2006-318808</t>
  </si>
  <si>
    <t>981293468</t>
  </si>
  <si>
    <t>III 104, 37 h</t>
  </si>
  <si>
    <t xml:space="preserve">Verantwortung der auffgelegten Auffrur, von Hertzog Georgen, sampt einem Trostbrieff an die Christen, von jhm aus Leiptzig unschuldig veriagt : </t>
  </si>
  <si>
    <t>L-1523-315493569</t>
  </si>
  <si>
    <t>1066963304</t>
  </si>
  <si>
    <t>III 104, 38</t>
  </si>
  <si>
    <t>Eyn @Missiue oder Sendbrieff/|| so die Ebtissin vń Nürmberg/ an den|| Hochberümbten Bock Empser|| geschrib? hat/ fast künstlich|| vnd geystlich/ auch|</t>
  </si>
  <si>
    <t>L-9999-414172809</t>
  </si>
  <si>
    <t>1137891580</t>
  </si>
  <si>
    <t>III 104, 39</t>
  </si>
  <si>
    <t xml:space="preserve">Sammelband Reformationsliteratur : </t>
  </si>
  <si>
    <t>L-1521-315489014</t>
  </si>
  <si>
    <t>1066958394</t>
  </si>
  <si>
    <t>III 104, 40</t>
  </si>
  <si>
    <t>Von der Beycht ob|| die der Bapst ma=||cht habe zu ge=||pieten.|| Doctor Martinus|| Luther.||(Der hundert vnd achtzehend|| Psalm nutzlich zu betten fu</t>
  </si>
  <si>
    <t>L-1523-167640313</t>
  </si>
  <si>
    <t>999166921</t>
  </si>
  <si>
    <t>III 104, 41</t>
  </si>
  <si>
    <t xml:space="preserve">Deuttung der czwo grew||lich[n] Figuren Bapstesels|| czu Rom|| vnd Munch||kalbs zu Freyberg|| ynn Meysszen|| funden|| : </t>
  </si>
  <si>
    <t>5000,00 EUR</t>
  </si>
  <si>
    <t>L-1555-833777297</t>
  </si>
  <si>
    <t>1268681660</t>
  </si>
  <si>
    <t>III 104, 42</t>
  </si>
  <si>
    <t xml:space="preserve">Sammelband mit zwei Werken von Philipp Melanchthon : </t>
  </si>
  <si>
    <t>Buchschließe mit Grünspan</t>
  </si>
  <si>
    <t xml:space="preserve">
hat Bauch, Textverlust</t>
  </si>
  <si>
    <t>L-1560-178434418</t>
  </si>
  <si>
    <t>1002924871</t>
  </si>
  <si>
    <t>III 104, 43</t>
  </si>
  <si>
    <t>ORATIO HABI||TA IN FVNERE REVEREN=||DI ET CLARISSIMI VIRI PHILIP||PI MELANTHONIS, A VITO VVINSHE=||MIO ARTIS MEDICAE DOCTO=||RE DIE XXI APRILIS : [Med</t>
  </si>
  <si>
    <t>L-1551-167081187</t>
  </si>
  <si>
    <t>998858927</t>
  </si>
  <si>
    <t>III 104, 44</t>
  </si>
  <si>
    <t>TOMVS|| SECVNDVS OMNIVM O|| PERVM REVERENDI DOMINI|| MARTINI LVTHERI, DOCTORIS THEO||LOGIAE, CONTINENS MONVMENTA,|| QVAE DE MVLTIS GRAVISSIMIS|| CONTR</t>
  </si>
  <si>
    <t>L-2017-325817</t>
  </si>
  <si>
    <t>1144311292</t>
  </si>
  <si>
    <t>III 104, 45</t>
  </si>
  <si>
    <t xml:space="preserve">Widder den falsch genanttē geistlichen stand des Bapst vnd der Bischoffen : </t>
  </si>
  <si>
    <t>658,05 EUR</t>
  </si>
  <si>
    <t>L-1540-315332417</t>
  </si>
  <si>
    <t>1066874646</t>
  </si>
  <si>
    <t>III 105, 1</t>
  </si>
  <si>
    <t xml:space="preserve">ANdere bestendige/ ergründte/ vnd|| warhafftige antwort/ des Durch=||leuchtigen hochgebornen Fürsten vnd Herrn/ Herrn : </t>
  </si>
  <si>
    <t>L-1541-31533214X</t>
  </si>
  <si>
    <t>1066874336</t>
  </si>
  <si>
    <t>III 105, 2</t>
  </si>
  <si>
    <t xml:space="preserve">Des durchleuchtigen hoch||gebornen Fürsten vnd Herrn/ Herrn : </t>
  </si>
  <si>
    <t>Box (sperrt, Schließe)</t>
  </si>
  <si>
    <t>L-1541-315327685</t>
  </si>
  <si>
    <t>1066869731</t>
  </si>
  <si>
    <t>III 105, 3</t>
  </si>
  <si>
    <t xml:space="preserve">Anderer bestendiger war//hafftiger ergrünter bericht/ des Durch=//leuchtigen Hochgebornen Fursten : </t>
  </si>
  <si>
    <t>L-1529-331723204</t>
  </si>
  <si>
    <t>1074848381</t>
  </si>
  <si>
    <t>III 106, 1</t>
  </si>
  <si>
    <t xml:space="preserve">Šāloš ʿeśrē ʿîqqārîm|| : </t>
  </si>
  <si>
    <t>nur das Nötigste</t>
  </si>
  <si>
    <t>L-1530-315487763</t>
  </si>
  <si>
    <t>1066957142</t>
  </si>
  <si>
    <t>III 106, 2</t>
  </si>
  <si>
    <t xml:space="preserve">GEsprech des kunstreichen : </t>
  </si>
  <si>
    <t>L-9999-41428173X</t>
  </si>
  <si>
    <t>1137966130</t>
  </si>
  <si>
    <t>III 106, 3</t>
  </si>
  <si>
    <t>1732,00 EUR</t>
  </si>
  <si>
    <t xml:space="preserve">
oder 0 (Ledernarben ist extrem brüchig und bröselig)</t>
  </si>
  <si>
    <t>Ledernarben ist extrem rissig, spröde und bröselig -&gt; Festigen? Mit Stephanie besprechen</t>
  </si>
  <si>
    <t>Umschlag (Ledernarben extrem empfindlich)</t>
  </si>
  <si>
    <t>Festigen oder belassen? Klucel? Rest.bedarf genauer kalkulieren!!</t>
  </si>
  <si>
    <t>L-1539-31533102X</t>
  </si>
  <si>
    <t>1066873208</t>
  </si>
  <si>
    <t>III 106, 4</t>
  </si>
  <si>
    <t xml:space="preserve">Freidanck.|| Der Freidanck new mit figuren/|| Fügt Pfaffen/ Adel/ Leyen/ Buren.|| ...|| [Bearb.: Sebastianus Brant. Hrsg.: Sebastianus Wagner] : </t>
  </si>
  <si>
    <t>L-1503-315490683</t>
  </si>
  <si>
    <t>1066960178</t>
  </si>
  <si>
    <t>III 107, 1 (ÜF / 4. OG: R73A/10/1)</t>
  </si>
  <si>
    <t>III 107, 1</t>
  </si>
  <si>
    <t xml:space="preserve">Missale Herbipolense : </t>
  </si>
  <si>
    <t>steht in ÜF</t>
  </si>
  <si>
    <t>L-1524-315493550</t>
  </si>
  <si>
    <t>1066963290</t>
  </si>
  <si>
    <t>III 108, 1</t>
  </si>
  <si>
    <t>Von g#[oe]tlicher vnd m?sch||licher grechtigkeit/ wie die zemen sehind vñ standind|| Ein predge Huldrych Zuinglis an. S. Joanns|| Teuffers tag gethon/</t>
  </si>
  <si>
    <t>L-1526-315493542</t>
  </si>
  <si>
    <t>1066963274</t>
  </si>
  <si>
    <t>III 108, 2</t>
  </si>
  <si>
    <t xml:space="preserve">DE PECCA||TO ORIGINALI DECLARATIO|| Huldrychi Zuinglij, Ad Vrbanum|| Rhegium.|| ...|| : </t>
  </si>
  <si>
    <t>L-1522-180631152</t>
  </si>
  <si>
    <t>1003783562</t>
  </si>
  <si>
    <t>III 108, 2 a</t>
  </si>
  <si>
    <t>SVGGESTIO DE||LIBERANDI SVPER PROPOSITIO||ne Hadriani pontificis Romani Nerobergae facta|| ad principes Germaniae à quodam ingenue||tum in co[m]mune R</t>
  </si>
  <si>
    <t>L-1528-163047200</t>
  </si>
  <si>
    <t>996935924</t>
  </si>
  <si>
    <t>III 108, 2 b</t>
  </si>
  <si>
    <t xml:space="preserve">Handlung oder Acta gehalt||ner Disputation zu Bern|| in Luchtland : [Holzschn. Wappen v. Bern, von lat., griech., hebr. u. dt. Aussprüchen umgeben] ; </t>
  </si>
  <si>
    <t>L-1530-812451694</t>
  </si>
  <si>
    <t>126787435X</t>
  </si>
  <si>
    <t>III 108, 2 c</t>
  </si>
  <si>
    <t>L-1551-315317175</t>
  </si>
  <si>
    <t>1066858403</t>
  </si>
  <si>
    <t>III 108, 3</t>
  </si>
  <si>
    <t>M.T.CICERO=||NIS ORATIO AD POP.|| ET EQVITES ROM. ANTE-||quam iret in exilum,unà cum Otho||nis Vuerdmülleri Tigurini|| commentario,nunc de=||mum recog</t>
  </si>
  <si>
    <t>L-1557-315491930</t>
  </si>
  <si>
    <t>1066961549</t>
  </si>
  <si>
    <t>III 108, 4</t>
  </si>
  <si>
    <t>L-1563-67490303X</t>
  </si>
  <si>
    <t>120970370X</t>
  </si>
  <si>
    <t>III 108, 4 (1. angebundenes Werk)</t>
  </si>
  <si>
    <t>L-1563-674895401</t>
  </si>
  <si>
    <t>1209695812</t>
  </si>
  <si>
    <t>III 108, 4 (2. angebundenes Werk)</t>
  </si>
  <si>
    <t>L-1544-315218762</t>
  </si>
  <si>
    <t>106679863X</t>
  </si>
  <si>
    <t>III 108, 5</t>
  </si>
  <si>
    <t xml:space="preserve">Biblia Sacrosancta Testamenti Veteris &amp; Noui, è sacra Hebraeorum lingua Graecorumque fontibus... translata in sermonem Latinum : </t>
  </si>
  <si>
    <t>L-1524-16738046X</t>
  </si>
  <si>
    <t>999030736</t>
  </si>
  <si>
    <t>III 109, 1</t>
  </si>
  <si>
    <t xml:space="preserve">Eyn @Edles schönes lieb||lichs Tractetleyn, von dem reynen||hymlischen: ewigen wort (Ver||bum Domini) zu lob Got dem schöpffer Hymels vnd Erden, vnnd </t>
  </si>
  <si>
    <t>L-9999-414378652</t>
  </si>
  <si>
    <t>1138060933</t>
  </si>
  <si>
    <t>III 109, 2</t>
  </si>
  <si>
    <t>550,00 EUR</t>
  </si>
  <si>
    <t>L-1523-315494522</t>
  </si>
  <si>
    <t>1066964297</t>
  </si>
  <si>
    <t>III 109, 3</t>
  </si>
  <si>
    <t>Ordnung deß Nawen|| Studij vnd yetztauffgerichten Collegij yn|| Fürstlicher Stadt Zwickaw.|| [Sp.1] Auff drey haupt=||sprachen.||[Sp.2] Hebraysch.|| K</t>
  </si>
  <si>
    <t>L-9999-414828453</t>
  </si>
  <si>
    <t>1138311448</t>
  </si>
  <si>
    <t>III 109, 4</t>
  </si>
  <si>
    <t>L-1540-315487720</t>
  </si>
  <si>
    <t>106695710X</t>
  </si>
  <si>
    <t>III 109, 5</t>
  </si>
  <si>
    <t>Klag des armeñ|| Manns vnd Sorgenuol/|| yñ theurung vñ hungers not/ Vnd warmit|| er sich dariñ zu tr#[oe]sten/ aus sch#[oe]nen Historien|| der heylige</t>
  </si>
  <si>
    <t>L-1525-315494344</t>
  </si>
  <si>
    <t>1066964122</t>
  </si>
  <si>
    <t>III 110, 1</t>
  </si>
  <si>
    <t xml:space="preserve">Von Leybey=||genschafft/ odder knecht=||heyt/ Wie sich Herren/ vñ|| eygenlewt/ Christlich hal||ten sollen/ Bericht aus|| g#oetlichen Rechten.|| Durch </t>
  </si>
  <si>
    <t>L-1559-180416669</t>
  </si>
  <si>
    <t>1003676618</t>
  </si>
  <si>
    <t>III 110, 2</t>
  </si>
  <si>
    <t xml:space="preserve">Warhafftige Newe Zeittung|| : Was sich für Empörung nach des Bapsts Pauli des IV. Todt|| welcher den 18. Augusti dises 1559. Jars verschiden|| zu Rom </t>
  </si>
  <si>
    <t>L-1519-315487658</t>
  </si>
  <si>
    <t>1066957037</t>
  </si>
  <si>
    <t>III 110, 3</t>
  </si>
  <si>
    <t>IVLIVS.|| Dialogus uiri cuiuspiam eruditissimi, festiuus sane|| ac elegans, quomodo IVLIVS.II. P.M. post|| mortem, coeli fores pulsando, ab ianitore||</t>
  </si>
  <si>
    <t>L-1530-833778196</t>
  </si>
  <si>
    <t>1268682446</t>
  </si>
  <si>
    <t>III 110, 4</t>
  </si>
  <si>
    <t>[Heiligen-Alphabet] : [Augsburger Formschnitte]</t>
  </si>
  <si>
    <t>L-1546-175573042</t>
  </si>
  <si>
    <t>1001795830</t>
  </si>
  <si>
    <t>III 110, 5</t>
  </si>
  <si>
    <t xml:space="preserve">Ein @Lied für die|| Landsknecht|| gemacht:|| inn diesen Kriegsleufften nütz=||lich zu singen|| ; in Dennmarcker, oder im|| Schweitzer|| thon : </t>
  </si>
  <si>
    <t>Jurismappe</t>
  </si>
  <si>
    <t>L-1583-315465247</t>
  </si>
  <si>
    <t>1066937397</t>
  </si>
  <si>
    <t>III 110, 6</t>
  </si>
  <si>
    <t>T' @Wonderboeck : waer in dat van der VVerldt aen versloten gheopenbaert is ; Wie een der Ick (secht die Heere) senden sal, ontfangt in mynen Naem, di</t>
  </si>
  <si>
    <t>L-1521-315490349</t>
  </si>
  <si>
    <t>106695982X</t>
  </si>
  <si>
    <t>III 110, 7</t>
  </si>
  <si>
    <t>L-1546-15823796X</t>
  </si>
  <si>
    <t>994870507</t>
  </si>
  <si>
    <t>III 110, 8</t>
  </si>
  <si>
    <t>Deß @Römischen Anti||christi Trachen Gyfft, so er vnder|| dem Namen Ablaß, bede zur|| Seelen vnd leybs vergyff||tung, auff ain neüwes|| außgossen hatt</t>
  </si>
  <si>
    <t>Klemmsammlung</t>
  </si>
  <si>
    <t xml:space="preserve"> </t>
  </si>
  <si>
    <t xml:space="preserve">Signaturgruppe III </t>
  </si>
  <si>
    <t>Standorte</t>
  </si>
  <si>
    <t>Standort Normalformate 4. EWB, 4. OG Reihe 44</t>
  </si>
  <si>
    <t>Standort Großformate 4. EWB, 4. OG Reihe 38</t>
  </si>
  <si>
    <t>Standort ÜF 4. EWB, 4. OG R 73A/ 10/ 1</t>
  </si>
  <si>
    <t>Informationen zu dieser Mappe</t>
  </si>
  <si>
    <t>Die Mappe basiert auf der Excelliste, die 2020 erstellt worde. Veränderungen/Ergänzungen ab 2022 sind unten aufgeführt.</t>
  </si>
  <si>
    <t>Veränderungen an dieser Mappe:</t>
  </si>
  <si>
    <t>Wichtig! Bitte alle relevanten Veränderungen (Einfügen von Zellbezügen, neuen Spalten...) ergänzen, da verschiedene Leute mit der Tabelle arbeiten!!!</t>
  </si>
  <si>
    <t>wann</t>
  </si>
  <si>
    <t>wer</t>
  </si>
  <si>
    <t>was</t>
  </si>
  <si>
    <t>F. Thomschke</t>
  </si>
  <si>
    <t>Einfügen neuer Spalten in das Hauptblatt "III_Drucke 1501-1560". Diese worden mit Zebra versehen.</t>
  </si>
  <si>
    <t>zusätzlich Zebra in Signaturspalte eingefügt</t>
  </si>
  <si>
    <t>neue Tabellenblätter in die Mappe eingefügt (Infos zu dieser Mappe, Legende_Thomschke, Schäden_Einband, Schäden_Buchblock)</t>
  </si>
  <si>
    <t>relative Zellbezüge eingefügt (auf III_Drucke 1501-1560, Schäden_Einband, Schäden_Buchblock)</t>
  </si>
  <si>
    <t>grundsätzlich alle Spalten ausgeblendet, die F. Thomschke für die Erfassung nicht benötigt</t>
  </si>
  <si>
    <t>auf dem Hauptblatt alle Zeilen oberhalb der Tabelle (=Angaben zur Aufstellung) auf das Blatt "Infos zu dieser Mappe" übernommen und auf dem Hauptblatt gelöscht --&gt; ist einfacher in Bezug auf 
die relativen Zellbezüge, wenn z.B. Zeilen eingefügt werden</t>
  </si>
  <si>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</si>
  <si>
    <t>Abkürzung</t>
  </si>
  <si>
    <t>Auflösung</t>
  </si>
  <si>
    <t>allg.</t>
  </si>
  <si>
    <t>ÜF</t>
  </si>
  <si>
    <t>Überformat</t>
  </si>
  <si>
    <t>SB</t>
  </si>
  <si>
    <t>Schutzbehältnis</t>
  </si>
  <si>
    <t>Einbandart</t>
  </si>
  <si>
    <t>Holzdeckelband</t>
  </si>
  <si>
    <t>Pergamentband (Makulatur)</t>
  </si>
  <si>
    <t>ohne Einband (ungebunden)</t>
  </si>
  <si>
    <t>EB</t>
  </si>
  <si>
    <t>Einzelblätter</t>
  </si>
  <si>
    <t>Rücken</t>
  </si>
  <si>
    <t>fester Rücken</t>
  </si>
  <si>
    <t>fester Rücken mit Vergoldung</t>
  </si>
  <si>
    <t>hohler Rücken mit Einlage</t>
  </si>
  <si>
    <t>Ausstattung</t>
  </si>
  <si>
    <t>Kolorierung</t>
  </si>
  <si>
    <t>Buchmalerei</t>
  </si>
  <si>
    <t>I</t>
  </si>
  <si>
    <t>Initalien</t>
  </si>
  <si>
    <t>Rubrikation</t>
  </si>
  <si>
    <t>Öffnungswinkel (ÖW)</t>
  </si>
  <si>
    <t xml:space="preserve">wirklich nur bei 110 digitalisieren, z.B. wegen Schaden, weil kein Einband vorhanden ist o.ä. </t>
  </si>
  <si>
    <t>max 45/60/110/180</t>
  </si>
  <si>
    <t>Vorteilhafter wäre aus konservatorischer Sicht ein geringerer ÖW, was aber wegen z.B. Faltkarten ws. nicht möglich ist.
Bei der Winkelangabe ist i.d.R. ein Spielraum von ca. 5° möglich, aber bei einigen Büchern eben tatsächlich nicht.</t>
  </si>
  <si>
    <t>Schäden/
Restaurierung</t>
  </si>
  <si>
    <t>vorn</t>
  </si>
  <si>
    <t>hinten</t>
  </si>
  <si>
    <t>Vorderdeckel</t>
  </si>
  <si>
    <t>RD</t>
  </si>
  <si>
    <t>Rückdeckel</t>
  </si>
  <si>
    <t>oben</t>
  </si>
  <si>
    <t>u</t>
  </si>
  <si>
    <t>unten</t>
  </si>
  <si>
    <t>Datentransferblatt für III Drucke 1501-1560</t>
  </si>
  <si>
    <t>Signaturen Gesamtanzahl</t>
  </si>
  <si>
    <t>Buchbinderische Einheiten</t>
  </si>
  <si>
    <t>Anzahl geprüfte Bücher durch Thomschke</t>
  </si>
  <si>
    <t>nicht
am Standort (DA)</t>
  </si>
  <si>
    <t>Anzahl Überformat</t>
  </si>
  <si>
    <t>Anzahl Querformat</t>
  </si>
  <si>
    <t>Besonderheiten (z.B. Perlen)</t>
  </si>
  <si>
    <t>Einband überformt (ganz od. teilweise)</t>
  </si>
  <si>
    <t>Buch bereits restauriert</t>
  </si>
  <si>
    <t>fester Rücken (mit und ohne Vergoldung)</t>
  </si>
  <si>
    <t>hohler Rücken (mit und ohne Einlage)</t>
  </si>
  <si>
    <t>Stehkanten
(bei Perg.)</t>
  </si>
  <si>
    <t>Leder pudert ab/
roter Zerfall (extrem)</t>
  </si>
  <si>
    <t>Einband stark deformiert</t>
  </si>
  <si>
    <t>Beschläge bes. auftragend</t>
  </si>
  <si>
    <t>Buchschließe steif</t>
  </si>
  <si>
    <t>Buchblock</t>
  </si>
  <si>
    <t>Papier</t>
  </si>
  <si>
    <t>Pergament</t>
  </si>
  <si>
    <t>saures
Fülmaterial</t>
  </si>
  <si>
    <t>Registermarken</t>
  </si>
  <si>
    <t>Buchblock sehr wellig</t>
  </si>
  <si>
    <t>Buchblock neigt zum "Bauch"</t>
  </si>
  <si>
    <t>geschlossene Lagen</t>
  </si>
  <si>
    <t>Anzahl Bücher mit Falttafeln</t>
  </si>
  <si>
    <t>Originalgrafik</t>
  </si>
  <si>
    <t>Kolorierung / Buchmalerei / Initialen / Rubrikation</t>
  </si>
  <si>
    <t>berührungsfreie Digit.</t>
  </si>
  <si>
    <t>Schrift weit bis in den Falz (Bundsteg in mm) Textverlust</t>
  </si>
  <si>
    <t>nicht digitalisierbar wegen Bundsteg (vorraussichtlich)</t>
  </si>
  <si>
    <t>max. Öffnungswinkel</t>
  </si>
  <si>
    <t>max 45</t>
  </si>
  <si>
    <t>max 60</t>
  </si>
  <si>
    <t>max 80</t>
  </si>
  <si>
    <t>max 180</t>
  </si>
  <si>
    <t>Digit. mit Begleitung</t>
  </si>
  <si>
    <t>Verschmutzung (Vorsatz / Ränder /
ges. BB)</t>
  </si>
  <si>
    <t>mikrobieller Befall</t>
  </si>
  <si>
    <t>Rest.-Bericht eingeklebt</t>
  </si>
  <si>
    <t>Rest.
notwendig</t>
  </si>
  <si>
    <t>gesamt</t>
  </si>
  <si>
    <t>vor Digit.</t>
  </si>
  <si>
    <t>nach Digit.</t>
  </si>
  <si>
    <t>vor und nach Digit.</t>
  </si>
  <si>
    <t>Rest.-Aufwand gesamt
(in Std.)</t>
  </si>
  <si>
    <t>Anzahl erfolgter Restaurierung</t>
  </si>
  <si>
    <t>Umschlag</t>
  </si>
  <si>
    <t>Öffnungswinkel 45</t>
  </si>
  <si>
    <t>Öffnungswinkel 110</t>
  </si>
  <si>
    <t>Zustandsbewertung Klemmsammlung</t>
  </si>
  <si>
    <t xml:space="preserve">insgesamt ca. X m Regalborde </t>
  </si>
  <si>
    <t>insgesamt ca. 16.000 Bände</t>
  </si>
  <si>
    <t>Begutachtet werden insgesamt mindestens 1500 Bände</t>
  </si>
  <si>
    <t>Für die zu begutachtenden Objekte werden die Schadensklasse,</t>
  </si>
  <si>
    <t xml:space="preserve">das verwendete Material und die bei Schadensklasse 1 und 2 </t>
  </si>
  <si>
    <t>notwendigen Reparaturmaßnahme(en) dokumentiert.</t>
  </si>
  <si>
    <t>Materialien</t>
  </si>
  <si>
    <t>Kürzel</t>
  </si>
  <si>
    <t>Materialbezeichnung</t>
  </si>
  <si>
    <t>Winkel</t>
  </si>
  <si>
    <t>Kapsel</t>
  </si>
  <si>
    <t>Buchblock nicht aufgeschnitten</t>
  </si>
  <si>
    <t>stark brüchiges Papier</t>
  </si>
  <si>
    <t>Folie</t>
  </si>
  <si>
    <t>Buchblock aus Pergament</t>
  </si>
  <si>
    <t>Tintenfraß</t>
  </si>
  <si>
    <t>Mappen</t>
  </si>
  <si>
    <t>Kupferfraß</t>
  </si>
  <si>
    <t>Originale Schutzhülle</t>
  </si>
  <si>
    <t>seitliche Klammerung oder Bindung</t>
  </si>
  <si>
    <t>erhabene Illuminationen</t>
  </si>
  <si>
    <t>Buchblock dicker als 20 cm</t>
  </si>
  <si>
    <t>Mehrfacheinbände innerhalb eines Buches</t>
  </si>
  <si>
    <t>Reparaturmaßnahmen</t>
  </si>
  <si>
    <t>Kreide, Pastell oder Rußtinte</t>
  </si>
  <si>
    <t>Wer</t>
  </si>
  <si>
    <t>Reparaturmaßnahme</t>
  </si>
  <si>
    <t>ungewöhnliche Buchform (Dreieck usw.)</t>
  </si>
  <si>
    <t>Trockenreinigung</t>
  </si>
  <si>
    <t>Glasplatte</t>
  </si>
  <si>
    <t>Risse schließen</t>
  </si>
  <si>
    <t>Einbandsicherung</t>
  </si>
  <si>
    <t>Heftung sichern</t>
  </si>
  <si>
    <t>Kapital sichern</t>
  </si>
  <si>
    <t>Bindung lösen</t>
  </si>
  <si>
    <t>Seiten glätten</t>
  </si>
  <si>
    <t>Verklebung lösen</t>
  </si>
  <si>
    <t>Klebestreifen entfernen</t>
  </si>
  <si>
    <t>Kupferfraß sichern</t>
  </si>
  <si>
    <t>Tintenfraß sichern</t>
  </si>
  <si>
    <t>Schadensklassen</t>
  </si>
  <si>
    <t>Klasse</t>
  </si>
  <si>
    <t>Beschreibung</t>
  </si>
  <si>
    <t>Objekt ist vollständig benutzbar</t>
  </si>
  <si>
    <t>eingeschränkte Benutzbarkeit, geringer Reparaturaufwand</t>
  </si>
  <si>
    <t>eingeschränkte Benutzbarkeit, hoher Reparaturaufwand</t>
  </si>
  <si>
    <t>Objekt ist nicht benutzbar, größtmöglicher Aufwand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</si>
</sst>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9"/>
      <color theme="1"/>
      <name val="Verdana"/>
      <family val="2"/>
    </font>
    <font>
      <b/>
      <sz val="11"/>
      <color theme="1"/>
      <name val="Verdana"/>
      <family val="2"/>
    </font>
    <font>
      <b/>
      <sz val="9"/>
      <color theme="1"/>
      <name val="Verdana"/>
      <family val="2"/>
    </font>
    <font>
      <b/>
      <sz val="10"/>
      <color theme="1"/>
      <name val="Verdana"/>
      <family val="2"/>
    </font>
    <font>
      <sz val="10"/>
      <color theme="1"/>
      <name val="Verdana"/>
      <family val="2"/>
    </font>
    <font>
      <sz val="9"/>
      <color theme="1"/>
      <name val="Verdana"/>
      <family val="2"/>
    </font>
    <font>
      <sz val="9"/>
      <name val="Verdana"/>
      <family val="2"/>
    </font>
    <font>
      <b/>
      <sz val="9"/>
      <name val="Verdana"/>
      <family val="2"/>
    </font>
    <font>
      <b/>
      <i/>
      <sz val="9"/>
      <color theme="1"/>
      <name val="Verdana"/>
      <family val="2"/>
    </font>
    <font>
      <b/>
      <sz val="9"/>
      <color rgb="FFFF0000"/>
      <name val="Verdana"/>
      <family val="2"/>
    </font>
    <font>
      <i/>
      <sz val="9"/>
      <color theme="1"/>
      <name val="Verdana"/>
      <family val="2"/>
    </font>
    <font>
      <sz val="9"/>
      <color rgb="FFFF0000"/>
      <name val="Verdan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9" fontId="5" fillId="0" borderId="0"/>
  </cellStyleXfs>
  <cellXfs count="78">
    <xf numFmtId="0" fontId="0" fillId="0" borderId="0" xfId="0"/>
    <xf numFmtId="0" fontId="1" fillId="0" borderId="0" xfId="0" applyFont="1"/>
    <xf numFmtId="0" fontId="2" fillId="0" borderId="0" xfId="0" applyFont="1"/>
    <xf numFmtId="0" fontId="0" fillId="0" borderId="2" xfId="0" applyBorder="1"/>
    <xf numFmtId="0" fontId="0" fillId="0" borderId="3" xfId="0" applyBorder="1"/>
    <xf numFmtId="0" fontId="4" fillId="0" borderId="11" xfId="0" applyFont="1" applyBorder="1"/>
    <xf numFmtId="0" fontId="4" fillId="0" borderId="6" xfId="0" applyFont="1" applyBorder="1"/>
    <xf numFmtId="0" fontId="4" fillId="0" borderId="7" xfId="0" applyFont="1" applyBorder="1"/>
    <xf numFmtId="3" fontId="0" fillId="0" borderId="1" xfId="0" applyNumberFormat="1" applyBorder="1"/>
    <xf numFmtId="0" fontId="0" fillId="0" borderId="1" xfId="0" applyBorder="1" applyAlignment="1">
      <alignment horizontal="right"/>
    </xf>
    <xf numFmtId="3" fontId="0" fillId="0" borderId="1" xfId="0" applyNumberFormat="1" applyBorder="1" applyAlignment="1">
      <alignment horizontal="right"/>
    </xf>
    <xf numFmtId="9" fontId="0" fillId="0" borderId="7" xfId="1" applyFont="1" applyBorder="1" applyAlignment="1">
      <alignment horizontal="right"/>
    </xf>
    <xf numFmtId="0" fontId="0" fillId="0" borderId="0" xfId="0" applyAlignment="1">
      <alignment horizontal="right"/>
    </xf>
    <xf numFmtId="9" fontId="0" fillId="0" borderId="3" xfId="1" applyFont="1" applyBorder="1" applyAlignment="1">
      <alignment horizontal="right"/>
    </xf>
    <xf numFmtId="3" fontId="0" fillId="0" borderId="0" xfId="0" applyNumberFormat="1" applyAlignment="1">
      <alignment horizontal="right"/>
    </xf>
    <xf numFmtId="3" fontId="0" fillId="0" borderId="0" xfId="0" applyNumberFormat="1"/>
    <xf numFmtId="0" fontId="0" fillId="0" borderId="0" xfId="0" applyAlignment="1">
      <alignment horizontal="left"/>
    </xf>
    <xf numFmtId="164" fontId="0" fillId="0" borderId="6" xfId="1" applyNumberFormat="1" applyFont="1" applyBorder="1" applyAlignment="1">
      <alignment horizontal="right"/>
    </xf>
    <xf numFmtId="164" fontId="0" fillId="0" borderId="7" xfId="1" applyNumberFormat="1" applyFont="1" applyBorder="1" applyAlignment="1">
      <alignment horizontal="right"/>
    </xf>
    <xf numFmtId="164" fontId="0" fillId="0" borderId="0" xfId="0" applyNumberFormat="1" applyAlignment="1">
      <alignment horizontal="right"/>
    </xf>
    <xf numFmtId="164" fontId="0" fillId="0" borderId="11" xfId="1" applyNumberFormat="1" applyFont="1" applyBorder="1" applyAlignment="1">
      <alignment horizontal="right"/>
    </xf>
    <xf numFmtId="164" fontId="0" fillId="0" borderId="8" xfId="1" applyNumberFormat="1" applyFont="1" applyBorder="1" applyAlignment="1">
      <alignment horizontal="right"/>
    </xf>
    <xf numFmtId="164" fontId="0" fillId="0" borderId="2" xfId="1" applyNumberFormat="1" applyFont="1" applyBorder="1" applyAlignment="1">
      <alignment horizontal="right"/>
    </xf>
    <xf numFmtId="164" fontId="0" fillId="0" borderId="3" xfId="1" applyNumberFormat="1" applyFont="1" applyBorder="1" applyAlignment="1">
      <alignment horizontal="right"/>
    </xf>
    <xf numFmtId="3" fontId="0" fillId="0" borderId="11" xfId="0" applyNumberFormat="1" applyBorder="1"/>
    <xf numFmtId="3" fontId="0" fillId="0" borderId="6" xfId="0" applyNumberFormat="1" applyBorder="1"/>
    <xf numFmtId="3" fontId="0" fillId="0" borderId="7" xfId="0" applyNumberFormat="1" applyBorder="1"/>
    <xf numFmtId="164" fontId="6" fillId="0" borderId="0" xfId="1" applyNumberFormat="1" applyFont="1" applyAlignment="1">
      <alignment horizontal="right"/>
    </xf>
    <xf numFmtId="164" fontId="6" fillId="0" borderId="9" xfId="1" applyNumberFormat="1" applyFont="1" applyBorder="1" applyAlignment="1">
      <alignment horizontal="right"/>
    </xf>
    <xf numFmtId="164" fontId="6" fillId="0" borderId="0" xfId="0" applyNumberFormat="1" applyFont="1" applyAlignment="1">
      <alignment horizontal="right"/>
    </xf>
    <xf numFmtId="0" fontId="2" fillId="0" borderId="1" xfId="0" applyFont="1" applyBorder="1"/>
    <xf numFmtId="0" fontId="2" fillId="0" borderId="1" xfId="0" applyFont="1" applyBorder="1" applyAlignment="1">
      <alignment horizontal="right"/>
    </xf>
    <xf numFmtId="3" fontId="2" fillId="0" borderId="1" xfId="0" applyNumberFormat="1" applyFont="1" applyBorder="1" applyAlignment="1">
      <alignment horizontal="right"/>
    </xf>
    <xf numFmtId="0" fontId="2" fillId="0" borderId="4" xfId="0" applyFont="1" applyBorder="1"/>
    <xf numFmtId="0" fontId="2" fillId="0" borderId="10" xfId="0" applyFont="1" applyBorder="1" applyAlignment="1">
      <alignment horizontal="right"/>
    </xf>
    <xf numFmtId="3" fontId="2" fillId="0" borderId="11" xfId="0" applyNumberFormat="1" applyFont="1" applyBorder="1" applyAlignment="1">
      <alignment horizontal="right"/>
    </xf>
    <xf numFmtId="164" fontId="2" fillId="0" borderId="1" xfId="0" applyNumberFormat="1" applyFont="1" applyBorder="1" applyAlignment="1">
      <alignment horizontal="right"/>
    </xf>
    <xf numFmtId="164" fontId="7" fillId="0" borderId="10" xfId="0" applyNumberFormat="1" applyFont="1" applyBorder="1" applyAlignment="1">
      <alignment horizontal="right"/>
    </xf>
    <xf numFmtId="164" fontId="2" fillId="0" borderId="10" xfId="0" applyNumberFormat="1" applyFont="1" applyBorder="1" applyAlignment="1">
      <alignment horizontal="right"/>
    </xf>
    <xf numFmtId="0" fontId="2" fillId="0" borderId="8" xfId="0" applyFont="1" applyBorder="1"/>
    <xf numFmtId="0" fontId="2" fillId="2" borderId="1" xfId="0" applyFont="1" applyFill="1" applyBorder="1"/>
    <xf numFmtId="0" fontId="4" fillId="0" borderId="0" xfId="0" applyFont="1" applyAlignment="1">
      <alignment vertical="center" wrapText="1"/>
    </xf>
    <xf numFmtId="0" fontId="4" fillId="0" borderId="2" xfId="0" applyFont="1" applyBorder="1" applyAlignment="1">
      <alignment vertical="center" wrapText="1"/>
    </xf>
    <xf numFmtId="0" fontId="0" fillId="0" borderId="1" xfId="0" applyBorder="1"/>
    <xf numFmtId="0" fontId="0" fillId="0" borderId="1" xfId="0" applyBorder="1" applyAlignment="1">
      <alignment horizontal="left"/>
    </xf>
    <xf numFmtId="0" fontId="0" fillId="0" borderId="4" xfId="0" applyBorder="1" applyAlignment="1">
      <alignment vertical="center" wrapText="1"/>
    </xf>
    <xf numFmtId="0" fontId="0" fillId="0" borderId="1" xfId="0" applyBorder="1" applyAlignment="1">
      <alignment horizontal="left" vertical="center"/>
    </xf>
    <xf numFmtId="0" fontId="2" fillId="2" borderId="4" xfId="0" applyFont="1" applyFill="1" applyBorder="1"/>
    <xf numFmtId="0" fontId="2" fillId="2" borderId="5"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wrapText="1"/>
    </xf>
    <xf numFmtId="0" fontId="0" fillId="0" borderId="11" xfId="0" applyBorder="1"/>
    <xf numFmtId="0" fontId="7" fillId="2" borderId="1" xfId="0" applyFont="1" applyFill="1" applyBorder="1"/>
    <xf numFmtId="0" fontId="0" fillId="0" borderId="5" xfId="0" applyBorder="1"/>
    <xf numFmtId="0" fontId="0" fillId="3" borderId="1" xfId="0" applyFill="1" applyBorder="1"/>
    <xf numFmtId="0" fontId="0" fillId="0" borderId="6" xfId="0" applyBorder="1"/>
    <xf numFmtId="0" fontId="10" fillId="0" borderId="0" xfId="0" applyFont="1" applyAlignment="1">
      <alignment horizontal="left" vertical="top" wrapText="1"/>
    </xf>
    <xf numFmtId="0" fontId="10" fillId="0" borderId="0" xfId="0" applyFont="1" applyAlignment="1">
      <alignment horizontal="left" vertical="top"/>
    </xf>
    <xf numFmtId="0" fontId="0" fillId="0" borderId="0" xfId="0"/>
    <xf numFmtId="0" fontId="2"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12" xfId="0" applyBorder="1" applyAlignment="1">
      <alignment horizontal="left" vertical="top" wrapText="1"/>
    </xf>
    <xf numFmtId="0" fontId="0" fillId="0" borderId="12" xfId="0" applyBorder="1" applyAlignment="1">
      <alignment horizontal="left" vertical="top"/>
    </xf>
    <xf numFmtId="0" fontId="11" fillId="0" borderId="0" xfId="0" applyFont="1" applyAlignment="1">
      <alignment horizontal="left" vertical="top" wrapText="1"/>
    </xf>
    <xf numFmtId="2" fontId="0" fillId="0" borderId="0" xfId="0" applyNumberFormat="1" applyAlignment="1">
      <alignment horizontal="left" vertical="top" wrapText="1"/>
    </xf>
    <xf numFmtId="0" fontId="1" fillId="0" borderId="0" xfId="0" applyFont="1" applyAlignment="1">
      <alignment vertical="top"/>
    </xf>
    <xf numFmtId="0" fontId="0" fillId="0" borderId="0" xfId="0" applyAlignment="1">
      <alignment vertical="top"/>
    </xf>
    <xf numFmtId="0" fontId="2" fillId="0" borderId="0" xfId="0" applyFont="1" applyAlignment="1">
      <alignment vertical="top"/>
    </xf>
    <xf numFmtId="0" fontId="3"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14" fontId="0" fillId="0" borderId="0" xfId="0" applyNumberFormat="1" applyAlignment="1">
      <alignment horizontal="left" vertical="top"/>
    </xf>
    <xf numFmtId="0" fontId="0" fillId="0" borderId="0" xfId="0" applyAlignment="1">
      <alignment vertical="top" wrapText="1"/>
    </xf>
    <xf numFmtId="0" fontId="2" fillId="0" borderId="0" xfId="0" applyFont="1" applyAlignment="1">
      <alignment horizontal="left" vertical="top" wrapText="1"/>
    </xf>
    <xf numFmtId="0" fontId="0" fillId="0" borderId="12" xfId="0" applyBorder="1"/>
    <xf numFmtId="0" fontId="2" fillId="0" borderId="12" xfId="0" applyFont="1" applyBorder="1" applyAlignment="1">
      <alignment horizontal="left" vertical="top" wrapText="1"/>
    </xf>
    <xf numFmtId="0" fontId="0" fillId="0" borderId="12" xfId="0" applyBorder="1"/>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Basistabelle" displayName="Basistabelle" ref="A1:DG1044">
  <autoFilter ref="A1:DG1044"/>
  <tableColumns count="111">
    <tableColumn id="1" name="Gruppe"/>
    <tableColumn id="2" name="digi"/>
    <tableColumn id="3" name="Restaurierung"/>
    <tableColumn id="4" name="Whitelist"/>
    <tableColumn id="5" name="Lfd Nr."/>
    <tableColumn id="6" name="Link zum Portal"/>
    <tableColumn id="7" name="bbg"/>
    <tableColumn id="8" name="AKZ"/>
    <tableColumn id="9" name="IDN"/>
    <tableColumn id="10" name="signatur_g"/>
    <tableColumn id="11" name="signatur_a"/>
    <tableColumn id="12" name="Signatur"/>
    <tableColumn id="13" name="steht bei_x000a_/ Anm._x000a_zur_x000a_Signatur"/>
    <tableColumn id="14" name="titel"/>
    <tableColumn id="15" name="stuecktitel"/>
    <tableColumn id="16" name="Provenienzmerkmal"/>
    <tableColumn id="17" name="wert"/>
    <tableColumn id="18" name="Material"/>
    <tableColumn id="19" name="Format"/>
    <tableColumn id="20" name="Öffnungswinkel"/>
    <tableColumn id="21" name="Einschränkungen"/>
    <tableColumn id="22" name="Glasplatte "/>
    <tableColumn id="23" name="Verpackung"/>
    <tableColumn id="24" name="Verpackung austauschen "/>
    <tableColumn id="25" name="Schadensklasse"/>
    <tableColumn id="26" name="notwendige Reparatur(en) vor der Digitalisierung, notwendige Reparatur(en) vor der Digitalisierung"/>
    <tableColumn id="27" name="Bemerkungen"/>
    <tableColumn id="28" name="Fragen/ Hinweise_x000a_an DBSM"/>
    <tableColumn id="29" name="Fragen an M. Steinberg"/>
    <tableColumn id="30" name="nicht_x000a_am Stand-ort"/>
    <tableColumn id="31" name="Größe ÜF_x000a_(BxH)"/>
    <tableColumn id="32" name="Breite_x000a_(nur Ausreißer)"/>
    <tableColumn id="33" name="Dicke_x000a_(&gt;12 cm)"/>
    <tableColumn id="34" name="12° Format_x000a_(&lt;15 cm)"/>
    <tableColumn id="35" name="Einband-_x000a_art"/>
    <tableColumn id="36" name="Einbandart Kommentar"/>
    <tableColumn id="37" name="Einband über-_x000a_formt (ganz od. teilweise)"/>
    <tableColumn id="38" name="Buch bereits restau-riert"/>
    <tableColumn id="39" name="hohler/_x000a_fester Rücken (mit Einlage/_x000a_Vergoldung?)"/>
    <tableColumn id="40" name="Steh-_x000a_kanten_x000a_(bei Perg.)"/>
    <tableColumn id="41" name="Leder pudert ab/roter Zerfall (extrem)"/>
    <tableColumn id="42" name="Einband stark defor-miert"/>
    <tableColumn id="43" name="Be-schläge bes. auftra-gend"/>
    <tableColumn id="44" name="Buch-schließe steif"/>
    <tableColumn id="45" name="Buch-block Pa./Perg."/>
    <tableColumn id="46" name="saures Füll-material"/>
    <tableColumn id="47" name="Register-marken"/>
    <tableColumn id="48" name="seitliche Heftung"/>
    <tableColumn id="49" name="Buch-block sehr wellig"/>
    <tableColumn id="50" name="Buch-block neigt zum &quot;Bauch&quot;"/>
    <tableColumn id="51" name="ge-schloss-ene Lagen"/>
    <tableColumn id="52" name="Falttafeln"/>
    <tableColumn id="53" name="Größe Buch+_x000a_Falttafeln (BxH)"/>
    <tableColumn id="54" name="Original-grafik"/>
    <tableColumn id="55" name="Kolorier-ung / Buch-malerei / Initialen / Rubri-kation"/>
    <tableColumn id="56" name="berühr-ungsfreie Digit."/>
    <tableColumn id="57" name="Schrift weit bis in den Falz (Bund-steg in mm) Text-verlust"/>
    <tableColumn id="58" name="nicht digitali-sierbar wegen Bund-steg (vorraus-sichtlich)"/>
    <tableColumn id="59" name="max. Öffnungs-winkel"/>
    <tableColumn id="60" name="max. Öffnungs-winkel Kommentar"/>
    <tableColumn id="61" name="Digit. mit Begleit-ung"/>
    <tableColumn id="62" name="Digit. mit Begleit-ung Kommentar"/>
    <tableColumn id="63" name="Rest.-Bericht einge-klebt"/>
    <tableColumn id="64" name="Blatt mit Notizen zum Buch eingeklebt "/>
    <tableColumn id="65" name="Rest._x000a_not-wendig (ja/nein) (vor/nach der Digit.)"/>
    <tableColumn id="66" name="Rest.-_x000a_Aufwand gesamt_x000a_(in Std.)"/>
    <tableColumn id="67" name="Rest._x000a_erfolgt"/>
    <tableColumn id="68" name="Kassette"/>
    <tableColumn id="69" name="Schuber"/>
    <tableColumn id="70" name="Buch-schuh"/>
    <tableColumn id="71" name="Mappe "/>
    <tableColumn id="72" name="Um-schlag"/>
    <tableColumn id="73" name="SB neu"/>
    <tableColumn id="74" name="Anmerkungen (allg.)"/>
    <tableColumn id="75" name="für Testphase_x000a_vorsehen"/>
    <tableColumn id="76" name="für Testphase_x000a_vorsehen Kommentar"/>
    <tableColumn id="77" name="Schutzbehältnis empfohlen"/>
    <tableColumn id="78" name="Foto für Erheb. Rest. angefertigt (ab August)"/>
    <tableColumn id="79" name="feuchte-empfind-liches Leder"/>
    <tableColumn id="80" name="Material am Rücken/_x000a_Einband lose / eingeris-sen (auch Titelschild)"/>
    <tableColumn id="81" name="Narben spaltet sich ab"/>
    <tableColumn id="82" name="Gelenk(e) _x000a_an/durch-gebro-chen"/>
    <tableColumn id="83" name="Bünde gebro-chen (Anzahl)"/>
    <tableColumn id="84" name="Rücken lose/_x000a_halb lose"/>
    <tableColumn id="85" name="Be-schläge locker"/>
    <tableColumn id="86" name="Buch_x000a_schließe fragil"/>
    <tableColumn id="87" name="Deckel spaltet sich / Fehlstelle im Deckel"/>
    <tableColumn id="88" name="Deckel gebro-chen"/>
    <tableColumn id="89" name="Deckel lose / halb lose"/>
    <tableColumn id="90" name="Kapital fragil/_x000a_lose"/>
    <tableColumn id="91" name="Rest.-Aufwand Einband_x000a_(in Std.)"/>
    <tableColumn id="92" name="Anmerkungen für die Restaurierung am Einband"/>
    <tableColumn id="93" name="Ver-schmutz-ung (Vorsatz / Ränder /_x000a_ges. BB)"/>
    <tableColumn id="94" name="mikro-bieller Befall"/>
    <tableColumn id="95" name="Farb-schicht pudert"/>
    <tableColumn id="96" name="Buch-block / Seiten verblockt"/>
    <tableColumn id="97" name="erste / letzte Lage oder Seiten lose"/>
    <tableColumn id="98" name="(halb-) lose Seiten im BB"/>
    <tableColumn id="99" name="Heftung zerstört"/>
    <tableColumn id="100" name="Risse / Fehl-stellen im Vorsatz"/>
    <tableColumn id="101" name="Risse im Text-bereich / an exponier-ter Stelle (z.B. Ecke)"/>
    <tableColumn id="102" name="Risse am Rand"/>
    <tableColumn id="103" name="Fehl-stellen im BB_x000a_(groß) "/>
    <tableColumn id="104" name="Insekten-fraß (stark)"/>
    <tableColumn id="105" name="Falten / Knicke"/>
    <tableColumn id="106" name="saures /_x000a_brüchiges Papier"/>
    <tableColumn id="107" name="Tinten-/ Farbfraß (akut)"/>
    <tableColumn id="108" name="Register-marken fragil"/>
    <tableColumn id="109" name="Klebe-_x000a_streifen ablösen"/>
    <tableColumn id="110" name="Rest.-Aufwand Buchblock_x000a_(in Std.)"/>
    <tableColumn id="111" name="Anmerkungen für die Restaurierung am Buchblock"/>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1044"/>
  <sheetViews>
    <sheetView tabSelected="1" topLeftCell="CN1" workbookViewId="0">
      <selection activeCell="DH1" sqref="DH1:DH1048576"/>
    </sheetView>
  </sheetViews>
  <sheetFormatPr baseColWidth="10" defaultColWidth="8.796875" defaultRowHeight="11.4" x14ac:dyDescent="0.2"/>
  <sheetData>
    <row r="1" spans="1:11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row>
    <row r="2" spans="1:111" x14ac:dyDescent="0.2">
      <c r="A2" t="s">
        <v>111</v>
      </c>
      <c r="B2" t="b">
        <v>0</v>
      </c>
      <c r="F2" t="str">
        <f>HYPERLINK("https://portal.dnb.de/opac.htm?method=simpleSearch&amp;cqlMode=true&amp;query=idn%3D", "Portal")</f>
        <v>Portal</v>
      </c>
    </row>
    <row r="3" spans="1:111" x14ac:dyDescent="0.2">
      <c r="A3" t="s">
        <v>111</v>
      </c>
      <c r="B3" t="b">
        <v>1</v>
      </c>
      <c r="E3">
        <v>1200</v>
      </c>
      <c r="F3" t="str">
        <f>HYPERLINK("https://portal.dnb.de/opac.htm?method=simpleSearch&amp;cqlMode=true&amp;query=idn%3D1000933296", "Portal")</f>
        <v>Portal</v>
      </c>
      <c r="G3" t="s">
        <v>112</v>
      </c>
      <c r="H3" t="s">
        <v>113</v>
      </c>
      <c r="I3" t="s">
        <v>114</v>
      </c>
      <c r="J3" t="s">
        <v>115</v>
      </c>
      <c r="K3" t="s">
        <v>115</v>
      </c>
      <c r="L3" t="s">
        <v>115</v>
      </c>
      <c r="N3" t="s">
        <v>116</v>
      </c>
      <c r="O3" t="s">
        <v>117</v>
      </c>
      <c r="P3" t="s">
        <v>118</v>
      </c>
      <c r="Q3" t="s">
        <v>119</v>
      </c>
      <c r="R3" t="s">
        <v>120</v>
      </c>
      <c r="S3" t="s">
        <v>121</v>
      </c>
      <c r="T3" t="s">
        <v>122</v>
      </c>
      <c r="U3" t="s">
        <v>123</v>
      </c>
      <c r="W3" t="s">
        <v>68</v>
      </c>
      <c r="X3" t="s">
        <v>124</v>
      </c>
      <c r="Y3">
        <v>0</v>
      </c>
      <c r="BN3">
        <v>0</v>
      </c>
    </row>
    <row r="4" spans="1:111" x14ac:dyDescent="0.2">
      <c r="A4" t="s">
        <v>111</v>
      </c>
      <c r="B4" t="b">
        <v>1</v>
      </c>
      <c r="E4">
        <v>1</v>
      </c>
      <c r="F4" t="str">
        <f>HYPERLINK("https://portal.dnb.de/opac.htm?method=simpleSearch&amp;cqlMode=true&amp;query=idn%3D1066859469", "Portal")</f>
        <v>Portal</v>
      </c>
      <c r="G4" t="s">
        <v>125</v>
      </c>
      <c r="H4" t="s">
        <v>126</v>
      </c>
      <c r="I4" t="s">
        <v>127</v>
      </c>
      <c r="J4" t="s">
        <v>128</v>
      </c>
      <c r="K4" t="s">
        <v>128</v>
      </c>
      <c r="L4" t="s">
        <v>128</v>
      </c>
      <c r="N4" t="s">
        <v>129</v>
      </c>
      <c r="O4" t="s">
        <v>117</v>
      </c>
      <c r="P4" t="s">
        <v>118</v>
      </c>
      <c r="R4" t="s">
        <v>120</v>
      </c>
      <c r="S4" t="s">
        <v>121</v>
      </c>
      <c r="T4" t="s">
        <v>130</v>
      </c>
      <c r="U4" t="s">
        <v>131</v>
      </c>
      <c r="Y4">
        <v>3</v>
      </c>
      <c r="AH4" t="s">
        <v>132</v>
      </c>
      <c r="AI4" t="s">
        <v>133</v>
      </c>
      <c r="AL4" t="s">
        <v>132</v>
      </c>
      <c r="AM4" t="s">
        <v>134</v>
      </c>
      <c r="AS4" t="s">
        <v>135</v>
      </c>
      <c r="BC4" t="s">
        <v>136</v>
      </c>
      <c r="BD4" t="s">
        <v>132</v>
      </c>
      <c r="BE4">
        <v>4</v>
      </c>
      <c r="BF4" t="s">
        <v>132</v>
      </c>
      <c r="BG4">
        <v>45</v>
      </c>
      <c r="BM4" t="s">
        <v>137</v>
      </c>
      <c r="BN4">
        <v>0</v>
      </c>
      <c r="BV4" t="s">
        <v>138</v>
      </c>
      <c r="BW4" t="s">
        <v>139</v>
      </c>
      <c r="BX4" t="s">
        <v>140</v>
      </c>
    </row>
    <row r="5" spans="1:111" x14ac:dyDescent="0.2">
      <c r="A5" t="s">
        <v>111</v>
      </c>
      <c r="B5" t="b">
        <v>1</v>
      </c>
      <c r="E5">
        <v>2</v>
      </c>
      <c r="F5" t="str">
        <f>HYPERLINK("https://portal.dnb.de/opac.htm?method=simpleSearch&amp;cqlMode=true&amp;query=idn%3D1066859000", "Portal")</f>
        <v>Portal</v>
      </c>
      <c r="G5" t="s">
        <v>125</v>
      </c>
      <c r="H5" t="s">
        <v>141</v>
      </c>
      <c r="I5" t="s">
        <v>142</v>
      </c>
      <c r="J5" t="s">
        <v>143</v>
      </c>
      <c r="K5" t="s">
        <v>143</v>
      </c>
      <c r="L5" t="s">
        <v>143</v>
      </c>
      <c r="N5" t="s">
        <v>144</v>
      </c>
      <c r="O5" t="s">
        <v>117</v>
      </c>
      <c r="P5" t="s">
        <v>118</v>
      </c>
      <c r="R5" t="s">
        <v>145</v>
      </c>
      <c r="S5" t="s">
        <v>146</v>
      </c>
      <c r="T5" t="s">
        <v>122</v>
      </c>
      <c r="U5" t="s">
        <v>131</v>
      </c>
      <c r="W5" t="s">
        <v>147</v>
      </c>
      <c r="X5" t="s">
        <v>124</v>
      </c>
      <c r="Y5">
        <v>3</v>
      </c>
      <c r="AA5" t="s">
        <v>148</v>
      </c>
      <c r="AI5" t="s">
        <v>149</v>
      </c>
      <c r="AM5" t="s">
        <v>150</v>
      </c>
      <c r="AS5" t="s">
        <v>135</v>
      </c>
      <c r="BG5">
        <v>110</v>
      </c>
      <c r="BM5" t="s">
        <v>137</v>
      </c>
      <c r="BN5">
        <v>0</v>
      </c>
      <c r="BR5" t="s">
        <v>132</v>
      </c>
      <c r="BV5" t="s">
        <v>151</v>
      </c>
      <c r="BW5" t="s">
        <v>152</v>
      </c>
      <c r="BX5" t="s">
        <v>140</v>
      </c>
    </row>
    <row r="6" spans="1:111" x14ac:dyDescent="0.2">
      <c r="A6" t="s">
        <v>111</v>
      </c>
      <c r="B6" t="b">
        <v>1</v>
      </c>
      <c r="E6">
        <v>3</v>
      </c>
      <c r="F6" t="str">
        <f>HYPERLINK("https://portal.dnb.de/opac.htm?method=simpleSearch&amp;cqlMode=true&amp;query=idn%3D1003653014", "Portal")</f>
        <v>Portal</v>
      </c>
      <c r="G6" t="s">
        <v>112</v>
      </c>
      <c r="H6" t="s">
        <v>153</v>
      </c>
      <c r="I6" t="s">
        <v>154</v>
      </c>
      <c r="J6" t="s">
        <v>155</v>
      </c>
      <c r="K6" t="s">
        <v>155</v>
      </c>
      <c r="L6" t="s">
        <v>155</v>
      </c>
      <c r="N6" t="s">
        <v>156</v>
      </c>
      <c r="O6" t="s">
        <v>117</v>
      </c>
      <c r="P6" t="s">
        <v>118</v>
      </c>
      <c r="R6" t="s">
        <v>157</v>
      </c>
      <c r="S6" t="s">
        <v>121</v>
      </c>
      <c r="T6" t="s">
        <v>130</v>
      </c>
      <c r="U6" t="s">
        <v>158</v>
      </c>
      <c r="W6" t="s">
        <v>67</v>
      </c>
      <c r="X6" t="s">
        <v>124</v>
      </c>
      <c r="Y6">
        <v>1</v>
      </c>
      <c r="AM6">
        <v>3</v>
      </c>
      <c r="BN6">
        <v>0</v>
      </c>
    </row>
    <row r="7" spans="1:111" x14ac:dyDescent="0.2">
      <c r="A7" t="s">
        <v>111</v>
      </c>
      <c r="B7" t="b">
        <v>1</v>
      </c>
      <c r="E7">
        <v>4</v>
      </c>
      <c r="F7" t="str">
        <f>HYPERLINK("https://portal.dnb.de/opac.htm?method=simpleSearch&amp;cqlMode=true&amp;query=idn%3D999397737", "Portal")</f>
        <v>Portal</v>
      </c>
      <c r="G7" t="s">
        <v>112</v>
      </c>
      <c r="H7" t="s">
        <v>159</v>
      </c>
      <c r="I7" t="s">
        <v>160</v>
      </c>
      <c r="J7" t="s">
        <v>161</v>
      </c>
      <c r="K7" t="s">
        <v>161</v>
      </c>
      <c r="L7" t="s">
        <v>161</v>
      </c>
      <c r="N7" t="s">
        <v>162</v>
      </c>
      <c r="O7" t="s">
        <v>117</v>
      </c>
      <c r="R7" t="s">
        <v>163</v>
      </c>
      <c r="S7" t="s">
        <v>121</v>
      </c>
      <c r="T7" t="s">
        <v>130</v>
      </c>
      <c r="U7" t="s">
        <v>131</v>
      </c>
      <c r="Y7">
        <v>0</v>
      </c>
      <c r="BN7">
        <v>0</v>
      </c>
    </row>
    <row r="8" spans="1:111" x14ac:dyDescent="0.2">
      <c r="A8" t="s">
        <v>111</v>
      </c>
      <c r="B8" t="b">
        <v>1</v>
      </c>
      <c r="E8">
        <v>5</v>
      </c>
      <c r="F8" t="str">
        <f>HYPERLINK("https://portal.dnb.de/opac.htm?method=simpleSearch&amp;cqlMode=true&amp;query=idn%3D1001530470", "Portal")</f>
        <v>Portal</v>
      </c>
      <c r="G8" t="s">
        <v>112</v>
      </c>
      <c r="H8" t="s">
        <v>164</v>
      </c>
      <c r="I8" t="s">
        <v>165</v>
      </c>
      <c r="J8" t="s">
        <v>166</v>
      </c>
      <c r="K8" t="s">
        <v>166</v>
      </c>
      <c r="L8" t="s">
        <v>166</v>
      </c>
      <c r="N8" t="s">
        <v>167</v>
      </c>
      <c r="O8" t="s">
        <v>117</v>
      </c>
      <c r="P8" t="s">
        <v>118</v>
      </c>
      <c r="R8" t="s">
        <v>157</v>
      </c>
      <c r="S8" t="s">
        <v>121</v>
      </c>
      <c r="T8" t="s">
        <v>130</v>
      </c>
      <c r="U8" t="s">
        <v>131</v>
      </c>
      <c r="X8" t="s">
        <v>168</v>
      </c>
      <c r="Y8">
        <v>0</v>
      </c>
      <c r="BN8">
        <v>0</v>
      </c>
    </row>
    <row r="9" spans="1:111" x14ac:dyDescent="0.2">
      <c r="A9" t="s">
        <v>111</v>
      </c>
      <c r="B9" t="b">
        <v>1</v>
      </c>
      <c r="E9">
        <v>6</v>
      </c>
      <c r="F9" t="str">
        <f>HYPERLINK("https://portal.dnb.de/opac.htm?method=simpleSearch&amp;cqlMode=true&amp;query=idn%3D999996789", "Portal")</f>
        <v>Portal</v>
      </c>
      <c r="G9" t="s">
        <v>112</v>
      </c>
      <c r="H9" t="s">
        <v>169</v>
      </c>
      <c r="I9" t="s">
        <v>170</v>
      </c>
      <c r="J9" t="s">
        <v>171</v>
      </c>
      <c r="K9" t="s">
        <v>171</v>
      </c>
      <c r="L9" t="s">
        <v>171</v>
      </c>
      <c r="N9" t="s">
        <v>172</v>
      </c>
      <c r="O9" t="s">
        <v>117</v>
      </c>
      <c r="P9" t="s">
        <v>118</v>
      </c>
      <c r="R9" t="s">
        <v>157</v>
      </c>
      <c r="S9" t="s">
        <v>121</v>
      </c>
      <c r="T9" t="s">
        <v>130</v>
      </c>
      <c r="U9" t="s">
        <v>173</v>
      </c>
      <c r="W9" t="s">
        <v>67</v>
      </c>
      <c r="X9" t="s">
        <v>124</v>
      </c>
      <c r="Y9">
        <v>0</v>
      </c>
      <c r="BN9">
        <v>0</v>
      </c>
    </row>
    <row r="10" spans="1:111" x14ac:dyDescent="0.2">
      <c r="A10" t="s">
        <v>111</v>
      </c>
      <c r="B10" t="b">
        <v>1</v>
      </c>
      <c r="C10" t="s">
        <v>132</v>
      </c>
      <c r="E10">
        <v>7</v>
      </c>
      <c r="F10" t="str">
        <f>HYPERLINK("https://portal.dnb.de/opac.htm?method=simpleSearch&amp;cqlMode=true&amp;query=idn%3D998774278", "Portal")</f>
        <v>Portal</v>
      </c>
      <c r="G10" t="s">
        <v>112</v>
      </c>
      <c r="H10" t="s">
        <v>174</v>
      </c>
      <c r="I10" t="s">
        <v>175</v>
      </c>
      <c r="J10" t="s">
        <v>176</v>
      </c>
      <c r="K10" t="s">
        <v>176</v>
      </c>
      <c r="L10" t="s">
        <v>176</v>
      </c>
      <c r="N10" t="s">
        <v>177</v>
      </c>
      <c r="O10" t="s">
        <v>117</v>
      </c>
      <c r="P10" t="s">
        <v>118</v>
      </c>
      <c r="R10" t="s">
        <v>120</v>
      </c>
      <c r="S10" t="s">
        <v>121</v>
      </c>
      <c r="T10" t="s">
        <v>130</v>
      </c>
      <c r="U10" t="s">
        <v>178</v>
      </c>
      <c r="W10" t="s">
        <v>67</v>
      </c>
      <c r="X10" t="s">
        <v>124</v>
      </c>
      <c r="Y10">
        <v>1</v>
      </c>
      <c r="AI10" t="s">
        <v>133</v>
      </c>
      <c r="AM10" t="s">
        <v>179</v>
      </c>
      <c r="AS10" t="s">
        <v>135</v>
      </c>
      <c r="BG10">
        <v>45</v>
      </c>
      <c r="BM10" t="s">
        <v>180</v>
      </c>
      <c r="BN10">
        <v>1</v>
      </c>
      <c r="BP10" t="s">
        <v>181</v>
      </c>
      <c r="BV10" t="s">
        <v>182</v>
      </c>
      <c r="BW10" t="s">
        <v>139</v>
      </c>
      <c r="BX10" t="s">
        <v>183</v>
      </c>
      <c r="BZ10" t="s">
        <v>132</v>
      </c>
      <c r="CA10" t="s">
        <v>132</v>
      </c>
      <c r="CB10" t="s">
        <v>132</v>
      </c>
      <c r="CD10" t="s">
        <v>184</v>
      </c>
      <c r="CL10" t="s">
        <v>132</v>
      </c>
      <c r="CM10">
        <v>1</v>
      </c>
      <c r="CN10" t="s">
        <v>185</v>
      </c>
    </row>
    <row r="11" spans="1:111" x14ac:dyDescent="0.2">
      <c r="A11" t="s">
        <v>111</v>
      </c>
      <c r="B11" t="b">
        <v>1</v>
      </c>
      <c r="E11">
        <v>8</v>
      </c>
      <c r="F11" t="str">
        <f>HYPERLINK("https://portal.dnb.de/opac.htm?method=simpleSearch&amp;cqlMode=true&amp;query=idn%3D994470045", "Portal")</f>
        <v>Portal</v>
      </c>
      <c r="G11" t="s">
        <v>112</v>
      </c>
      <c r="H11" t="s">
        <v>186</v>
      </c>
      <c r="I11" t="s">
        <v>187</v>
      </c>
      <c r="J11" t="s">
        <v>188</v>
      </c>
      <c r="K11" t="s">
        <v>188</v>
      </c>
      <c r="L11" t="s">
        <v>188</v>
      </c>
      <c r="N11" t="s">
        <v>189</v>
      </c>
      <c r="O11" t="s">
        <v>117</v>
      </c>
      <c r="P11" t="s">
        <v>118</v>
      </c>
      <c r="R11" t="s">
        <v>190</v>
      </c>
      <c r="S11" t="s">
        <v>121</v>
      </c>
      <c r="T11" t="s">
        <v>130</v>
      </c>
      <c r="U11" t="s">
        <v>123</v>
      </c>
      <c r="W11" t="s">
        <v>67</v>
      </c>
      <c r="X11" t="s">
        <v>124</v>
      </c>
      <c r="Y11">
        <v>0</v>
      </c>
      <c r="BN11">
        <v>0</v>
      </c>
    </row>
    <row r="12" spans="1:111" x14ac:dyDescent="0.2">
      <c r="A12" t="s">
        <v>111</v>
      </c>
      <c r="B12" t="b">
        <v>1</v>
      </c>
      <c r="C12" t="s">
        <v>132</v>
      </c>
      <c r="E12">
        <v>9</v>
      </c>
      <c r="F12" t="str">
        <f>HYPERLINK("https://portal.dnb.de/opac.htm?method=simpleSearch&amp;cqlMode=true&amp;query=idn%3D1066835527", "Portal")</f>
        <v>Portal</v>
      </c>
      <c r="G12" t="s">
        <v>125</v>
      </c>
      <c r="H12" t="s">
        <v>191</v>
      </c>
      <c r="I12" t="s">
        <v>192</v>
      </c>
      <c r="J12" t="s">
        <v>193</v>
      </c>
      <c r="K12" t="s">
        <v>193</v>
      </c>
      <c r="L12" t="s">
        <v>193</v>
      </c>
      <c r="N12" t="s">
        <v>194</v>
      </c>
      <c r="O12" t="s">
        <v>117</v>
      </c>
      <c r="P12" t="s">
        <v>118</v>
      </c>
      <c r="R12" t="s">
        <v>145</v>
      </c>
      <c r="S12" t="s">
        <v>146</v>
      </c>
      <c r="T12" t="s">
        <v>130</v>
      </c>
      <c r="U12" t="s">
        <v>195</v>
      </c>
      <c r="W12" t="s">
        <v>67</v>
      </c>
      <c r="X12" t="s">
        <v>124</v>
      </c>
      <c r="Y12">
        <v>2</v>
      </c>
      <c r="AI12" t="s">
        <v>149</v>
      </c>
      <c r="AK12" t="s">
        <v>132</v>
      </c>
      <c r="AM12" t="s">
        <v>196</v>
      </c>
      <c r="AO12" t="s">
        <v>132</v>
      </c>
      <c r="AS12" t="s">
        <v>135</v>
      </c>
      <c r="BG12">
        <v>110</v>
      </c>
      <c r="BM12" t="s">
        <v>180</v>
      </c>
      <c r="BN12">
        <v>2</v>
      </c>
      <c r="BP12" t="s">
        <v>181</v>
      </c>
      <c r="BW12" t="s">
        <v>152</v>
      </c>
      <c r="BX12" t="s">
        <v>197</v>
      </c>
      <c r="BY12" t="s">
        <v>198</v>
      </c>
      <c r="BZ12" t="s">
        <v>132</v>
      </c>
      <c r="CA12" t="s">
        <v>132</v>
      </c>
      <c r="CB12" t="s">
        <v>132</v>
      </c>
      <c r="CM12">
        <v>2</v>
      </c>
    </row>
    <row r="13" spans="1:111" x14ac:dyDescent="0.2">
      <c r="A13" t="s">
        <v>111</v>
      </c>
      <c r="B13" t="b">
        <v>1</v>
      </c>
      <c r="C13" t="s">
        <v>132</v>
      </c>
      <c r="E13">
        <v>10</v>
      </c>
      <c r="F13" t="str">
        <f>HYPERLINK("https://portal.dnb.de/opac.htm?method=simpleSearch&amp;cqlMode=true&amp;query=idn%3D1066964440", "Portal")</f>
        <v>Portal</v>
      </c>
      <c r="G13" t="s">
        <v>125</v>
      </c>
      <c r="H13" t="s">
        <v>199</v>
      </c>
      <c r="I13" t="s">
        <v>200</v>
      </c>
      <c r="J13" t="s">
        <v>201</v>
      </c>
      <c r="K13" t="s">
        <v>201</v>
      </c>
      <c r="L13" t="s">
        <v>201</v>
      </c>
      <c r="N13" t="s">
        <v>202</v>
      </c>
      <c r="O13" t="s">
        <v>117</v>
      </c>
      <c r="R13" t="s">
        <v>145</v>
      </c>
      <c r="S13" t="s">
        <v>121</v>
      </c>
      <c r="T13" t="s">
        <v>122</v>
      </c>
      <c r="U13" t="s">
        <v>203</v>
      </c>
      <c r="W13" t="s">
        <v>147</v>
      </c>
      <c r="X13" t="s">
        <v>124</v>
      </c>
      <c r="Y13">
        <v>0</v>
      </c>
      <c r="AI13" t="s">
        <v>133</v>
      </c>
      <c r="AK13" t="s">
        <v>132</v>
      </c>
      <c r="AL13" t="s">
        <v>132</v>
      </c>
      <c r="AM13" t="s">
        <v>134</v>
      </c>
      <c r="AS13" t="s">
        <v>135</v>
      </c>
      <c r="AT13" t="s">
        <v>132</v>
      </c>
      <c r="BG13">
        <v>80</v>
      </c>
      <c r="BM13" t="s">
        <v>180</v>
      </c>
      <c r="BN13">
        <v>0.5</v>
      </c>
      <c r="BR13" t="s">
        <v>132</v>
      </c>
      <c r="BZ13" t="s">
        <v>132</v>
      </c>
      <c r="CD13" t="s">
        <v>204</v>
      </c>
      <c r="CM13">
        <v>0.5</v>
      </c>
      <c r="CN13" t="s">
        <v>205</v>
      </c>
    </row>
    <row r="14" spans="1:111" x14ac:dyDescent="0.2">
      <c r="A14" t="s">
        <v>111</v>
      </c>
      <c r="B14" t="b">
        <v>1</v>
      </c>
      <c r="E14">
        <v>66</v>
      </c>
      <c r="F14" t="str">
        <f>HYPERLINK("https://portal.dnb.de/opac.htm?method=simpleSearch&amp;cqlMode=true&amp;query=idn%3D106680012X", "Portal")</f>
        <v>Portal</v>
      </c>
      <c r="G14" t="s">
        <v>125</v>
      </c>
      <c r="H14" t="s">
        <v>206</v>
      </c>
      <c r="I14" t="s">
        <v>207</v>
      </c>
      <c r="J14" t="s">
        <v>208</v>
      </c>
      <c r="K14" t="s">
        <v>208</v>
      </c>
      <c r="L14" t="s">
        <v>208</v>
      </c>
      <c r="N14" t="s">
        <v>209</v>
      </c>
      <c r="O14" t="s">
        <v>117</v>
      </c>
      <c r="P14" t="s">
        <v>118</v>
      </c>
      <c r="R14" t="s">
        <v>157</v>
      </c>
      <c r="S14" t="s">
        <v>121</v>
      </c>
      <c r="T14" t="s">
        <v>130</v>
      </c>
      <c r="U14" t="s">
        <v>210</v>
      </c>
      <c r="Y14">
        <v>0</v>
      </c>
      <c r="BN14">
        <v>0</v>
      </c>
    </row>
    <row r="15" spans="1:111" x14ac:dyDescent="0.2">
      <c r="A15" t="s">
        <v>111</v>
      </c>
      <c r="B15" t="b">
        <v>1</v>
      </c>
      <c r="E15">
        <v>11</v>
      </c>
      <c r="F15" t="str">
        <f>HYPERLINK("https://portal.dnb.de/opac.htm?method=simpleSearch&amp;cqlMode=true&amp;query=idn%3D1066941645", "Portal")</f>
        <v>Portal</v>
      </c>
      <c r="G15" t="s">
        <v>125</v>
      </c>
      <c r="H15" t="s">
        <v>211</v>
      </c>
      <c r="I15" t="s">
        <v>212</v>
      </c>
      <c r="J15" t="s">
        <v>213</v>
      </c>
      <c r="K15" t="s">
        <v>213</v>
      </c>
      <c r="L15" t="s">
        <v>213</v>
      </c>
      <c r="N15" t="s">
        <v>214</v>
      </c>
      <c r="O15" t="s">
        <v>117</v>
      </c>
      <c r="P15" t="s">
        <v>118</v>
      </c>
      <c r="R15" t="s">
        <v>120</v>
      </c>
      <c r="S15" t="s">
        <v>146</v>
      </c>
      <c r="T15" t="s">
        <v>122</v>
      </c>
      <c r="U15" t="s">
        <v>203</v>
      </c>
      <c r="Y15">
        <v>0</v>
      </c>
      <c r="BN15">
        <v>0</v>
      </c>
    </row>
    <row r="16" spans="1:111" x14ac:dyDescent="0.2">
      <c r="A16" t="s">
        <v>111</v>
      </c>
      <c r="B16" t="b">
        <v>1</v>
      </c>
      <c r="E16">
        <v>12</v>
      </c>
      <c r="F16" t="str">
        <f>HYPERLINK("https://portal.dnb.de/opac.htm?method=simpleSearch&amp;cqlMode=true&amp;query=idn%3D1066961646", "Portal")</f>
        <v>Portal</v>
      </c>
      <c r="G16" t="s">
        <v>125</v>
      </c>
      <c r="H16" t="s">
        <v>215</v>
      </c>
      <c r="I16" t="s">
        <v>216</v>
      </c>
      <c r="J16" t="s">
        <v>217</v>
      </c>
      <c r="K16" t="s">
        <v>217</v>
      </c>
      <c r="L16" t="s">
        <v>217</v>
      </c>
      <c r="N16" t="s">
        <v>218</v>
      </c>
      <c r="O16" t="s">
        <v>117</v>
      </c>
      <c r="P16" t="s">
        <v>118</v>
      </c>
      <c r="R16" t="s">
        <v>145</v>
      </c>
      <c r="S16" t="s">
        <v>146</v>
      </c>
      <c r="T16" t="s">
        <v>130</v>
      </c>
      <c r="W16" t="s">
        <v>147</v>
      </c>
      <c r="X16" t="s">
        <v>124</v>
      </c>
      <c r="Y16">
        <v>0</v>
      </c>
      <c r="BN16">
        <v>0</v>
      </c>
    </row>
    <row r="17" spans="1:66" x14ac:dyDescent="0.2">
      <c r="A17" t="s">
        <v>111</v>
      </c>
      <c r="B17" t="b">
        <v>1</v>
      </c>
      <c r="E17">
        <v>13</v>
      </c>
      <c r="F17" t="str">
        <f>HYPERLINK("https://portal.dnb.de/opac.htm?method=simpleSearch&amp;cqlMode=true&amp;query=idn%3D1066961859", "Portal")</f>
        <v>Portal</v>
      </c>
      <c r="G17" t="s">
        <v>125</v>
      </c>
      <c r="H17" t="s">
        <v>219</v>
      </c>
      <c r="I17" t="s">
        <v>220</v>
      </c>
      <c r="J17" t="s">
        <v>221</v>
      </c>
      <c r="K17" t="s">
        <v>221</v>
      </c>
      <c r="L17" t="s">
        <v>221</v>
      </c>
      <c r="N17" t="s">
        <v>222</v>
      </c>
      <c r="O17" t="s">
        <v>117</v>
      </c>
      <c r="P17" t="s">
        <v>118</v>
      </c>
      <c r="R17" t="s">
        <v>223</v>
      </c>
      <c r="S17" t="s">
        <v>146</v>
      </c>
      <c r="T17" t="s">
        <v>130</v>
      </c>
      <c r="U17" t="s">
        <v>224</v>
      </c>
      <c r="W17" t="s">
        <v>147</v>
      </c>
      <c r="X17" t="s">
        <v>124</v>
      </c>
      <c r="Y17">
        <v>0</v>
      </c>
      <c r="BN17">
        <v>0</v>
      </c>
    </row>
    <row r="18" spans="1:66" x14ac:dyDescent="0.2">
      <c r="A18" t="s">
        <v>111</v>
      </c>
      <c r="B18" t="b">
        <v>1</v>
      </c>
      <c r="E18">
        <v>14</v>
      </c>
      <c r="F18" t="str">
        <f>HYPERLINK("https://portal.dnb.de/opac.htm?method=simpleSearch&amp;cqlMode=true&amp;query=idn%3D1066964009", "Portal")</f>
        <v>Portal</v>
      </c>
      <c r="G18" t="s">
        <v>125</v>
      </c>
      <c r="H18" t="s">
        <v>225</v>
      </c>
      <c r="I18" t="s">
        <v>226</v>
      </c>
      <c r="J18" t="s">
        <v>227</v>
      </c>
      <c r="K18" t="s">
        <v>227</v>
      </c>
      <c r="L18" t="s">
        <v>227</v>
      </c>
      <c r="N18" t="s">
        <v>228</v>
      </c>
      <c r="O18" t="s">
        <v>117</v>
      </c>
      <c r="P18" t="s">
        <v>118</v>
      </c>
      <c r="R18" t="s">
        <v>157</v>
      </c>
      <c r="S18" t="s">
        <v>121</v>
      </c>
      <c r="T18" t="s">
        <v>122</v>
      </c>
      <c r="U18" t="s">
        <v>203</v>
      </c>
      <c r="W18" t="s">
        <v>229</v>
      </c>
      <c r="X18" t="s">
        <v>230</v>
      </c>
      <c r="Y18">
        <v>0</v>
      </c>
      <c r="BN18">
        <v>0</v>
      </c>
    </row>
    <row r="19" spans="1:66" x14ac:dyDescent="0.2">
      <c r="A19" t="s">
        <v>111</v>
      </c>
      <c r="B19" t="b">
        <v>0</v>
      </c>
      <c r="E19">
        <v>15</v>
      </c>
      <c r="F19" t="str">
        <f>HYPERLINK("https://portal.dnb.de/opac.htm?method=simpleSearch&amp;cqlMode=true&amp;query=idn%3D1066963568", "Portal")</f>
        <v>Portal</v>
      </c>
      <c r="H19" t="s">
        <v>231</v>
      </c>
      <c r="I19" t="s">
        <v>232</v>
      </c>
      <c r="L19" t="s">
        <v>233</v>
      </c>
      <c r="BN19">
        <v>0</v>
      </c>
    </row>
    <row r="20" spans="1:66" x14ac:dyDescent="0.2">
      <c r="A20" t="s">
        <v>111</v>
      </c>
      <c r="B20" t="b">
        <v>1</v>
      </c>
      <c r="E20">
        <v>16</v>
      </c>
      <c r="F20" t="str">
        <f>HYPERLINK("https://portal.dnb.de/opac.htm?method=simpleSearch&amp;cqlMode=true&amp;query=idn%3D106695674X", "Portal")</f>
        <v>Portal</v>
      </c>
      <c r="G20" t="s">
        <v>125</v>
      </c>
      <c r="H20" t="s">
        <v>234</v>
      </c>
      <c r="I20" t="s">
        <v>235</v>
      </c>
      <c r="J20" t="s">
        <v>236</v>
      </c>
      <c r="K20" t="s">
        <v>236</v>
      </c>
      <c r="L20" t="s">
        <v>236</v>
      </c>
      <c r="N20" t="s">
        <v>237</v>
      </c>
      <c r="O20" t="s">
        <v>117</v>
      </c>
      <c r="P20" t="s">
        <v>118</v>
      </c>
      <c r="R20" t="s">
        <v>238</v>
      </c>
      <c r="S20" t="s">
        <v>146</v>
      </c>
      <c r="T20" t="s">
        <v>122</v>
      </c>
      <c r="U20" t="s">
        <v>203</v>
      </c>
      <c r="W20" t="s">
        <v>147</v>
      </c>
      <c r="X20" t="s">
        <v>124</v>
      </c>
      <c r="Y20">
        <v>0</v>
      </c>
      <c r="BN20">
        <v>0</v>
      </c>
    </row>
    <row r="21" spans="1:66" x14ac:dyDescent="0.2">
      <c r="A21" t="s">
        <v>111</v>
      </c>
      <c r="B21" t="b">
        <v>1</v>
      </c>
      <c r="E21">
        <v>74</v>
      </c>
      <c r="F21" t="str">
        <f>HYPERLINK("https://portal.dnb.de/opac.htm?method=simpleSearch&amp;cqlMode=true&amp;query=idn%3D1000480518", "Portal")</f>
        <v>Portal</v>
      </c>
      <c r="G21" t="s">
        <v>112</v>
      </c>
      <c r="H21" t="s">
        <v>239</v>
      </c>
      <c r="I21" t="s">
        <v>240</v>
      </c>
      <c r="J21" t="s">
        <v>241</v>
      </c>
      <c r="K21" t="s">
        <v>241</v>
      </c>
      <c r="L21" t="s">
        <v>241</v>
      </c>
      <c r="N21" t="s">
        <v>242</v>
      </c>
      <c r="O21" t="s">
        <v>117</v>
      </c>
      <c r="R21" t="s">
        <v>163</v>
      </c>
      <c r="S21" t="s">
        <v>121</v>
      </c>
      <c r="T21" t="s">
        <v>122</v>
      </c>
      <c r="U21" t="s">
        <v>203</v>
      </c>
      <c r="Y21">
        <v>0</v>
      </c>
      <c r="BN21">
        <v>0</v>
      </c>
    </row>
    <row r="22" spans="1:66" x14ac:dyDescent="0.2">
      <c r="A22" t="s">
        <v>111</v>
      </c>
      <c r="B22" t="b">
        <v>1</v>
      </c>
      <c r="E22">
        <v>17</v>
      </c>
      <c r="F22" t="str">
        <f>HYPERLINK("https://portal.dnb.de/opac.htm?method=simpleSearch&amp;cqlMode=true&amp;query=idn%3D1066871930", "Portal")</f>
        <v>Portal</v>
      </c>
      <c r="G22" t="s">
        <v>125</v>
      </c>
      <c r="H22" t="s">
        <v>243</v>
      </c>
      <c r="I22" t="s">
        <v>244</v>
      </c>
      <c r="J22" t="s">
        <v>245</v>
      </c>
      <c r="K22" t="s">
        <v>245</v>
      </c>
      <c r="L22" t="s">
        <v>245</v>
      </c>
      <c r="N22" t="s">
        <v>246</v>
      </c>
      <c r="O22" t="s">
        <v>117</v>
      </c>
      <c r="P22" t="s">
        <v>118</v>
      </c>
      <c r="R22" t="s">
        <v>190</v>
      </c>
      <c r="S22" t="s">
        <v>121</v>
      </c>
      <c r="T22" t="s">
        <v>122</v>
      </c>
      <c r="U22" t="s">
        <v>247</v>
      </c>
      <c r="Y22">
        <v>1</v>
      </c>
      <c r="AA22" t="s">
        <v>148</v>
      </c>
      <c r="BN22">
        <v>0</v>
      </c>
    </row>
    <row r="23" spans="1:66" x14ac:dyDescent="0.2">
      <c r="A23" t="s">
        <v>111</v>
      </c>
      <c r="B23" t="b">
        <v>1</v>
      </c>
      <c r="E23">
        <v>18</v>
      </c>
      <c r="F23" t="str">
        <f>HYPERLINK("https://portal.dnb.de/opac.htm?method=simpleSearch&amp;cqlMode=true&amp;query=idn%3D106695691X", "Portal")</f>
        <v>Portal</v>
      </c>
      <c r="G23" t="s">
        <v>125</v>
      </c>
      <c r="H23" t="s">
        <v>248</v>
      </c>
      <c r="I23" t="s">
        <v>249</v>
      </c>
      <c r="J23" t="s">
        <v>250</v>
      </c>
      <c r="K23" t="s">
        <v>250</v>
      </c>
      <c r="L23" t="s">
        <v>250</v>
      </c>
      <c r="N23" t="s">
        <v>251</v>
      </c>
      <c r="O23" t="s">
        <v>117</v>
      </c>
      <c r="P23" t="s">
        <v>118</v>
      </c>
      <c r="R23" t="s">
        <v>223</v>
      </c>
      <c r="S23" t="s">
        <v>121</v>
      </c>
      <c r="T23" t="s">
        <v>122</v>
      </c>
      <c r="U23" t="s">
        <v>123</v>
      </c>
      <c r="W23" t="s">
        <v>252</v>
      </c>
      <c r="X23" t="s">
        <v>124</v>
      </c>
      <c r="Y23">
        <v>0</v>
      </c>
      <c r="BN23">
        <v>0</v>
      </c>
    </row>
    <row r="24" spans="1:66" x14ac:dyDescent="0.2">
      <c r="A24" t="s">
        <v>111</v>
      </c>
      <c r="B24" t="b">
        <v>1</v>
      </c>
      <c r="E24">
        <v>44</v>
      </c>
      <c r="F24" t="str">
        <f>HYPERLINK("https://portal.dnb.de/opac.htm?method=simpleSearch&amp;cqlMode=true&amp;query=idn%3D106695822X", "Portal")</f>
        <v>Portal</v>
      </c>
      <c r="G24" t="s">
        <v>125</v>
      </c>
      <c r="H24" t="s">
        <v>253</v>
      </c>
      <c r="I24" t="s">
        <v>254</v>
      </c>
      <c r="J24" t="s">
        <v>255</v>
      </c>
      <c r="K24" t="s">
        <v>255</v>
      </c>
      <c r="L24" t="s">
        <v>255</v>
      </c>
      <c r="N24" t="s">
        <v>256</v>
      </c>
      <c r="O24" t="s">
        <v>117</v>
      </c>
      <c r="P24" t="s">
        <v>118</v>
      </c>
      <c r="R24" t="s">
        <v>257</v>
      </c>
      <c r="S24" t="s">
        <v>121</v>
      </c>
      <c r="T24" t="s">
        <v>122</v>
      </c>
      <c r="W24" t="s">
        <v>252</v>
      </c>
      <c r="X24" t="s">
        <v>124</v>
      </c>
      <c r="Y24">
        <v>0</v>
      </c>
      <c r="BN24">
        <v>0</v>
      </c>
    </row>
    <row r="25" spans="1:66" x14ac:dyDescent="0.2">
      <c r="A25" t="s">
        <v>111</v>
      </c>
      <c r="B25" t="b">
        <v>1</v>
      </c>
      <c r="E25">
        <v>45</v>
      </c>
      <c r="F25" t="str">
        <f>HYPERLINK("https://portal.dnb.de/opac.htm?method=simpleSearch&amp;cqlMode=true&amp;query=idn%3D1066958416", "Portal")</f>
        <v>Portal</v>
      </c>
      <c r="G25" t="s">
        <v>125</v>
      </c>
      <c r="H25" t="s">
        <v>258</v>
      </c>
      <c r="I25" t="s">
        <v>259</v>
      </c>
      <c r="J25" t="s">
        <v>260</v>
      </c>
      <c r="K25" t="s">
        <v>260</v>
      </c>
      <c r="L25" t="s">
        <v>260</v>
      </c>
      <c r="N25" t="s">
        <v>261</v>
      </c>
      <c r="O25" t="s">
        <v>117</v>
      </c>
      <c r="P25" t="s">
        <v>118</v>
      </c>
      <c r="R25" t="s">
        <v>262</v>
      </c>
      <c r="S25" t="s">
        <v>121</v>
      </c>
      <c r="T25" t="s">
        <v>122</v>
      </c>
      <c r="U25" t="s">
        <v>123</v>
      </c>
      <c r="Y25">
        <v>1</v>
      </c>
      <c r="BN25">
        <v>0</v>
      </c>
    </row>
    <row r="26" spans="1:66" x14ac:dyDescent="0.2">
      <c r="A26" t="s">
        <v>111</v>
      </c>
      <c r="B26" t="b">
        <v>1</v>
      </c>
      <c r="E26">
        <v>46</v>
      </c>
      <c r="F26" t="str">
        <f>HYPERLINK("https://portal.dnb.de/opac.htm?method=simpleSearch&amp;cqlMode=true&amp;query=idn%3D1066962499", "Portal")</f>
        <v>Portal</v>
      </c>
      <c r="G26" t="s">
        <v>125</v>
      </c>
      <c r="H26" t="s">
        <v>263</v>
      </c>
      <c r="I26" t="s">
        <v>264</v>
      </c>
      <c r="J26" t="s">
        <v>265</v>
      </c>
      <c r="K26" t="s">
        <v>265</v>
      </c>
      <c r="L26" t="s">
        <v>265</v>
      </c>
      <c r="N26" t="s">
        <v>266</v>
      </c>
      <c r="O26" t="s">
        <v>117</v>
      </c>
      <c r="P26" t="s">
        <v>118</v>
      </c>
      <c r="R26" t="s">
        <v>190</v>
      </c>
      <c r="S26" t="s">
        <v>121</v>
      </c>
      <c r="T26" t="s">
        <v>122</v>
      </c>
      <c r="U26" t="s">
        <v>123</v>
      </c>
      <c r="Y26">
        <v>0</v>
      </c>
      <c r="BN26">
        <v>0</v>
      </c>
    </row>
    <row r="27" spans="1:66" x14ac:dyDescent="0.2">
      <c r="A27" t="s">
        <v>111</v>
      </c>
      <c r="B27" t="b">
        <v>1</v>
      </c>
      <c r="E27">
        <v>47</v>
      </c>
      <c r="F27" t="str">
        <f>HYPERLINK("https://portal.dnb.de/opac.htm?method=simpleSearch&amp;cqlMode=true&amp;query=idn%3D997626313", "Portal")</f>
        <v>Portal</v>
      </c>
      <c r="G27" t="s">
        <v>112</v>
      </c>
      <c r="H27" t="s">
        <v>267</v>
      </c>
      <c r="I27" t="s">
        <v>268</v>
      </c>
      <c r="J27" t="s">
        <v>269</v>
      </c>
      <c r="K27" t="s">
        <v>269</v>
      </c>
      <c r="L27" t="s">
        <v>269</v>
      </c>
      <c r="N27" t="s">
        <v>270</v>
      </c>
      <c r="O27" t="s">
        <v>117</v>
      </c>
      <c r="R27" t="s">
        <v>190</v>
      </c>
      <c r="S27" t="s">
        <v>121</v>
      </c>
      <c r="T27" t="s">
        <v>122</v>
      </c>
      <c r="U27" t="s">
        <v>203</v>
      </c>
      <c r="Y27">
        <v>0</v>
      </c>
      <c r="BN27">
        <v>0</v>
      </c>
    </row>
    <row r="28" spans="1:66" x14ac:dyDescent="0.2">
      <c r="A28" t="s">
        <v>111</v>
      </c>
      <c r="B28" t="b">
        <v>1</v>
      </c>
      <c r="E28">
        <v>19</v>
      </c>
      <c r="F28" t="str">
        <f>HYPERLINK("https://portal.dnb.de/opac.htm?method=simpleSearch&amp;cqlMode=true&amp;query=idn%3D99400026X", "Portal")</f>
        <v>Portal</v>
      </c>
      <c r="G28" t="s">
        <v>112</v>
      </c>
      <c r="H28" t="s">
        <v>271</v>
      </c>
      <c r="I28" t="s">
        <v>272</v>
      </c>
      <c r="J28" t="s">
        <v>273</v>
      </c>
      <c r="K28" t="s">
        <v>273</v>
      </c>
      <c r="L28" t="s">
        <v>273</v>
      </c>
      <c r="N28" t="s">
        <v>274</v>
      </c>
      <c r="O28" t="s">
        <v>117</v>
      </c>
      <c r="P28" t="s">
        <v>118</v>
      </c>
      <c r="R28" t="s">
        <v>157</v>
      </c>
      <c r="S28" t="s">
        <v>121</v>
      </c>
      <c r="T28" t="s">
        <v>122</v>
      </c>
      <c r="U28" t="s">
        <v>275</v>
      </c>
      <c r="Y28">
        <v>1</v>
      </c>
      <c r="BN28">
        <v>0</v>
      </c>
    </row>
    <row r="29" spans="1:66" x14ac:dyDescent="0.2">
      <c r="A29" t="s">
        <v>111</v>
      </c>
      <c r="B29" t="b">
        <v>1</v>
      </c>
      <c r="E29">
        <v>48</v>
      </c>
      <c r="F29" t="str">
        <f>HYPERLINK("https://portal.dnb.de/opac.htm?method=simpleSearch&amp;cqlMode=true&amp;query=idn%3D1000478475", "Portal")</f>
        <v>Portal</v>
      </c>
      <c r="G29" t="s">
        <v>112</v>
      </c>
      <c r="H29" t="s">
        <v>276</v>
      </c>
      <c r="I29" t="s">
        <v>277</v>
      </c>
      <c r="J29" t="s">
        <v>278</v>
      </c>
      <c r="K29" t="s">
        <v>278</v>
      </c>
      <c r="L29" t="s">
        <v>278</v>
      </c>
      <c r="N29" t="s">
        <v>279</v>
      </c>
      <c r="O29" t="s">
        <v>117</v>
      </c>
      <c r="R29" t="s">
        <v>163</v>
      </c>
      <c r="S29" t="s">
        <v>121</v>
      </c>
      <c r="T29" t="s">
        <v>122</v>
      </c>
      <c r="U29" t="s">
        <v>203</v>
      </c>
      <c r="Y29">
        <v>0</v>
      </c>
      <c r="BN29">
        <v>0</v>
      </c>
    </row>
    <row r="30" spans="1:66" x14ac:dyDescent="0.2">
      <c r="A30" t="s">
        <v>111</v>
      </c>
      <c r="B30" t="b">
        <v>1</v>
      </c>
      <c r="E30">
        <v>49</v>
      </c>
      <c r="F30" t="str">
        <f>HYPERLINK("https://portal.dnb.de/opac.htm?method=simpleSearch&amp;cqlMode=true&amp;query=idn%3D1000478475", "Portal")</f>
        <v>Portal</v>
      </c>
      <c r="G30" t="s">
        <v>112</v>
      </c>
      <c r="H30" t="s">
        <v>276</v>
      </c>
      <c r="I30" t="s">
        <v>277</v>
      </c>
      <c r="J30" t="s">
        <v>278</v>
      </c>
      <c r="K30" t="s">
        <v>278</v>
      </c>
      <c r="L30" t="s">
        <v>278</v>
      </c>
      <c r="N30" t="s">
        <v>279</v>
      </c>
      <c r="O30" t="s">
        <v>117</v>
      </c>
      <c r="BN30">
        <v>0</v>
      </c>
    </row>
    <row r="31" spans="1:66" x14ac:dyDescent="0.2">
      <c r="A31" t="s">
        <v>111</v>
      </c>
      <c r="B31" t="b">
        <v>1</v>
      </c>
      <c r="E31">
        <v>50</v>
      </c>
      <c r="F31" t="str">
        <f>HYPERLINK("https://portal.dnb.de/opac.htm?method=simpleSearch&amp;cqlMode=true&amp;query=idn%3D106696002X", "Portal")</f>
        <v>Portal</v>
      </c>
      <c r="G31" t="s">
        <v>125</v>
      </c>
      <c r="H31" t="s">
        <v>280</v>
      </c>
      <c r="I31" t="s">
        <v>281</v>
      </c>
      <c r="J31" t="s">
        <v>282</v>
      </c>
      <c r="K31" t="s">
        <v>282</v>
      </c>
      <c r="L31" t="s">
        <v>282</v>
      </c>
      <c r="N31" t="s">
        <v>283</v>
      </c>
      <c r="O31" t="s">
        <v>117</v>
      </c>
      <c r="P31" t="s">
        <v>118</v>
      </c>
      <c r="R31" t="s">
        <v>284</v>
      </c>
      <c r="S31" t="s">
        <v>121</v>
      </c>
      <c r="T31" t="s">
        <v>122</v>
      </c>
      <c r="U31" t="s">
        <v>131</v>
      </c>
      <c r="W31" t="s">
        <v>147</v>
      </c>
      <c r="X31" t="s">
        <v>124</v>
      </c>
      <c r="Y31">
        <v>0</v>
      </c>
      <c r="BN31">
        <v>0</v>
      </c>
    </row>
    <row r="32" spans="1:66" x14ac:dyDescent="0.2">
      <c r="A32" t="s">
        <v>111</v>
      </c>
      <c r="B32" t="b">
        <v>1</v>
      </c>
      <c r="E32">
        <v>20</v>
      </c>
      <c r="F32" t="str">
        <f>HYPERLINK("https://portal.dnb.de/opac.htm?method=simpleSearch&amp;cqlMode=true&amp;query=idn%3D1066871574", "Portal")</f>
        <v>Portal</v>
      </c>
      <c r="G32" t="s">
        <v>125</v>
      </c>
      <c r="H32" t="s">
        <v>285</v>
      </c>
      <c r="I32" t="s">
        <v>286</v>
      </c>
      <c r="J32" t="s">
        <v>287</v>
      </c>
      <c r="K32" t="s">
        <v>287</v>
      </c>
      <c r="L32" t="s">
        <v>287</v>
      </c>
      <c r="N32" t="s">
        <v>288</v>
      </c>
      <c r="O32" t="s">
        <v>117</v>
      </c>
      <c r="R32" t="s">
        <v>284</v>
      </c>
      <c r="S32" t="s">
        <v>121</v>
      </c>
      <c r="T32" t="s">
        <v>122</v>
      </c>
      <c r="U32" t="s">
        <v>203</v>
      </c>
      <c r="W32" t="s">
        <v>252</v>
      </c>
      <c r="X32" t="s">
        <v>124</v>
      </c>
      <c r="Y32">
        <v>0</v>
      </c>
      <c r="BN32">
        <v>0</v>
      </c>
    </row>
    <row r="33" spans="1:92" x14ac:dyDescent="0.2">
      <c r="A33" t="s">
        <v>111</v>
      </c>
      <c r="B33" t="b">
        <v>1</v>
      </c>
      <c r="E33">
        <v>51</v>
      </c>
      <c r="F33" t="str">
        <f>HYPERLINK("https://portal.dnb.de/opac.htm?method=simpleSearch&amp;cqlMode=true&amp;query=idn%3D993849784", "Portal")</f>
        <v>Portal</v>
      </c>
      <c r="G33" t="s">
        <v>112</v>
      </c>
      <c r="H33" t="s">
        <v>289</v>
      </c>
      <c r="I33" t="s">
        <v>290</v>
      </c>
      <c r="J33" t="s">
        <v>291</v>
      </c>
      <c r="K33" t="s">
        <v>291</v>
      </c>
      <c r="L33" t="s">
        <v>291</v>
      </c>
      <c r="N33" t="s">
        <v>292</v>
      </c>
      <c r="O33" t="s">
        <v>117</v>
      </c>
      <c r="R33" t="s">
        <v>163</v>
      </c>
      <c r="S33" t="s">
        <v>121</v>
      </c>
      <c r="T33" t="s">
        <v>122</v>
      </c>
      <c r="U33" t="s">
        <v>203</v>
      </c>
      <c r="Y33">
        <v>0</v>
      </c>
      <c r="BN33">
        <v>0</v>
      </c>
    </row>
    <row r="34" spans="1:92" x14ac:dyDescent="0.2">
      <c r="A34" t="s">
        <v>111</v>
      </c>
      <c r="B34" t="b">
        <v>1</v>
      </c>
      <c r="E34">
        <v>21</v>
      </c>
      <c r="F34" t="str">
        <f>HYPERLINK("https://portal.dnb.de/opac.htm?method=simpleSearch&amp;cqlMode=true&amp;query=idn%3D1066839182", "Portal")</f>
        <v>Portal</v>
      </c>
      <c r="G34" t="s">
        <v>125</v>
      </c>
      <c r="H34" t="s">
        <v>293</v>
      </c>
      <c r="I34" t="s">
        <v>294</v>
      </c>
      <c r="J34" t="s">
        <v>295</v>
      </c>
      <c r="K34" t="s">
        <v>295</v>
      </c>
      <c r="L34" t="s">
        <v>295</v>
      </c>
      <c r="N34" t="s">
        <v>296</v>
      </c>
      <c r="O34" t="s">
        <v>117</v>
      </c>
      <c r="P34" t="s">
        <v>118</v>
      </c>
      <c r="R34" t="s">
        <v>297</v>
      </c>
      <c r="S34" t="s">
        <v>121</v>
      </c>
      <c r="T34" t="s">
        <v>130</v>
      </c>
      <c r="U34" t="s">
        <v>203</v>
      </c>
      <c r="Y34">
        <v>0</v>
      </c>
      <c r="BN34">
        <v>0</v>
      </c>
    </row>
    <row r="35" spans="1:92" x14ac:dyDescent="0.2">
      <c r="A35" t="s">
        <v>111</v>
      </c>
      <c r="B35" t="b">
        <v>1</v>
      </c>
      <c r="E35">
        <v>52</v>
      </c>
      <c r="F35" t="str">
        <f>HYPERLINK("https://portal.dnb.de/opac.htm?method=simpleSearch&amp;cqlMode=true&amp;query=idn%3D998888257", "Portal")</f>
        <v>Portal</v>
      </c>
      <c r="G35" t="s">
        <v>112</v>
      </c>
      <c r="H35" t="s">
        <v>298</v>
      </c>
      <c r="I35" t="s">
        <v>299</v>
      </c>
      <c r="J35" t="s">
        <v>300</v>
      </c>
      <c r="K35" t="s">
        <v>300</v>
      </c>
      <c r="L35" t="s">
        <v>300</v>
      </c>
      <c r="N35" t="s">
        <v>301</v>
      </c>
      <c r="O35" t="s">
        <v>117</v>
      </c>
      <c r="P35" t="s">
        <v>118</v>
      </c>
      <c r="R35" t="s">
        <v>257</v>
      </c>
      <c r="S35" t="s">
        <v>121</v>
      </c>
      <c r="T35" t="s">
        <v>122</v>
      </c>
      <c r="U35" t="s">
        <v>203</v>
      </c>
      <c r="W35" t="s">
        <v>229</v>
      </c>
      <c r="X35" t="s">
        <v>302</v>
      </c>
      <c r="Y35">
        <v>0</v>
      </c>
      <c r="BN35">
        <v>0</v>
      </c>
    </row>
    <row r="36" spans="1:92" x14ac:dyDescent="0.2">
      <c r="A36" t="s">
        <v>111</v>
      </c>
      <c r="B36" t="b">
        <v>1</v>
      </c>
      <c r="E36">
        <v>22</v>
      </c>
      <c r="F36" t="str">
        <f>HYPERLINK("https://portal.dnb.de/opac.htm?method=simpleSearch&amp;cqlMode=true&amp;query=idn%3D1066937621", "Portal")</f>
        <v>Portal</v>
      </c>
      <c r="G36" t="s">
        <v>125</v>
      </c>
      <c r="H36" t="s">
        <v>303</v>
      </c>
      <c r="I36" t="s">
        <v>304</v>
      </c>
      <c r="J36" t="s">
        <v>305</v>
      </c>
      <c r="K36" t="s">
        <v>305</v>
      </c>
      <c r="L36" t="s">
        <v>305</v>
      </c>
      <c r="N36" t="s">
        <v>306</v>
      </c>
      <c r="O36" t="s">
        <v>117</v>
      </c>
      <c r="P36" t="s">
        <v>118</v>
      </c>
      <c r="R36" t="s">
        <v>257</v>
      </c>
      <c r="S36" t="s">
        <v>121</v>
      </c>
      <c r="T36" t="s">
        <v>122</v>
      </c>
      <c r="U36" t="s">
        <v>203</v>
      </c>
      <c r="W36" t="s">
        <v>252</v>
      </c>
      <c r="X36" t="s">
        <v>124</v>
      </c>
      <c r="Y36">
        <v>2</v>
      </c>
      <c r="BN36">
        <v>0</v>
      </c>
    </row>
    <row r="37" spans="1:92" x14ac:dyDescent="0.2">
      <c r="A37" t="s">
        <v>111</v>
      </c>
      <c r="B37" t="b">
        <v>1</v>
      </c>
      <c r="E37">
        <v>23</v>
      </c>
      <c r="F37" t="str">
        <f>HYPERLINK("https://portal.dnb.de/opac.htm?method=simpleSearch&amp;cqlMode=true&amp;query=idn%3D1066963312", "Portal")</f>
        <v>Portal</v>
      </c>
      <c r="G37" t="s">
        <v>125</v>
      </c>
      <c r="H37" t="s">
        <v>307</v>
      </c>
      <c r="I37" t="s">
        <v>308</v>
      </c>
      <c r="J37" t="s">
        <v>309</v>
      </c>
      <c r="K37" t="s">
        <v>309</v>
      </c>
      <c r="L37" t="s">
        <v>309</v>
      </c>
      <c r="N37" t="s">
        <v>310</v>
      </c>
      <c r="O37" t="s">
        <v>117</v>
      </c>
      <c r="P37" t="s">
        <v>118</v>
      </c>
      <c r="R37" t="s">
        <v>157</v>
      </c>
      <c r="S37" t="s">
        <v>121</v>
      </c>
      <c r="T37" t="s">
        <v>130</v>
      </c>
      <c r="U37" t="s">
        <v>203</v>
      </c>
      <c r="W37" t="s">
        <v>229</v>
      </c>
      <c r="X37" t="s">
        <v>302</v>
      </c>
      <c r="Y37">
        <v>0</v>
      </c>
      <c r="BN37">
        <v>0</v>
      </c>
    </row>
    <row r="38" spans="1:92" x14ac:dyDescent="0.2">
      <c r="A38" t="s">
        <v>111</v>
      </c>
      <c r="B38" t="b">
        <v>1</v>
      </c>
      <c r="E38">
        <v>53</v>
      </c>
      <c r="F38" t="str">
        <f>HYPERLINK("https://portal.dnb.de/opac.htm?method=simpleSearch&amp;cqlMode=true&amp;query=idn%3D1000482995", "Portal")</f>
        <v>Portal</v>
      </c>
      <c r="G38" t="s">
        <v>112</v>
      </c>
      <c r="H38" t="s">
        <v>311</v>
      </c>
      <c r="I38" t="s">
        <v>312</v>
      </c>
      <c r="J38" t="s">
        <v>313</v>
      </c>
      <c r="K38" t="s">
        <v>313</v>
      </c>
      <c r="L38" t="s">
        <v>313</v>
      </c>
      <c r="N38" t="s">
        <v>314</v>
      </c>
      <c r="O38" t="s">
        <v>117</v>
      </c>
      <c r="R38" t="s">
        <v>163</v>
      </c>
      <c r="S38" t="s">
        <v>121</v>
      </c>
      <c r="T38" t="s">
        <v>130</v>
      </c>
      <c r="U38" t="s">
        <v>203</v>
      </c>
      <c r="Y38">
        <v>0</v>
      </c>
      <c r="BN38">
        <v>0</v>
      </c>
    </row>
    <row r="39" spans="1:92" x14ac:dyDescent="0.2">
      <c r="A39" t="s">
        <v>111</v>
      </c>
      <c r="B39" t="b">
        <v>1</v>
      </c>
      <c r="E39">
        <v>54</v>
      </c>
      <c r="F39" t="str">
        <f>HYPERLINK("https://portal.dnb.de/opac.htm?method=simpleSearch&amp;cqlMode=true&amp;query=idn%3D99388654X", "Portal")</f>
        <v>Portal</v>
      </c>
      <c r="G39" t="s">
        <v>112</v>
      </c>
      <c r="H39" t="s">
        <v>315</v>
      </c>
      <c r="I39" t="s">
        <v>316</v>
      </c>
      <c r="J39" t="s">
        <v>317</v>
      </c>
      <c r="K39" t="s">
        <v>317</v>
      </c>
      <c r="L39" t="s">
        <v>317</v>
      </c>
      <c r="N39" t="s">
        <v>318</v>
      </c>
      <c r="O39" t="s">
        <v>117</v>
      </c>
      <c r="P39" t="s">
        <v>118</v>
      </c>
      <c r="R39" t="s">
        <v>145</v>
      </c>
      <c r="S39" t="s">
        <v>121</v>
      </c>
      <c r="T39" t="s">
        <v>130</v>
      </c>
      <c r="U39" t="s">
        <v>178</v>
      </c>
      <c r="W39" t="s">
        <v>147</v>
      </c>
      <c r="X39" t="s">
        <v>124</v>
      </c>
      <c r="Y39">
        <v>0</v>
      </c>
      <c r="BN39">
        <v>0</v>
      </c>
    </row>
    <row r="40" spans="1:92" x14ac:dyDescent="0.2">
      <c r="A40" t="s">
        <v>111</v>
      </c>
      <c r="B40" t="b">
        <v>1</v>
      </c>
      <c r="C40" t="s">
        <v>132</v>
      </c>
      <c r="F40" t="str">
        <f>HYPERLINK("https://portal.dnb.de/opac.htm?method=simpleSearch&amp;cqlMode=true&amp;query=idn%3D1137896108", "Portal")</f>
        <v>Portal</v>
      </c>
      <c r="G40" t="s">
        <v>319</v>
      </c>
      <c r="H40" t="s">
        <v>320</v>
      </c>
      <c r="I40" t="s">
        <v>321</v>
      </c>
      <c r="J40" t="s">
        <v>322</v>
      </c>
      <c r="K40" t="s">
        <v>322</v>
      </c>
      <c r="L40" t="s">
        <v>322</v>
      </c>
      <c r="N40" t="s">
        <v>323</v>
      </c>
      <c r="O40" t="s">
        <v>117</v>
      </c>
      <c r="P40" t="s">
        <v>118</v>
      </c>
      <c r="Q40" t="s">
        <v>324</v>
      </c>
      <c r="R40" t="s">
        <v>145</v>
      </c>
      <c r="S40" t="s">
        <v>121</v>
      </c>
      <c r="T40" t="s">
        <v>130</v>
      </c>
      <c r="U40" t="s">
        <v>247</v>
      </c>
      <c r="W40" t="s">
        <v>147</v>
      </c>
      <c r="X40" t="s">
        <v>124</v>
      </c>
      <c r="Y40">
        <v>1</v>
      </c>
      <c r="AI40" t="s">
        <v>325</v>
      </c>
      <c r="AK40" t="s">
        <v>132</v>
      </c>
      <c r="AM40" t="s">
        <v>134</v>
      </c>
      <c r="AS40" t="s">
        <v>135</v>
      </c>
      <c r="BG40">
        <v>110</v>
      </c>
      <c r="BM40" t="s">
        <v>180</v>
      </c>
      <c r="BN40">
        <v>0.5</v>
      </c>
      <c r="BR40" t="s">
        <v>132</v>
      </c>
      <c r="BZ40" t="s">
        <v>132</v>
      </c>
      <c r="CD40" t="s">
        <v>204</v>
      </c>
      <c r="CM40">
        <v>0.5</v>
      </c>
      <c r="CN40" t="s">
        <v>326</v>
      </c>
    </row>
    <row r="41" spans="1:92" x14ac:dyDescent="0.2">
      <c r="A41" t="s">
        <v>111</v>
      </c>
      <c r="B41" t="b">
        <v>1</v>
      </c>
      <c r="F41" t="str">
        <f>HYPERLINK("https://portal.dnb.de/opac.htm?method=simpleSearch&amp;cqlMode=true&amp;query=idn%3D1138380563", "Portal")</f>
        <v>Portal</v>
      </c>
      <c r="G41" t="s">
        <v>319</v>
      </c>
      <c r="H41" t="s">
        <v>327</v>
      </c>
      <c r="I41" t="s">
        <v>328</v>
      </c>
      <c r="J41" t="s">
        <v>329</v>
      </c>
      <c r="K41" t="s">
        <v>329</v>
      </c>
      <c r="L41" t="s">
        <v>329</v>
      </c>
      <c r="N41" t="s">
        <v>323</v>
      </c>
      <c r="O41" t="s">
        <v>117</v>
      </c>
      <c r="BN41">
        <v>0</v>
      </c>
    </row>
    <row r="42" spans="1:92" x14ac:dyDescent="0.2">
      <c r="A42" t="s">
        <v>111</v>
      </c>
      <c r="B42" t="b">
        <v>1</v>
      </c>
      <c r="E42">
        <v>63</v>
      </c>
      <c r="F42" t="str">
        <f>HYPERLINK("https://portal.dnb.de/opac.htm?method=simpleSearch&amp;cqlMode=true&amp;query=idn%3D998923478", "Portal")</f>
        <v>Portal</v>
      </c>
      <c r="G42" t="s">
        <v>112</v>
      </c>
      <c r="H42" t="s">
        <v>330</v>
      </c>
      <c r="I42" t="s">
        <v>331</v>
      </c>
      <c r="J42" t="s">
        <v>332</v>
      </c>
      <c r="K42" t="s">
        <v>332</v>
      </c>
      <c r="L42" t="s">
        <v>333</v>
      </c>
      <c r="N42" t="s">
        <v>334</v>
      </c>
      <c r="O42" t="s">
        <v>117</v>
      </c>
      <c r="P42" t="s">
        <v>118</v>
      </c>
      <c r="R42" t="s">
        <v>190</v>
      </c>
      <c r="S42" t="s">
        <v>121</v>
      </c>
      <c r="T42" t="s">
        <v>122</v>
      </c>
      <c r="U42" t="s">
        <v>123</v>
      </c>
      <c r="Y42">
        <v>2</v>
      </c>
      <c r="BN42">
        <v>0</v>
      </c>
    </row>
    <row r="43" spans="1:92" x14ac:dyDescent="0.2">
      <c r="A43" t="s">
        <v>111</v>
      </c>
      <c r="B43" t="b">
        <v>1</v>
      </c>
      <c r="C43" t="s">
        <v>132</v>
      </c>
      <c r="F43" t="str">
        <f>HYPERLINK("https://portal.dnb.de/opac.htm?method=simpleSearch&amp;cqlMode=true&amp;query=idn%3D1138061182", "Portal")</f>
        <v>Portal</v>
      </c>
      <c r="G43" t="s">
        <v>319</v>
      </c>
      <c r="H43" t="s">
        <v>335</v>
      </c>
      <c r="I43" t="s">
        <v>336</v>
      </c>
      <c r="J43" t="s">
        <v>337</v>
      </c>
      <c r="K43" t="s">
        <v>337</v>
      </c>
      <c r="L43" t="s">
        <v>337</v>
      </c>
      <c r="N43" t="s">
        <v>338</v>
      </c>
      <c r="O43" t="s">
        <v>117</v>
      </c>
      <c r="Q43" t="s">
        <v>339</v>
      </c>
      <c r="S43" t="s">
        <v>146</v>
      </c>
      <c r="AI43" t="s">
        <v>133</v>
      </c>
      <c r="AM43" t="s">
        <v>179</v>
      </c>
      <c r="AS43" t="s">
        <v>135</v>
      </c>
      <c r="BG43">
        <v>110</v>
      </c>
      <c r="BM43" t="s">
        <v>180</v>
      </c>
      <c r="BN43">
        <v>2</v>
      </c>
      <c r="BZ43" t="s">
        <v>132</v>
      </c>
      <c r="CA43" t="s">
        <v>132</v>
      </c>
      <c r="CB43" t="s">
        <v>132</v>
      </c>
      <c r="CD43" t="s">
        <v>204</v>
      </c>
      <c r="CM43">
        <v>2</v>
      </c>
      <c r="CN43" t="s">
        <v>340</v>
      </c>
    </row>
    <row r="44" spans="1:92" x14ac:dyDescent="0.2">
      <c r="A44" t="s">
        <v>111</v>
      </c>
      <c r="B44" t="b">
        <v>1</v>
      </c>
      <c r="E44">
        <v>65</v>
      </c>
      <c r="F44" t="str">
        <f>HYPERLINK("https://portal.dnb.de/opac.htm?method=simpleSearch&amp;cqlMode=true&amp;query=idn%3D1002988691", "Portal")</f>
        <v>Portal</v>
      </c>
      <c r="G44" t="s">
        <v>112</v>
      </c>
      <c r="H44" t="s">
        <v>341</v>
      </c>
      <c r="I44" t="s">
        <v>342</v>
      </c>
      <c r="J44" t="s">
        <v>343</v>
      </c>
      <c r="K44" t="s">
        <v>343</v>
      </c>
      <c r="L44" t="s">
        <v>344</v>
      </c>
      <c r="N44" t="s">
        <v>345</v>
      </c>
      <c r="O44" t="s">
        <v>117</v>
      </c>
      <c r="R44" t="s">
        <v>346</v>
      </c>
      <c r="S44" t="s">
        <v>121</v>
      </c>
      <c r="T44" t="s">
        <v>122</v>
      </c>
      <c r="Y44">
        <v>1</v>
      </c>
      <c r="BN44">
        <v>0</v>
      </c>
    </row>
    <row r="45" spans="1:92" x14ac:dyDescent="0.2">
      <c r="A45" t="s">
        <v>111</v>
      </c>
      <c r="B45" t="b">
        <v>0</v>
      </c>
      <c r="C45" t="s">
        <v>132</v>
      </c>
      <c r="E45">
        <v>26</v>
      </c>
      <c r="F45" t="str">
        <f>HYPERLINK("https://portal.dnb.de/opac.htm?method=simpleSearch&amp;cqlMode=true&amp;query=idn%3D1066941688", "Portal")</f>
        <v>Portal</v>
      </c>
      <c r="H45" t="s">
        <v>347</v>
      </c>
      <c r="I45" t="s">
        <v>348</v>
      </c>
      <c r="L45" t="s">
        <v>349</v>
      </c>
      <c r="S45" t="s">
        <v>146</v>
      </c>
      <c r="AI45" t="s">
        <v>133</v>
      </c>
      <c r="AK45" t="s">
        <v>132</v>
      </c>
      <c r="AM45" t="s">
        <v>179</v>
      </c>
      <c r="AS45" t="s">
        <v>135</v>
      </c>
      <c r="BG45">
        <v>110</v>
      </c>
      <c r="BM45" t="s">
        <v>180</v>
      </c>
      <c r="BN45">
        <v>0.5</v>
      </c>
      <c r="BR45" t="s">
        <v>132</v>
      </c>
      <c r="BZ45" t="s">
        <v>132</v>
      </c>
      <c r="CA45" t="s">
        <v>132</v>
      </c>
      <c r="CB45" t="s">
        <v>132</v>
      </c>
      <c r="CM45">
        <v>0.5</v>
      </c>
    </row>
    <row r="46" spans="1:92" x14ac:dyDescent="0.2">
      <c r="A46" t="s">
        <v>111</v>
      </c>
      <c r="B46" t="b">
        <v>1</v>
      </c>
      <c r="F46" t="str">
        <f>HYPERLINK("https://portal.dnb.de/opac.htm?method=simpleSearch&amp;cqlMode=true&amp;query=idn%3D1066937036", "Portal")</f>
        <v>Portal</v>
      </c>
      <c r="G46" t="s">
        <v>125</v>
      </c>
      <c r="H46" t="s">
        <v>350</v>
      </c>
      <c r="I46" t="s">
        <v>351</v>
      </c>
      <c r="J46" t="s">
        <v>352</v>
      </c>
      <c r="K46" t="s">
        <v>352</v>
      </c>
      <c r="L46" t="s">
        <v>352</v>
      </c>
      <c r="N46" t="s">
        <v>353</v>
      </c>
      <c r="O46" t="s">
        <v>117</v>
      </c>
      <c r="P46" t="s">
        <v>118</v>
      </c>
      <c r="R46" t="s">
        <v>354</v>
      </c>
      <c r="S46" t="s">
        <v>146</v>
      </c>
      <c r="T46" t="s">
        <v>122</v>
      </c>
      <c r="U46" t="s">
        <v>203</v>
      </c>
      <c r="W46" t="s">
        <v>147</v>
      </c>
      <c r="X46" t="s">
        <v>124</v>
      </c>
      <c r="Y46">
        <v>2</v>
      </c>
      <c r="AI46" t="s">
        <v>135</v>
      </c>
      <c r="AK46" t="s">
        <v>132</v>
      </c>
      <c r="AM46" t="s">
        <v>134</v>
      </c>
      <c r="AS46" t="s">
        <v>135</v>
      </c>
      <c r="BG46">
        <v>110</v>
      </c>
      <c r="BM46" t="s">
        <v>137</v>
      </c>
      <c r="BN46">
        <v>0</v>
      </c>
      <c r="BR46" t="s">
        <v>132</v>
      </c>
      <c r="BV46" t="s">
        <v>355</v>
      </c>
    </row>
    <row r="47" spans="1:92" x14ac:dyDescent="0.2">
      <c r="A47" t="s">
        <v>111</v>
      </c>
      <c r="B47" t="b">
        <v>1</v>
      </c>
      <c r="C47" t="s">
        <v>132</v>
      </c>
      <c r="E47">
        <v>28</v>
      </c>
      <c r="F47" t="str">
        <f>HYPERLINK("https://portal.dnb.de/opac.htm?method=simpleSearch&amp;cqlMode=true&amp;query=idn%3D106694248X", "Portal")</f>
        <v>Portal</v>
      </c>
      <c r="G47" t="s">
        <v>125</v>
      </c>
      <c r="H47" t="s">
        <v>356</v>
      </c>
      <c r="I47" t="s">
        <v>357</v>
      </c>
      <c r="J47" t="s">
        <v>358</v>
      </c>
      <c r="K47" t="s">
        <v>358</v>
      </c>
      <c r="L47" t="s">
        <v>358</v>
      </c>
      <c r="N47" t="s">
        <v>359</v>
      </c>
      <c r="O47" t="s">
        <v>117</v>
      </c>
      <c r="P47" t="s">
        <v>118</v>
      </c>
      <c r="R47" t="s">
        <v>354</v>
      </c>
      <c r="S47" t="s">
        <v>146</v>
      </c>
      <c r="T47" t="s">
        <v>122</v>
      </c>
      <c r="U47" t="s">
        <v>203</v>
      </c>
      <c r="W47" t="s">
        <v>147</v>
      </c>
      <c r="X47" t="s">
        <v>124</v>
      </c>
      <c r="Y47">
        <v>2</v>
      </c>
      <c r="AI47" t="s">
        <v>135</v>
      </c>
      <c r="AK47" t="s">
        <v>132</v>
      </c>
      <c r="AM47" t="s">
        <v>134</v>
      </c>
      <c r="AS47" t="s">
        <v>135</v>
      </c>
      <c r="BG47">
        <v>110</v>
      </c>
      <c r="BM47" t="s">
        <v>180</v>
      </c>
      <c r="BN47">
        <v>1.5</v>
      </c>
      <c r="BR47" t="s">
        <v>132</v>
      </c>
      <c r="BZ47" t="s">
        <v>132</v>
      </c>
      <c r="CB47" t="s">
        <v>132</v>
      </c>
      <c r="CM47">
        <v>1.5</v>
      </c>
      <c r="CN47" t="s">
        <v>360</v>
      </c>
    </row>
    <row r="48" spans="1:92" x14ac:dyDescent="0.2">
      <c r="A48" t="s">
        <v>111</v>
      </c>
      <c r="B48" t="b">
        <v>1</v>
      </c>
      <c r="E48">
        <v>29</v>
      </c>
      <c r="F48" t="str">
        <f>HYPERLINK("https://portal.dnb.de/opac.htm?method=simpleSearch&amp;cqlMode=true&amp;query=idn%3D1066858500", "Portal")</f>
        <v>Portal</v>
      </c>
      <c r="G48" t="s">
        <v>125</v>
      </c>
      <c r="H48" t="s">
        <v>361</v>
      </c>
      <c r="I48" t="s">
        <v>362</v>
      </c>
      <c r="J48" t="s">
        <v>363</v>
      </c>
      <c r="K48" t="s">
        <v>363</v>
      </c>
      <c r="L48" t="s">
        <v>363</v>
      </c>
      <c r="N48" t="s">
        <v>364</v>
      </c>
      <c r="O48" t="s">
        <v>117</v>
      </c>
      <c r="S48" t="s">
        <v>146</v>
      </c>
      <c r="AI48" t="s">
        <v>365</v>
      </c>
      <c r="AK48" t="s">
        <v>132</v>
      </c>
      <c r="AM48" t="s">
        <v>134</v>
      </c>
      <c r="AS48" t="s">
        <v>135</v>
      </c>
      <c r="BG48">
        <v>110</v>
      </c>
      <c r="BM48" t="s">
        <v>137</v>
      </c>
      <c r="BN48">
        <v>0</v>
      </c>
      <c r="BV48" t="s">
        <v>355</v>
      </c>
    </row>
    <row r="49" spans="1:92" x14ac:dyDescent="0.2">
      <c r="A49" t="s">
        <v>111</v>
      </c>
      <c r="B49" t="b">
        <v>1</v>
      </c>
      <c r="C49" t="s">
        <v>132</v>
      </c>
      <c r="E49">
        <v>30</v>
      </c>
      <c r="F49" t="str">
        <f>HYPERLINK("https://portal.dnb.de/opac.htm?method=simpleSearch&amp;cqlMode=true&amp;query=idn%3D1066963193", "Portal")</f>
        <v>Portal</v>
      </c>
      <c r="G49" t="s">
        <v>125</v>
      </c>
      <c r="H49" t="s">
        <v>366</v>
      </c>
      <c r="I49" t="s">
        <v>367</v>
      </c>
      <c r="J49" t="s">
        <v>368</v>
      </c>
      <c r="K49" t="s">
        <v>368</v>
      </c>
      <c r="L49" t="s">
        <v>368</v>
      </c>
      <c r="N49" t="s">
        <v>369</v>
      </c>
      <c r="O49" t="s">
        <v>117</v>
      </c>
      <c r="P49" t="s">
        <v>118</v>
      </c>
      <c r="R49" t="s">
        <v>223</v>
      </c>
      <c r="S49" t="s">
        <v>146</v>
      </c>
      <c r="T49" t="s">
        <v>122</v>
      </c>
      <c r="U49" t="s">
        <v>131</v>
      </c>
      <c r="W49" t="s">
        <v>147</v>
      </c>
      <c r="X49" t="s">
        <v>124</v>
      </c>
      <c r="Y49">
        <v>3</v>
      </c>
      <c r="AI49" t="s">
        <v>135</v>
      </c>
      <c r="AK49" t="s">
        <v>132</v>
      </c>
      <c r="AM49" t="s">
        <v>134</v>
      </c>
      <c r="AS49" t="s">
        <v>135</v>
      </c>
      <c r="BG49">
        <v>110</v>
      </c>
      <c r="BM49" t="s">
        <v>180</v>
      </c>
      <c r="BN49">
        <v>0.5</v>
      </c>
      <c r="BR49" t="s">
        <v>132</v>
      </c>
      <c r="BZ49" t="s">
        <v>132</v>
      </c>
      <c r="CA49" t="s">
        <v>132</v>
      </c>
      <c r="CB49" t="s">
        <v>132</v>
      </c>
      <c r="CM49">
        <v>0.5</v>
      </c>
    </row>
    <row r="50" spans="1:92" x14ac:dyDescent="0.2">
      <c r="A50" t="s">
        <v>111</v>
      </c>
      <c r="B50" t="b">
        <v>1</v>
      </c>
      <c r="E50">
        <v>67</v>
      </c>
      <c r="F50" t="str">
        <f>HYPERLINK("https://portal.dnb.de/opac.htm?method=simpleSearch&amp;cqlMode=true&amp;query=idn%3D1066964483", "Portal")</f>
        <v>Portal</v>
      </c>
      <c r="G50" t="s">
        <v>125</v>
      </c>
      <c r="H50" t="s">
        <v>370</v>
      </c>
      <c r="I50" t="s">
        <v>371</v>
      </c>
      <c r="J50" t="s">
        <v>372</v>
      </c>
      <c r="K50" t="s">
        <v>372</v>
      </c>
      <c r="L50" t="s">
        <v>372</v>
      </c>
      <c r="N50" t="s">
        <v>373</v>
      </c>
      <c r="O50" t="s">
        <v>117</v>
      </c>
      <c r="P50" t="s">
        <v>118</v>
      </c>
      <c r="R50" t="s">
        <v>374</v>
      </c>
      <c r="S50" t="s">
        <v>121</v>
      </c>
      <c r="T50" t="s">
        <v>122</v>
      </c>
      <c r="X50" t="s">
        <v>168</v>
      </c>
      <c r="Y50">
        <v>0</v>
      </c>
      <c r="BN50">
        <v>0</v>
      </c>
    </row>
    <row r="51" spans="1:92" x14ac:dyDescent="0.2">
      <c r="A51" t="s">
        <v>111</v>
      </c>
      <c r="B51" t="b">
        <v>1</v>
      </c>
      <c r="E51">
        <v>68</v>
      </c>
      <c r="F51" t="str">
        <f>HYPERLINK("https://portal.dnb.de/opac.htm?method=simpleSearch&amp;cqlMode=true&amp;query=idn%3D1002922046", "Portal")</f>
        <v>Portal</v>
      </c>
      <c r="G51" t="s">
        <v>112</v>
      </c>
      <c r="H51" t="s">
        <v>375</v>
      </c>
      <c r="I51" t="s">
        <v>376</v>
      </c>
      <c r="J51" t="s">
        <v>377</v>
      </c>
      <c r="K51" t="s">
        <v>377</v>
      </c>
      <c r="L51" t="s">
        <v>378</v>
      </c>
      <c r="N51" t="s">
        <v>379</v>
      </c>
      <c r="O51" t="s">
        <v>117</v>
      </c>
      <c r="S51" t="s">
        <v>121</v>
      </c>
      <c r="AI51" t="s">
        <v>135</v>
      </c>
      <c r="AM51" t="s">
        <v>134</v>
      </c>
      <c r="AS51" t="s">
        <v>135</v>
      </c>
      <c r="BG51">
        <v>110</v>
      </c>
      <c r="BM51" t="s">
        <v>137</v>
      </c>
      <c r="BN51">
        <v>0</v>
      </c>
      <c r="BV51" t="s">
        <v>355</v>
      </c>
    </row>
    <row r="52" spans="1:92" x14ac:dyDescent="0.2">
      <c r="A52" t="s">
        <v>111</v>
      </c>
      <c r="B52" t="b">
        <v>1</v>
      </c>
      <c r="C52" t="s">
        <v>132</v>
      </c>
      <c r="E52">
        <v>31</v>
      </c>
      <c r="F52" t="str">
        <f>HYPERLINK("https://portal.dnb.de/opac.htm?method=simpleSearch&amp;cqlMode=true&amp;query=idn%3D1066956219", "Portal")</f>
        <v>Portal</v>
      </c>
      <c r="G52" t="s">
        <v>125</v>
      </c>
      <c r="H52" t="s">
        <v>380</v>
      </c>
      <c r="I52" t="s">
        <v>381</v>
      </c>
      <c r="J52" t="s">
        <v>382</v>
      </c>
      <c r="K52" t="s">
        <v>382</v>
      </c>
      <c r="L52" t="s">
        <v>382</v>
      </c>
      <c r="N52" t="s">
        <v>383</v>
      </c>
      <c r="O52" t="s">
        <v>117</v>
      </c>
      <c r="P52" t="s">
        <v>118</v>
      </c>
      <c r="R52" t="s">
        <v>223</v>
      </c>
      <c r="S52" t="s">
        <v>146</v>
      </c>
      <c r="T52" t="s">
        <v>130</v>
      </c>
      <c r="U52" t="s">
        <v>123</v>
      </c>
      <c r="W52" t="s">
        <v>147</v>
      </c>
      <c r="X52" t="s">
        <v>124</v>
      </c>
      <c r="Y52">
        <v>3</v>
      </c>
      <c r="AI52" t="s">
        <v>365</v>
      </c>
      <c r="AK52" t="s">
        <v>132</v>
      </c>
      <c r="AM52" t="s">
        <v>134</v>
      </c>
      <c r="AS52" t="s">
        <v>135</v>
      </c>
      <c r="AU52" t="s">
        <v>132</v>
      </c>
      <c r="BG52">
        <v>110</v>
      </c>
      <c r="BM52" t="s">
        <v>180</v>
      </c>
      <c r="BN52">
        <v>0.5</v>
      </c>
      <c r="BR52" t="s">
        <v>132</v>
      </c>
      <c r="BZ52" t="s">
        <v>132</v>
      </c>
      <c r="CA52" t="s">
        <v>132</v>
      </c>
      <c r="CB52" t="s">
        <v>132</v>
      </c>
      <c r="CD52" t="s">
        <v>204</v>
      </c>
      <c r="CM52">
        <v>0.5</v>
      </c>
      <c r="CN52" t="s">
        <v>384</v>
      </c>
    </row>
    <row r="53" spans="1:92" x14ac:dyDescent="0.2">
      <c r="A53" t="s">
        <v>111</v>
      </c>
      <c r="B53" t="b">
        <v>1</v>
      </c>
      <c r="E53">
        <v>32</v>
      </c>
      <c r="F53" t="str">
        <f>HYPERLINK("https://portal.dnb.de/opac.htm?method=simpleSearch&amp;cqlMode=true&amp;query=idn%3D1066941874", "Portal")</f>
        <v>Portal</v>
      </c>
      <c r="G53" t="s">
        <v>125</v>
      </c>
      <c r="H53" t="s">
        <v>385</v>
      </c>
      <c r="I53" t="s">
        <v>386</v>
      </c>
      <c r="J53" t="s">
        <v>387</v>
      </c>
      <c r="K53" t="s">
        <v>387</v>
      </c>
      <c r="L53" t="s">
        <v>387</v>
      </c>
      <c r="N53" t="s">
        <v>388</v>
      </c>
      <c r="O53" t="s">
        <v>117</v>
      </c>
      <c r="BN53">
        <v>0</v>
      </c>
    </row>
    <row r="54" spans="1:92" x14ac:dyDescent="0.2">
      <c r="A54" t="s">
        <v>111</v>
      </c>
      <c r="B54" t="b">
        <v>1</v>
      </c>
      <c r="E54">
        <v>33</v>
      </c>
      <c r="F54" t="str">
        <f>HYPERLINK("https://portal.dnb.de/opac.htm?method=simpleSearch&amp;cqlMode=true&amp;query=idn%3D1066963703", "Portal")</f>
        <v>Portal</v>
      </c>
      <c r="G54" t="s">
        <v>125</v>
      </c>
      <c r="H54" t="s">
        <v>389</v>
      </c>
      <c r="I54" t="s">
        <v>390</v>
      </c>
      <c r="J54" t="s">
        <v>391</v>
      </c>
      <c r="K54" t="s">
        <v>391</v>
      </c>
      <c r="L54" t="s">
        <v>391</v>
      </c>
      <c r="N54" t="s">
        <v>392</v>
      </c>
      <c r="O54" t="s">
        <v>117</v>
      </c>
      <c r="P54" t="s">
        <v>118</v>
      </c>
      <c r="R54" t="s">
        <v>157</v>
      </c>
      <c r="S54" t="s">
        <v>121</v>
      </c>
      <c r="T54" t="s">
        <v>130</v>
      </c>
      <c r="U54" t="s">
        <v>203</v>
      </c>
      <c r="W54" t="s">
        <v>67</v>
      </c>
      <c r="X54" t="s">
        <v>124</v>
      </c>
      <c r="Y54">
        <v>0</v>
      </c>
      <c r="BN54">
        <v>0</v>
      </c>
    </row>
    <row r="55" spans="1:92" x14ac:dyDescent="0.2">
      <c r="A55" t="s">
        <v>111</v>
      </c>
      <c r="B55" t="b">
        <v>1</v>
      </c>
      <c r="E55">
        <v>34</v>
      </c>
      <c r="F55" t="str">
        <f>HYPERLINK("https://portal.dnb.de/opac.htm?method=simpleSearch&amp;cqlMode=true&amp;query=idn%3D1066957665", "Portal")</f>
        <v>Portal</v>
      </c>
      <c r="G55" t="s">
        <v>125</v>
      </c>
      <c r="H55" t="s">
        <v>393</v>
      </c>
      <c r="I55" t="s">
        <v>394</v>
      </c>
      <c r="J55" t="s">
        <v>395</v>
      </c>
      <c r="K55" t="s">
        <v>395</v>
      </c>
      <c r="L55" t="s">
        <v>395</v>
      </c>
      <c r="N55" t="s">
        <v>396</v>
      </c>
      <c r="O55" t="s">
        <v>117</v>
      </c>
      <c r="P55" t="s">
        <v>118</v>
      </c>
      <c r="R55" t="s">
        <v>397</v>
      </c>
      <c r="S55" t="s">
        <v>121</v>
      </c>
      <c r="T55" t="s">
        <v>122</v>
      </c>
      <c r="Y55">
        <v>0</v>
      </c>
      <c r="BN55">
        <v>0</v>
      </c>
    </row>
    <row r="56" spans="1:92" x14ac:dyDescent="0.2">
      <c r="A56" t="s">
        <v>111</v>
      </c>
      <c r="B56" t="b">
        <v>1</v>
      </c>
      <c r="E56">
        <v>69</v>
      </c>
      <c r="F56" t="str">
        <f>HYPERLINK("https://portal.dnb.de/opac.htm?method=simpleSearch&amp;cqlMode=true&amp;query=idn%3D1000479455", "Portal")</f>
        <v>Portal</v>
      </c>
      <c r="G56" t="s">
        <v>112</v>
      </c>
      <c r="H56" t="s">
        <v>398</v>
      </c>
      <c r="I56" t="s">
        <v>399</v>
      </c>
      <c r="J56" t="s">
        <v>400</v>
      </c>
      <c r="K56" t="s">
        <v>400</v>
      </c>
      <c r="L56" t="s">
        <v>400</v>
      </c>
      <c r="N56" t="s">
        <v>401</v>
      </c>
      <c r="O56" t="s">
        <v>117</v>
      </c>
      <c r="BN56">
        <v>0</v>
      </c>
    </row>
    <row r="57" spans="1:92" x14ac:dyDescent="0.2">
      <c r="A57" t="s">
        <v>111</v>
      </c>
      <c r="B57" t="b">
        <v>1</v>
      </c>
      <c r="E57">
        <v>70</v>
      </c>
      <c r="F57" t="str">
        <f>HYPERLINK("https://portal.dnb.de/opac.htm?method=simpleSearch&amp;cqlMode=true&amp;query=idn%3D1001776801", "Portal")</f>
        <v>Portal</v>
      </c>
      <c r="G57" t="s">
        <v>112</v>
      </c>
      <c r="H57" t="s">
        <v>402</v>
      </c>
      <c r="I57" t="s">
        <v>403</v>
      </c>
      <c r="J57" t="s">
        <v>404</v>
      </c>
      <c r="K57" t="s">
        <v>404</v>
      </c>
      <c r="L57" t="s">
        <v>404</v>
      </c>
      <c r="N57" t="s">
        <v>405</v>
      </c>
      <c r="O57" t="s">
        <v>117</v>
      </c>
      <c r="R57" t="s">
        <v>346</v>
      </c>
      <c r="S57" t="s">
        <v>121</v>
      </c>
      <c r="T57" t="s">
        <v>122</v>
      </c>
      <c r="Y57">
        <v>1</v>
      </c>
      <c r="BN57">
        <v>0</v>
      </c>
    </row>
    <row r="58" spans="1:92" x14ac:dyDescent="0.2">
      <c r="A58" t="s">
        <v>111</v>
      </c>
      <c r="B58" t="b">
        <v>1</v>
      </c>
      <c r="E58">
        <v>71</v>
      </c>
      <c r="F58" t="str">
        <f>HYPERLINK("https://portal.dnb.de/opac.htm?method=simpleSearch&amp;cqlMode=true&amp;query=idn%3D996725954", "Portal")</f>
        <v>Portal</v>
      </c>
      <c r="G58" t="s">
        <v>112</v>
      </c>
      <c r="H58" t="s">
        <v>406</v>
      </c>
      <c r="I58" t="s">
        <v>407</v>
      </c>
      <c r="J58" t="s">
        <v>408</v>
      </c>
      <c r="K58" t="s">
        <v>408</v>
      </c>
      <c r="L58" t="s">
        <v>408</v>
      </c>
      <c r="N58" t="s">
        <v>409</v>
      </c>
      <c r="O58" t="s">
        <v>117</v>
      </c>
      <c r="BN58">
        <v>0</v>
      </c>
    </row>
    <row r="59" spans="1:92" x14ac:dyDescent="0.2">
      <c r="A59" t="s">
        <v>111</v>
      </c>
      <c r="B59" t="b">
        <v>1</v>
      </c>
      <c r="E59">
        <v>72</v>
      </c>
      <c r="F59" t="str">
        <f>HYPERLINK("https://portal.dnb.de/opac.htm?method=simpleSearch&amp;cqlMode=true&amp;query=idn%3D993973221", "Portal")</f>
        <v>Portal</v>
      </c>
      <c r="G59" t="s">
        <v>112</v>
      </c>
      <c r="H59" t="s">
        <v>410</v>
      </c>
      <c r="I59" t="s">
        <v>411</v>
      </c>
      <c r="J59" t="s">
        <v>412</v>
      </c>
      <c r="K59" t="s">
        <v>412</v>
      </c>
      <c r="L59" t="s">
        <v>413</v>
      </c>
      <c r="N59" t="s">
        <v>414</v>
      </c>
      <c r="O59" t="s">
        <v>117</v>
      </c>
      <c r="P59" t="s">
        <v>118</v>
      </c>
      <c r="R59" t="s">
        <v>145</v>
      </c>
      <c r="S59" t="s">
        <v>121</v>
      </c>
      <c r="T59" t="s">
        <v>130</v>
      </c>
      <c r="U59" t="s">
        <v>203</v>
      </c>
      <c r="W59" t="s">
        <v>147</v>
      </c>
      <c r="X59" t="s">
        <v>124</v>
      </c>
      <c r="Y59">
        <v>0</v>
      </c>
      <c r="BN59">
        <v>0</v>
      </c>
    </row>
    <row r="60" spans="1:92" x14ac:dyDescent="0.2">
      <c r="A60" t="s">
        <v>111</v>
      </c>
      <c r="B60" t="b">
        <v>1</v>
      </c>
      <c r="E60">
        <v>73</v>
      </c>
      <c r="F60" t="str">
        <f>HYPERLINK("https://portal.dnb.de/opac.htm?method=simpleSearch&amp;cqlMode=true&amp;query=idn%3D986063355", "Portal")</f>
        <v>Portal</v>
      </c>
      <c r="G60" t="s">
        <v>415</v>
      </c>
      <c r="H60" t="s">
        <v>416</v>
      </c>
      <c r="I60" t="s">
        <v>417</v>
      </c>
      <c r="J60" t="s">
        <v>418</v>
      </c>
      <c r="K60" t="s">
        <v>418</v>
      </c>
      <c r="L60" t="s">
        <v>418</v>
      </c>
      <c r="N60" t="s">
        <v>419</v>
      </c>
      <c r="O60" t="s">
        <v>117</v>
      </c>
      <c r="R60" t="s">
        <v>374</v>
      </c>
      <c r="S60" t="s">
        <v>121</v>
      </c>
      <c r="T60" t="s">
        <v>122</v>
      </c>
      <c r="U60" t="s">
        <v>420</v>
      </c>
      <c r="W60" t="s">
        <v>421</v>
      </c>
      <c r="X60" t="s">
        <v>124</v>
      </c>
      <c r="Y60">
        <v>1</v>
      </c>
      <c r="BN60">
        <v>0</v>
      </c>
    </row>
    <row r="61" spans="1:92" x14ac:dyDescent="0.2">
      <c r="A61" t="s">
        <v>111</v>
      </c>
      <c r="B61" t="b">
        <v>1</v>
      </c>
      <c r="E61">
        <v>35</v>
      </c>
      <c r="F61" t="str">
        <f>HYPERLINK("https://portal.dnb.de/opac.htm?method=simpleSearch&amp;cqlMode=true&amp;query=idn%3D997856157", "Portal")</f>
        <v>Portal</v>
      </c>
      <c r="G61" t="s">
        <v>112</v>
      </c>
      <c r="H61" t="s">
        <v>422</v>
      </c>
      <c r="I61" t="s">
        <v>423</v>
      </c>
      <c r="J61" t="s">
        <v>424</v>
      </c>
      <c r="K61" t="s">
        <v>424</v>
      </c>
      <c r="L61" t="s">
        <v>424</v>
      </c>
      <c r="N61" t="s">
        <v>425</v>
      </c>
      <c r="O61" t="s">
        <v>117</v>
      </c>
      <c r="BN61">
        <v>0</v>
      </c>
    </row>
    <row r="62" spans="1:92" x14ac:dyDescent="0.2">
      <c r="A62" t="s">
        <v>111</v>
      </c>
      <c r="B62" t="b">
        <v>1</v>
      </c>
      <c r="E62">
        <v>36</v>
      </c>
      <c r="F62" t="str">
        <f>HYPERLINK("https://portal.dnb.de/opac.htm?method=simpleSearch&amp;cqlMode=true&amp;query=idn%3D1002053153", "Portal")</f>
        <v>Portal</v>
      </c>
      <c r="G62" t="s">
        <v>112</v>
      </c>
      <c r="H62" t="s">
        <v>426</v>
      </c>
      <c r="I62" t="s">
        <v>427</v>
      </c>
      <c r="J62" t="s">
        <v>428</v>
      </c>
      <c r="K62" t="s">
        <v>428</v>
      </c>
      <c r="L62" t="s">
        <v>428</v>
      </c>
      <c r="N62" t="s">
        <v>429</v>
      </c>
      <c r="O62" t="s">
        <v>117</v>
      </c>
      <c r="BN62">
        <v>0</v>
      </c>
    </row>
    <row r="63" spans="1:92" x14ac:dyDescent="0.2">
      <c r="A63" t="s">
        <v>111</v>
      </c>
      <c r="B63" t="b">
        <v>1</v>
      </c>
      <c r="E63">
        <v>37</v>
      </c>
      <c r="F63" t="str">
        <f>HYPERLINK("https://portal.dnb.de/opac.htm?method=simpleSearch&amp;cqlMode=true&amp;query=idn%3D999177729", "Portal")</f>
        <v>Portal</v>
      </c>
      <c r="G63" t="s">
        <v>112</v>
      </c>
      <c r="H63" t="s">
        <v>430</v>
      </c>
      <c r="I63" t="s">
        <v>431</v>
      </c>
      <c r="J63" t="s">
        <v>432</v>
      </c>
      <c r="K63" t="s">
        <v>432</v>
      </c>
      <c r="L63" t="s">
        <v>432</v>
      </c>
      <c r="N63" t="s">
        <v>433</v>
      </c>
      <c r="O63" t="s">
        <v>117</v>
      </c>
      <c r="BN63">
        <v>0</v>
      </c>
    </row>
    <row r="64" spans="1:92" x14ac:dyDescent="0.2">
      <c r="A64" t="s">
        <v>111</v>
      </c>
      <c r="B64" t="b">
        <v>1</v>
      </c>
      <c r="E64">
        <v>38</v>
      </c>
      <c r="F64" t="str">
        <f>HYPERLINK("https://portal.dnb.de/opac.htm?method=simpleSearch&amp;cqlMode=true&amp;query=idn%3D1000152936", "Portal")</f>
        <v>Portal</v>
      </c>
      <c r="G64" t="s">
        <v>112</v>
      </c>
      <c r="H64" t="s">
        <v>434</v>
      </c>
      <c r="I64" t="s">
        <v>435</v>
      </c>
      <c r="J64" t="s">
        <v>436</v>
      </c>
      <c r="K64" t="s">
        <v>436</v>
      </c>
      <c r="L64" t="s">
        <v>436</v>
      </c>
      <c r="N64" t="s">
        <v>437</v>
      </c>
      <c r="O64" t="s">
        <v>117</v>
      </c>
      <c r="R64" t="s">
        <v>157</v>
      </c>
      <c r="S64" t="s">
        <v>121</v>
      </c>
      <c r="T64" t="s">
        <v>130</v>
      </c>
      <c r="Y64">
        <v>0</v>
      </c>
      <c r="BN64">
        <v>0</v>
      </c>
    </row>
    <row r="65" spans="1:92" x14ac:dyDescent="0.2">
      <c r="A65" t="s">
        <v>111</v>
      </c>
      <c r="B65" t="b">
        <v>1</v>
      </c>
      <c r="E65">
        <v>39</v>
      </c>
      <c r="F65" t="str">
        <f>HYPERLINK("https://portal.dnb.de/opac.htm?method=simpleSearch&amp;cqlMode=true&amp;query=idn%3D994061757", "Portal")</f>
        <v>Portal</v>
      </c>
      <c r="G65" t="s">
        <v>112</v>
      </c>
      <c r="H65" t="s">
        <v>438</v>
      </c>
      <c r="I65" t="s">
        <v>439</v>
      </c>
      <c r="J65" t="s">
        <v>440</v>
      </c>
      <c r="K65" t="s">
        <v>440</v>
      </c>
      <c r="L65" t="s">
        <v>440</v>
      </c>
      <c r="N65" t="s">
        <v>441</v>
      </c>
      <c r="O65" t="s">
        <v>117</v>
      </c>
      <c r="BN65">
        <v>0</v>
      </c>
    </row>
    <row r="66" spans="1:92" x14ac:dyDescent="0.2">
      <c r="A66" t="s">
        <v>111</v>
      </c>
      <c r="B66" t="b">
        <v>1</v>
      </c>
      <c r="E66">
        <v>40</v>
      </c>
      <c r="F66" t="str">
        <f>HYPERLINK("https://portal.dnb.de/opac.htm?method=simpleSearch&amp;cqlMode=true&amp;query=idn%3D999175432", "Portal")</f>
        <v>Portal</v>
      </c>
      <c r="G66" t="s">
        <v>112</v>
      </c>
      <c r="H66" t="s">
        <v>442</v>
      </c>
      <c r="I66" t="s">
        <v>443</v>
      </c>
      <c r="J66" t="s">
        <v>444</v>
      </c>
      <c r="K66" t="s">
        <v>444</v>
      </c>
      <c r="L66" t="s">
        <v>444</v>
      </c>
      <c r="N66" t="s">
        <v>445</v>
      </c>
      <c r="O66" t="s">
        <v>117</v>
      </c>
      <c r="R66" t="s">
        <v>163</v>
      </c>
      <c r="S66" t="s">
        <v>121</v>
      </c>
      <c r="T66" t="s">
        <v>122</v>
      </c>
      <c r="U66" t="s">
        <v>203</v>
      </c>
      <c r="Y66">
        <v>0</v>
      </c>
      <c r="BN66">
        <v>0</v>
      </c>
    </row>
    <row r="67" spans="1:92" x14ac:dyDescent="0.2">
      <c r="A67" t="s">
        <v>111</v>
      </c>
      <c r="B67" t="b">
        <v>1</v>
      </c>
      <c r="E67">
        <v>41</v>
      </c>
      <c r="F67" t="str">
        <f>HYPERLINK("https://portal.dnb.de/opac.htm?method=simpleSearch&amp;cqlMode=true&amp;query=idn%3D997855789", "Portal")</f>
        <v>Portal</v>
      </c>
      <c r="G67" t="s">
        <v>112</v>
      </c>
      <c r="H67" t="s">
        <v>446</v>
      </c>
      <c r="I67" t="s">
        <v>447</v>
      </c>
      <c r="J67" t="s">
        <v>448</v>
      </c>
      <c r="K67" t="s">
        <v>448</v>
      </c>
      <c r="L67" t="s">
        <v>448</v>
      </c>
      <c r="N67" t="s">
        <v>449</v>
      </c>
      <c r="O67" t="s">
        <v>117</v>
      </c>
      <c r="BN67">
        <v>0</v>
      </c>
    </row>
    <row r="68" spans="1:92" x14ac:dyDescent="0.2">
      <c r="A68" t="s">
        <v>111</v>
      </c>
      <c r="B68" t="b">
        <v>1</v>
      </c>
      <c r="E68">
        <v>42</v>
      </c>
      <c r="F68" t="str">
        <f>HYPERLINK("https://portal.dnb.de/opac.htm?method=simpleSearch&amp;cqlMode=true&amp;query=idn%3D998431591", "Portal")</f>
        <v>Portal</v>
      </c>
      <c r="G68" t="s">
        <v>415</v>
      </c>
      <c r="H68" t="s">
        <v>450</v>
      </c>
      <c r="I68" t="s">
        <v>451</v>
      </c>
      <c r="J68" t="s">
        <v>452</v>
      </c>
      <c r="K68" t="s">
        <v>452</v>
      </c>
      <c r="L68" t="s">
        <v>452</v>
      </c>
      <c r="N68" t="s">
        <v>453</v>
      </c>
      <c r="O68" t="s">
        <v>117</v>
      </c>
      <c r="BN68">
        <v>0</v>
      </c>
    </row>
    <row r="69" spans="1:92" x14ac:dyDescent="0.2">
      <c r="A69" t="s">
        <v>111</v>
      </c>
      <c r="B69" t="b">
        <v>1</v>
      </c>
      <c r="E69">
        <v>43</v>
      </c>
      <c r="F69" t="str">
        <f>HYPERLINK("https://portal.dnb.de/opac.htm?method=simpleSearch&amp;cqlMode=true&amp;query=idn%3D1013629493", "Portal")</f>
        <v>Portal</v>
      </c>
      <c r="G69" t="s">
        <v>415</v>
      </c>
      <c r="H69" t="s">
        <v>454</v>
      </c>
      <c r="I69" t="s">
        <v>455</v>
      </c>
      <c r="J69" t="s">
        <v>456</v>
      </c>
      <c r="K69" t="s">
        <v>456</v>
      </c>
      <c r="L69" t="s">
        <v>456</v>
      </c>
      <c r="N69" t="s">
        <v>457</v>
      </c>
      <c r="O69" t="s">
        <v>117</v>
      </c>
      <c r="R69" t="s">
        <v>145</v>
      </c>
      <c r="S69" t="s">
        <v>146</v>
      </c>
      <c r="T69" t="s">
        <v>130</v>
      </c>
      <c r="U69" t="s">
        <v>458</v>
      </c>
      <c r="Y69">
        <v>0</v>
      </c>
      <c r="AI69" t="s">
        <v>149</v>
      </c>
      <c r="AL69" t="s">
        <v>132</v>
      </c>
      <c r="AM69" t="s">
        <v>196</v>
      </c>
      <c r="AS69" t="s">
        <v>135</v>
      </c>
      <c r="AW69" t="s">
        <v>132</v>
      </c>
      <c r="BE69">
        <v>0</v>
      </c>
      <c r="BF69" t="s">
        <v>132</v>
      </c>
      <c r="BG69">
        <v>45</v>
      </c>
      <c r="BM69" t="s">
        <v>137</v>
      </c>
      <c r="BN69">
        <v>0</v>
      </c>
      <c r="BW69" t="s">
        <v>139</v>
      </c>
      <c r="BX69" t="s">
        <v>459</v>
      </c>
      <c r="BY69" t="s">
        <v>460</v>
      </c>
    </row>
    <row r="70" spans="1:92" x14ac:dyDescent="0.2">
      <c r="A70" t="s">
        <v>111</v>
      </c>
      <c r="B70" t="b">
        <v>1</v>
      </c>
      <c r="E70">
        <v>75</v>
      </c>
      <c r="F70" t="str">
        <f>HYPERLINK("https://portal.dnb.de/opac.htm?method=simpleSearch&amp;cqlMode=true&amp;query=idn%3D1066865930", "Portal")</f>
        <v>Portal</v>
      </c>
      <c r="G70" t="s">
        <v>125</v>
      </c>
      <c r="H70" t="s">
        <v>461</v>
      </c>
      <c r="I70" t="s">
        <v>462</v>
      </c>
      <c r="J70" t="s">
        <v>463</v>
      </c>
      <c r="K70" t="s">
        <v>463</v>
      </c>
      <c r="L70" t="s">
        <v>463</v>
      </c>
      <c r="N70" t="s">
        <v>464</v>
      </c>
      <c r="O70" t="s">
        <v>117</v>
      </c>
      <c r="P70" t="s">
        <v>118</v>
      </c>
      <c r="R70" t="s">
        <v>465</v>
      </c>
      <c r="S70" t="s">
        <v>121</v>
      </c>
      <c r="T70" t="s">
        <v>130</v>
      </c>
      <c r="Y70">
        <v>1</v>
      </c>
      <c r="BN70">
        <v>0</v>
      </c>
    </row>
    <row r="71" spans="1:92" x14ac:dyDescent="0.2">
      <c r="A71" t="s">
        <v>111</v>
      </c>
      <c r="B71" t="b">
        <v>1</v>
      </c>
      <c r="E71">
        <v>76</v>
      </c>
      <c r="F71" t="str">
        <f>HYPERLINK("https://portal.dnb.de/opac.htm?method=simpleSearch&amp;cqlMode=true&amp;query=idn%3D1066847150", "Portal")</f>
        <v>Portal</v>
      </c>
      <c r="G71" t="s">
        <v>125</v>
      </c>
      <c r="H71" t="s">
        <v>466</v>
      </c>
      <c r="I71" t="s">
        <v>467</v>
      </c>
      <c r="J71" t="s">
        <v>468</v>
      </c>
      <c r="K71" t="s">
        <v>468</v>
      </c>
      <c r="L71" t="s">
        <v>468</v>
      </c>
      <c r="N71" t="s">
        <v>469</v>
      </c>
      <c r="O71" t="s">
        <v>117</v>
      </c>
      <c r="S71" t="s">
        <v>470</v>
      </c>
      <c r="AI71" t="s">
        <v>365</v>
      </c>
      <c r="AK71" t="s">
        <v>132</v>
      </c>
      <c r="AM71" t="s">
        <v>134</v>
      </c>
      <c r="AS71" t="s">
        <v>135</v>
      </c>
      <c r="BC71" t="s">
        <v>471</v>
      </c>
      <c r="BD71" t="s">
        <v>132</v>
      </c>
      <c r="BG71">
        <v>45</v>
      </c>
      <c r="BM71" t="s">
        <v>137</v>
      </c>
      <c r="BN71">
        <v>0</v>
      </c>
    </row>
    <row r="72" spans="1:92" x14ac:dyDescent="0.2">
      <c r="A72" t="s">
        <v>111</v>
      </c>
      <c r="B72" t="b">
        <v>1</v>
      </c>
      <c r="E72">
        <v>77</v>
      </c>
      <c r="F72" t="str">
        <f>HYPERLINK("https://portal.dnb.de/opac.htm?method=simpleSearch&amp;cqlMode=true&amp;query=idn%3D1066961883", "Portal")</f>
        <v>Portal</v>
      </c>
      <c r="G72" t="s">
        <v>125</v>
      </c>
      <c r="H72" t="s">
        <v>472</v>
      </c>
      <c r="I72" t="s">
        <v>473</v>
      </c>
      <c r="J72" t="s">
        <v>474</v>
      </c>
      <c r="K72" t="s">
        <v>474</v>
      </c>
      <c r="L72" t="s">
        <v>474</v>
      </c>
      <c r="N72" t="s">
        <v>475</v>
      </c>
      <c r="O72" t="s">
        <v>117</v>
      </c>
      <c r="BN72">
        <v>0</v>
      </c>
    </row>
    <row r="73" spans="1:92" x14ac:dyDescent="0.2">
      <c r="A73" t="s">
        <v>111</v>
      </c>
      <c r="B73" t="b">
        <v>1</v>
      </c>
      <c r="E73">
        <v>78</v>
      </c>
      <c r="F73" t="str">
        <f>HYPERLINK("https://portal.dnb.de/opac.htm?method=simpleSearch&amp;cqlMode=true&amp;query=idn%3D106696243X", "Portal")</f>
        <v>Portal</v>
      </c>
      <c r="G73" t="s">
        <v>125</v>
      </c>
      <c r="H73" t="s">
        <v>476</v>
      </c>
      <c r="I73" t="s">
        <v>477</v>
      </c>
      <c r="J73" t="s">
        <v>478</v>
      </c>
      <c r="K73" t="s">
        <v>478</v>
      </c>
      <c r="L73" t="s">
        <v>478</v>
      </c>
      <c r="N73" t="s">
        <v>479</v>
      </c>
      <c r="O73" t="s">
        <v>117</v>
      </c>
      <c r="P73" t="s">
        <v>118</v>
      </c>
      <c r="R73" t="s">
        <v>480</v>
      </c>
      <c r="S73" t="s">
        <v>121</v>
      </c>
      <c r="T73" t="s">
        <v>130</v>
      </c>
      <c r="U73" t="s">
        <v>123</v>
      </c>
      <c r="Y73">
        <v>0</v>
      </c>
      <c r="BN73">
        <v>0</v>
      </c>
    </row>
    <row r="74" spans="1:92" x14ac:dyDescent="0.2">
      <c r="A74" t="s">
        <v>111</v>
      </c>
      <c r="B74" t="b">
        <v>1</v>
      </c>
      <c r="C74" t="s">
        <v>132</v>
      </c>
      <c r="E74">
        <v>79</v>
      </c>
      <c r="F74" t="str">
        <f>HYPERLINK("https://portal.dnb.de/opac.htm?method=simpleSearch&amp;cqlMode=true&amp;query=idn%3D1066798702", "Portal")</f>
        <v>Portal</v>
      </c>
      <c r="G74" t="s">
        <v>125</v>
      </c>
      <c r="H74" t="s">
        <v>481</v>
      </c>
      <c r="I74" t="s">
        <v>482</v>
      </c>
      <c r="J74" t="s">
        <v>483</v>
      </c>
      <c r="K74" t="s">
        <v>483</v>
      </c>
      <c r="L74" t="s">
        <v>483</v>
      </c>
      <c r="N74" t="s">
        <v>484</v>
      </c>
      <c r="O74" t="s">
        <v>117</v>
      </c>
      <c r="S74" t="s">
        <v>146</v>
      </c>
      <c r="AI74" t="s">
        <v>149</v>
      </c>
      <c r="AK74" t="s">
        <v>132</v>
      </c>
      <c r="AM74" t="s">
        <v>179</v>
      </c>
      <c r="AS74" t="s">
        <v>135</v>
      </c>
      <c r="BG74">
        <v>80</v>
      </c>
      <c r="BM74" t="s">
        <v>180</v>
      </c>
      <c r="BN74">
        <v>9</v>
      </c>
      <c r="BR74" t="s">
        <v>132</v>
      </c>
      <c r="BZ74" t="s">
        <v>132</v>
      </c>
      <c r="CA74" t="s">
        <v>132</v>
      </c>
      <c r="CB74" t="s">
        <v>132</v>
      </c>
      <c r="CD74" t="s">
        <v>184</v>
      </c>
      <c r="CE74">
        <v>4</v>
      </c>
      <c r="CM74">
        <v>9</v>
      </c>
      <c r="CN74" t="s">
        <v>485</v>
      </c>
    </row>
    <row r="75" spans="1:92" x14ac:dyDescent="0.2">
      <c r="A75" t="s">
        <v>111</v>
      </c>
      <c r="B75" t="b">
        <v>0</v>
      </c>
      <c r="E75">
        <v>80</v>
      </c>
      <c r="F75" t="str">
        <f>HYPERLINK("https://portal.dnb.de/opac.htm?method=simpleSearch&amp;cqlMode=true&amp;query=idn%3D1066960135", "Portal")</f>
        <v>Portal</v>
      </c>
      <c r="H75" t="s">
        <v>486</v>
      </c>
      <c r="I75" t="s">
        <v>487</v>
      </c>
      <c r="L75" t="s">
        <v>488</v>
      </c>
      <c r="AD75" t="s">
        <v>489</v>
      </c>
      <c r="BN75">
        <v>0</v>
      </c>
    </row>
    <row r="76" spans="1:92" x14ac:dyDescent="0.2">
      <c r="A76" t="s">
        <v>111</v>
      </c>
      <c r="B76" t="b">
        <v>1</v>
      </c>
      <c r="C76" t="s">
        <v>132</v>
      </c>
      <c r="E76">
        <v>81</v>
      </c>
      <c r="F76" t="str">
        <f>HYPERLINK("https://portal.dnb.de/opac.htm?method=simpleSearch&amp;cqlMode=true&amp;query=idn%3D1066871604", "Portal")</f>
        <v>Portal</v>
      </c>
      <c r="G76" t="s">
        <v>125</v>
      </c>
      <c r="H76" t="s">
        <v>490</v>
      </c>
      <c r="I76" t="s">
        <v>491</v>
      </c>
      <c r="J76" t="s">
        <v>492</v>
      </c>
      <c r="K76" t="s">
        <v>492</v>
      </c>
      <c r="L76" t="s">
        <v>492</v>
      </c>
      <c r="N76" t="s">
        <v>493</v>
      </c>
      <c r="O76" t="s">
        <v>117</v>
      </c>
      <c r="P76" t="s">
        <v>118</v>
      </c>
      <c r="Q76" t="s">
        <v>494</v>
      </c>
      <c r="R76" t="s">
        <v>190</v>
      </c>
      <c r="S76" t="s">
        <v>146</v>
      </c>
      <c r="T76" t="s">
        <v>130</v>
      </c>
      <c r="U76" t="s">
        <v>203</v>
      </c>
      <c r="Y76">
        <v>3</v>
      </c>
      <c r="AI76" t="s">
        <v>365</v>
      </c>
      <c r="AK76" t="s">
        <v>132</v>
      </c>
      <c r="AM76" t="s">
        <v>134</v>
      </c>
      <c r="AS76" t="s">
        <v>135</v>
      </c>
      <c r="BG76">
        <v>110</v>
      </c>
      <c r="BM76" t="s">
        <v>180</v>
      </c>
      <c r="BN76">
        <v>1</v>
      </c>
      <c r="BZ76" t="s">
        <v>132</v>
      </c>
      <c r="CA76" t="s">
        <v>132</v>
      </c>
      <c r="CB76" t="s">
        <v>132</v>
      </c>
      <c r="CL76" t="s">
        <v>132</v>
      </c>
      <c r="CM76">
        <v>1</v>
      </c>
      <c r="CN76" t="s">
        <v>495</v>
      </c>
    </row>
    <row r="77" spans="1:92" x14ac:dyDescent="0.2">
      <c r="A77" t="s">
        <v>111</v>
      </c>
      <c r="B77" t="b">
        <v>1</v>
      </c>
      <c r="C77" t="s">
        <v>132</v>
      </c>
      <c r="E77">
        <v>82</v>
      </c>
      <c r="F77" t="str">
        <f>HYPERLINK("https://portal.dnb.de/opac.htm?method=simpleSearch&amp;cqlMode=true&amp;query=idn%3D1066959587", "Portal")</f>
        <v>Portal</v>
      </c>
      <c r="G77" t="s">
        <v>125</v>
      </c>
      <c r="H77" t="s">
        <v>496</v>
      </c>
      <c r="I77" t="s">
        <v>497</v>
      </c>
      <c r="J77" t="s">
        <v>498</v>
      </c>
      <c r="K77" t="s">
        <v>498</v>
      </c>
      <c r="L77" t="s">
        <v>498</v>
      </c>
      <c r="N77" t="s">
        <v>499</v>
      </c>
      <c r="O77" t="s">
        <v>117</v>
      </c>
      <c r="P77" t="s">
        <v>118</v>
      </c>
      <c r="R77" t="s">
        <v>120</v>
      </c>
      <c r="S77" t="s">
        <v>121</v>
      </c>
      <c r="T77" t="s">
        <v>130</v>
      </c>
      <c r="U77" t="s">
        <v>500</v>
      </c>
      <c r="Y77">
        <v>3</v>
      </c>
      <c r="AI77" t="s">
        <v>133</v>
      </c>
      <c r="AK77" t="s">
        <v>132</v>
      </c>
      <c r="AM77" t="s">
        <v>179</v>
      </c>
      <c r="AS77" t="s">
        <v>135</v>
      </c>
      <c r="BG77">
        <v>45</v>
      </c>
      <c r="BM77" t="s">
        <v>180</v>
      </c>
      <c r="BN77">
        <v>2</v>
      </c>
      <c r="BZ77" t="s">
        <v>132</v>
      </c>
      <c r="CA77" t="s">
        <v>132</v>
      </c>
      <c r="CB77" t="s">
        <v>132</v>
      </c>
      <c r="CD77" t="s">
        <v>204</v>
      </c>
      <c r="CM77">
        <v>2</v>
      </c>
      <c r="CN77" t="s">
        <v>501</v>
      </c>
    </row>
    <row r="78" spans="1:92" x14ac:dyDescent="0.2">
      <c r="A78" t="s">
        <v>111</v>
      </c>
      <c r="B78" t="b">
        <v>1</v>
      </c>
      <c r="E78">
        <v>83</v>
      </c>
      <c r="F78" t="str">
        <f>HYPERLINK("https://portal.dnb.de/opac.htm?method=simpleSearch&amp;cqlMode=true&amp;query=idn%3D1066960372", "Portal")</f>
        <v>Portal</v>
      </c>
      <c r="G78" t="s">
        <v>125</v>
      </c>
      <c r="H78" t="s">
        <v>502</v>
      </c>
      <c r="I78" t="s">
        <v>503</v>
      </c>
      <c r="J78" t="s">
        <v>504</v>
      </c>
      <c r="K78" t="s">
        <v>504</v>
      </c>
      <c r="L78" t="s">
        <v>504</v>
      </c>
      <c r="N78" t="s">
        <v>505</v>
      </c>
      <c r="O78" t="s">
        <v>117</v>
      </c>
      <c r="P78" t="s">
        <v>118</v>
      </c>
      <c r="R78" t="s">
        <v>120</v>
      </c>
      <c r="S78" t="s">
        <v>146</v>
      </c>
      <c r="T78" t="s">
        <v>130</v>
      </c>
      <c r="U78" t="s">
        <v>506</v>
      </c>
      <c r="Y78">
        <v>3</v>
      </c>
      <c r="AI78" t="s">
        <v>133</v>
      </c>
      <c r="AK78" t="s">
        <v>132</v>
      </c>
      <c r="AM78" t="s">
        <v>179</v>
      </c>
      <c r="AS78" t="s">
        <v>135</v>
      </c>
      <c r="BG78">
        <v>110</v>
      </c>
      <c r="BM78" t="s">
        <v>137</v>
      </c>
      <c r="BN78">
        <v>0</v>
      </c>
      <c r="BV78" t="s">
        <v>355</v>
      </c>
    </row>
    <row r="79" spans="1:92" x14ac:dyDescent="0.2">
      <c r="A79" t="s">
        <v>111</v>
      </c>
      <c r="B79" t="b">
        <v>1</v>
      </c>
      <c r="E79">
        <v>189</v>
      </c>
      <c r="F79" t="str">
        <f>HYPERLINK("https://portal.dnb.de/opac.htm?method=simpleSearch&amp;cqlMode=true&amp;query=idn%3D1066959099", "Portal")</f>
        <v>Portal</v>
      </c>
      <c r="G79" t="s">
        <v>125</v>
      </c>
      <c r="H79" t="s">
        <v>507</v>
      </c>
      <c r="I79" t="s">
        <v>508</v>
      </c>
      <c r="J79" t="s">
        <v>509</v>
      </c>
      <c r="K79" t="s">
        <v>509</v>
      </c>
      <c r="L79" t="s">
        <v>509</v>
      </c>
      <c r="N79" t="s">
        <v>510</v>
      </c>
      <c r="O79" t="s">
        <v>117</v>
      </c>
      <c r="P79" t="s">
        <v>118</v>
      </c>
      <c r="R79" t="s">
        <v>480</v>
      </c>
      <c r="S79" t="s">
        <v>146</v>
      </c>
      <c r="T79" t="s">
        <v>130</v>
      </c>
      <c r="U79" t="s">
        <v>210</v>
      </c>
      <c r="Y79">
        <v>0</v>
      </c>
      <c r="BN79">
        <v>0</v>
      </c>
    </row>
    <row r="80" spans="1:92" x14ac:dyDescent="0.2">
      <c r="A80" t="s">
        <v>111</v>
      </c>
      <c r="B80" t="b">
        <v>1</v>
      </c>
      <c r="E80">
        <v>190</v>
      </c>
      <c r="F80" t="str">
        <f>HYPERLINK("https://portal.dnb.de/opac.htm?method=simpleSearch&amp;cqlMode=true&amp;query=idn%3D1002641578", "Portal")</f>
        <v>Portal</v>
      </c>
      <c r="G80" t="s">
        <v>112</v>
      </c>
      <c r="H80" t="s">
        <v>511</v>
      </c>
      <c r="I80" t="s">
        <v>512</v>
      </c>
      <c r="J80" t="s">
        <v>513</v>
      </c>
      <c r="K80" t="s">
        <v>513</v>
      </c>
      <c r="L80" t="s">
        <v>514</v>
      </c>
      <c r="N80" t="s">
        <v>515</v>
      </c>
      <c r="O80" t="s">
        <v>117</v>
      </c>
      <c r="R80" t="s">
        <v>397</v>
      </c>
      <c r="S80" t="s">
        <v>121</v>
      </c>
      <c r="T80" t="s">
        <v>122</v>
      </c>
      <c r="Y80">
        <v>0</v>
      </c>
      <c r="BN80">
        <v>0</v>
      </c>
    </row>
    <row r="81" spans="1:92" x14ac:dyDescent="0.2">
      <c r="A81" t="s">
        <v>111</v>
      </c>
      <c r="B81" t="b">
        <v>1</v>
      </c>
      <c r="E81">
        <v>84</v>
      </c>
      <c r="F81" t="str">
        <f>HYPERLINK("https://portal.dnb.de/opac.htm?method=simpleSearch&amp;cqlMode=true&amp;query=idn%3D1066958378", "Portal")</f>
        <v>Portal</v>
      </c>
      <c r="G81" t="s">
        <v>125</v>
      </c>
      <c r="H81" t="s">
        <v>516</v>
      </c>
      <c r="I81" t="s">
        <v>517</v>
      </c>
      <c r="J81" t="s">
        <v>518</v>
      </c>
      <c r="K81" t="s">
        <v>518</v>
      </c>
      <c r="L81" t="s">
        <v>518</v>
      </c>
      <c r="N81" t="s">
        <v>519</v>
      </c>
      <c r="O81" t="s">
        <v>117</v>
      </c>
      <c r="BN81">
        <v>0</v>
      </c>
    </row>
    <row r="82" spans="1:92" x14ac:dyDescent="0.2">
      <c r="A82" t="s">
        <v>111</v>
      </c>
      <c r="B82" t="b">
        <v>1</v>
      </c>
      <c r="F82" t="str">
        <f>HYPERLINK("https://portal.dnb.de/opac.htm?method=simpleSearch&amp;cqlMode=true&amp;query=idn%3D1137966890", "Portal")</f>
        <v>Portal</v>
      </c>
      <c r="G82" t="s">
        <v>319</v>
      </c>
      <c r="H82" t="s">
        <v>520</v>
      </c>
      <c r="I82" t="s">
        <v>521</v>
      </c>
      <c r="J82" t="s">
        <v>522</v>
      </c>
      <c r="K82" t="s">
        <v>522</v>
      </c>
      <c r="L82" t="s">
        <v>522</v>
      </c>
      <c r="N82" t="s">
        <v>338</v>
      </c>
      <c r="O82" t="s">
        <v>117</v>
      </c>
      <c r="P82" t="s">
        <v>118</v>
      </c>
      <c r="R82" t="s">
        <v>145</v>
      </c>
      <c r="S82" t="s">
        <v>146</v>
      </c>
      <c r="T82" t="s">
        <v>130</v>
      </c>
      <c r="U82" t="s">
        <v>123</v>
      </c>
      <c r="W82" t="s">
        <v>147</v>
      </c>
      <c r="X82" t="s">
        <v>124</v>
      </c>
      <c r="Y82">
        <v>0</v>
      </c>
      <c r="BN82">
        <v>0</v>
      </c>
    </row>
    <row r="83" spans="1:92" x14ac:dyDescent="0.2">
      <c r="A83" t="s">
        <v>111</v>
      </c>
      <c r="B83" t="b">
        <v>1</v>
      </c>
      <c r="C83" t="s">
        <v>132</v>
      </c>
      <c r="E83">
        <v>86</v>
      </c>
      <c r="F83" t="str">
        <f>HYPERLINK("https://portal.dnb.de/opac.htm?method=simpleSearch&amp;cqlMode=true&amp;query=idn%3D1066961395", "Portal")</f>
        <v>Portal</v>
      </c>
      <c r="G83" t="s">
        <v>125</v>
      </c>
      <c r="H83" t="s">
        <v>523</v>
      </c>
      <c r="I83" t="s">
        <v>524</v>
      </c>
      <c r="J83" t="s">
        <v>525</v>
      </c>
      <c r="K83" t="s">
        <v>525</v>
      </c>
      <c r="L83" t="s">
        <v>525</v>
      </c>
      <c r="N83" t="s">
        <v>526</v>
      </c>
      <c r="O83" t="s">
        <v>117</v>
      </c>
      <c r="P83" t="s">
        <v>118</v>
      </c>
      <c r="R83" t="s">
        <v>238</v>
      </c>
      <c r="S83" t="s">
        <v>121</v>
      </c>
      <c r="T83" t="s">
        <v>122</v>
      </c>
      <c r="U83" t="s">
        <v>203</v>
      </c>
      <c r="W83" t="s">
        <v>147</v>
      </c>
      <c r="X83" t="s">
        <v>124</v>
      </c>
      <c r="Y83">
        <v>1</v>
      </c>
      <c r="AI83" t="s">
        <v>325</v>
      </c>
      <c r="AK83" t="s">
        <v>132</v>
      </c>
      <c r="AM83" t="s">
        <v>134</v>
      </c>
      <c r="AS83" t="s">
        <v>135</v>
      </c>
      <c r="BG83">
        <v>110</v>
      </c>
      <c r="BM83" t="s">
        <v>180</v>
      </c>
      <c r="BN83">
        <v>1</v>
      </c>
      <c r="BR83" t="s">
        <v>132</v>
      </c>
      <c r="BZ83" t="s">
        <v>132</v>
      </c>
      <c r="CD83" t="s">
        <v>204</v>
      </c>
      <c r="CM83">
        <v>1</v>
      </c>
      <c r="CN83" t="s">
        <v>527</v>
      </c>
    </row>
    <row r="84" spans="1:92" x14ac:dyDescent="0.2">
      <c r="A84" t="s">
        <v>111</v>
      </c>
      <c r="B84" t="b">
        <v>1</v>
      </c>
      <c r="C84" t="s">
        <v>132</v>
      </c>
      <c r="E84">
        <v>87</v>
      </c>
      <c r="F84" t="str">
        <f>HYPERLINK("https://portal.dnb.de/opac.htm?method=simpleSearch&amp;cqlMode=true&amp;query=idn%3D1066800375", "Portal")</f>
        <v>Portal</v>
      </c>
      <c r="G84" t="s">
        <v>125</v>
      </c>
      <c r="H84" t="s">
        <v>528</v>
      </c>
      <c r="I84" t="s">
        <v>529</v>
      </c>
      <c r="J84" t="s">
        <v>530</v>
      </c>
      <c r="K84" t="s">
        <v>530</v>
      </c>
      <c r="L84" t="s">
        <v>530</v>
      </c>
      <c r="N84" t="s">
        <v>531</v>
      </c>
      <c r="O84" t="s">
        <v>117</v>
      </c>
      <c r="S84" t="s">
        <v>146</v>
      </c>
      <c r="AI84" t="s">
        <v>325</v>
      </c>
      <c r="AK84" t="s">
        <v>132</v>
      </c>
      <c r="AM84" t="s">
        <v>134</v>
      </c>
      <c r="AS84" t="s">
        <v>135</v>
      </c>
      <c r="BG84">
        <v>110</v>
      </c>
      <c r="BM84" t="s">
        <v>180</v>
      </c>
      <c r="BN84">
        <v>1</v>
      </c>
      <c r="BZ84" t="s">
        <v>132</v>
      </c>
      <c r="CD84" t="s">
        <v>184</v>
      </c>
      <c r="CM84">
        <v>1</v>
      </c>
      <c r="CN84" t="s">
        <v>532</v>
      </c>
    </row>
    <row r="85" spans="1:92" x14ac:dyDescent="0.2">
      <c r="A85" t="s">
        <v>111</v>
      </c>
      <c r="B85" t="b">
        <v>1</v>
      </c>
      <c r="C85" t="s">
        <v>132</v>
      </c>
      <c r="F85" t="str">
        <f>HYPERLINK("https://portal.dnb.de/opac.htm?method=simpleSearch&amp;cqlMode=true&amp;query=idn%3D1138245585", "Portal")</f>
        <v>Portal</v>
      </c>
      <c r="G85" t="s">
        <v>319</v>
      </c>
      <c r="H85" t="s">
        <v>533</v>
      </c>
      <c r="I85" t="s">
        <v>534</v>
      </c>
      <c r="J85" t="s">
        <v>535</v>
      </c>
      <c r="K85" t="s">
        <v>535</v>
      </c>
      <c r="L85" t="s">
        <v>535</v>
      </c>
      <c r="N85" t="s">
        <v>536</v>
      </c>
      <c r="O85" t="s">
        <v>117</v>
      </c>
      <c r="Q85" t="s">
        <v>119</v>
      </c>
      <c r="S85" t="s">
        <v>121</v>
      </c>
      <c r="AI85" t="s">
        <v>149</v>
      </c>
      <c r="AK85" t="s">
        <v>132</v>
      </c>
      <c r="AM85" t="s">
        <v>179</v>
      </c>
      <c r="AS85" t="s">
        <v>135</v>
      </c>
      <c r="BG85">
        <v>60</v>
      </c>
      <c r="BM85" t="s">
        <v>180</v>
      </c>
      <c r="BN85">
        <v>0.5</v>
      </c>
      <c r="BQ85" t="s">
        <v>132</v>
      </c>
      <c r="BZ85" t="s">
        <v>132</v>
      </c>
      <c r="CB85" t="s">
        <v>132</v>
      </c>
      <c r="CM85">
        <v>0.5</v>
      </c>
    </row>
    <row r="86" spans="1:92" x14ac:dyDescent="0.2">
      <c r="A86" t="s">
        <v>111</v>
      </c>
      <c r="B86" t="b">
        <v>1</v>
      </c>
      <c r="E86">
        <v>133</v>
      </c>
      <c r="F86" t="str">
        <f>HYPERLINK("https://portal.dnb.de/opac.htm?method=simpleSearch&amp;cqlMode=true&amp;query=idn%3D1000007804", "Portal")</f>
        <v>Portal</v>
      </c>
      <c r="G86" t="s">
        <v>112</v>
      </c>
      <c r="H86" t="s">
        <v>537</v>
      </c>
      <c r="I86" t="s">
        <v>538</v>
      </c>
      <c r="J86" t="s">
        <v>539</v>
      </c>
      <c r="K86" t="s">
        <v>539</v>
      </c>
      <c r="L86" t="s">
        <v>539</v>
      </c>
      <c r="N86" t="s">
        <v>540</v>
      </c>
      <c r="O86" t="s">
        <v>117</v>
      </c>
      <c r="Q86" t="s">
        <v>541</v>
      </c>
      <c r="S86" t="s">
        <v>146</v>
      </c>
      <c r="AI86" t="s">
        <v>325</v>
      </c>
      <c r="AK86" t="s">
        <v>132</v>
      </c>
      <c r="AM86" t="s">
        <v>134</v>
      </c>
      <c r="AS86" t="s">
        <v>135</v>
      </c>
      <c r="BG86">
        <v>110</v>
      </c>
      <c r="BM86" t="s">
        <v>137</v>
      </c>
      <c r="BN86">
        <v>0</v>
      </c>
      <c r="BV86" t="s">
        <v>355</v>
      </c>
    </row>
    <row r="87" spans="1:92" x14ac:dyDescent="0.2">
      <c r="A87" t="s">
        <v>111</v>
      </c>
      <c r="B87" t="b">
        <v>1</v>
      </c>
      <c r="E87">
        <v>134</v>
      </c>
      <c r="F87" t="str">
        <f>HYPERLINK("https://portal.dnb.de/opac.htm?method=simpleSearch&amp;cqlMode=true&amp;query=idn%3D997393971", "Portal")</f>
        <v>Portal</v>
      </c>
      <c r="G87" t="s">
        <v>542</v>
      </c>
      <c r="H87" t="s">
        <v>543</v>
      </c>
      <c r="I87" t="s">
        <v>544</v>
      </c>
      <c r="J87" t="s">
        <v>545</v>
      </c>
      <c r="K87" t="s">
        <v>545</v>
      </c>
      <c r="L87" t="s">
        <v>545</v>
      </c>
      <c r="N87" t="s">
        <v>546</v>
      </c>
      <c r="O87" t="s">
        <v>547</v>
      </c>
      <c r="Q87" t="s">
        <v>548</v>
      </c>
      <c r="BN87">
        <v>0</v>
      </c>
    </row>
    <row r="88" spans="1:92" x14ac:dyDescent="0.2">
      <c r="A88" t="s">
        <v>111</v>
      </c>
      <c r="B88" t="b">
        <v>1</v>
      </c>
      <c r="E88">
        <v>135</v>
      </c>
      <c r="F88" t="str">
        <f>HYPERLINK("https://portal.dnb.de/opac.htm?method=simpleSearch&amp;cqlMode=true&amp;query=idn%3D997394153", "Portal")</f>
        <v>Portal</v>
      </c>
      <c r="G88" t="s">
        <v>542</v>
      </c>
      <c r="H88" t="s">
        <v>549</v>
      </c>
      <c r="I88" t="s">
        <v>550</v>
      </c>
      <c r="J88" t="s">
        <v>545</v>
      </c>
      <c r="K88" t="s">
        <v>545</v>
      </c>
      <c r="L88" t="s">
        <v>545</v>
      </c>
      <c r="N88" t="s">
        <v>546</v>
      </c>
      <c r="O88" t="s">
        <v>551</v>
      </c>
      <c r="Q88" t="s">
        <v>548</v>
      </c>
      <c r="BN88">
        <v>0</v>
      </c>
    </row>
    <row r="89" spans="1:92" x14ac:dyDescent="0.2">
      <c r="A89" t="s">
        <v>111</v>
      </c>
      <c r="B89" t="b">
        <v>1</v>
      </c>
      <c r="E89">
        <v>136</v>
      </c>
      <c r="F89" t="str">
        <f>HYPERLINK("https://portal.dnb.de/opac.htm?method=simpleSearch&amp;cqlMode=true&amp;query=idn%3D99889818X", "Portal")</f>
        <v>Portal</v>
      </c>
      <c r="G89" t="s">
        <v>112</v>
      </c>
      <c r="H89" t="s">
        <v>552</v>
      </c>
      <c r="I89" t="s">
        <v>553</v>
      </c>
      <c r="J89" t="s">
        <v>554</v>
      </c>
      <c r="K89" t="s">
        <v>554</v>
      </c>
      <c r="L89" t="s">
        <v>554</v>
      </c>
      <c r="N89" t="s">
        <v>555</v>
      </c>
      <c r="O89" t="s">
        <v>117</v>
      </c>
      <c r="BN89">
        <v>0</v>
      </c>
    </row>
    <row r="90" spans="1:92" x14ac:dyDescent="0.2">
      <c r="A90" t="s">
        <v>111</v>
      </c>
      <c r="B90" t="b">
        <v>1</v>
      </c>
      <c r="E90">
        <v>91</v>
      </c>
      <c r="F90" t="str">
        <f>HYPERLINK("https://portal.dnb.de/opac.htm?method=simpleSearch&amp;cqlMode=true&amp;query=idn%3D99723816X", "Portal")</f>
        <v>Portal</v>
      </c>
      <c r="G90" t="s">
        <v>542</v>
      </c>
      <c r="H90" t="s">
        <v>556</v>
      </c>
      <c r="I90" t="s">
        <v>557</v>
      </c>
      <c r="J90" t="s">
        <v>558</v>
      </c>
      <c r="K90" t="s">
        <v>558</v>
      </c>
      <c r="L90" t="s">
        <v>559</v>
      </c>
      <c r="N90" t="s">
        <v>560</v>
      </c>
      <c r="O90" t="s">
        <v>561</v>
      </c>
      <c r="S90" t="s">
        <v>470</v>
      </c>
      <c r="AI90" t="s">
        <v>149</v>
      </c>
      <c r="AM90" t="s">
        <v>196</v>
      </c>
      <c r="AS90" t="s">
        <v>135</v>
      </c>
      <c r="BE90">
        <v>0</v>
      </c>
      <c r="BF90" t="s">
        <v>132</v>
      </c>
      <c r="BG90">
        <v>60</v>
      </c>
      <c r="BM90" t="s">
        <v>137</v>
      </c>
      <c r="BN90">
        <v>0</v>
      </c>
      <c r="BT90" t="s">
        <v>562</v>
      </c>
      <c r="BU90" t="s">
        <v>132</v>
      </c>
      <c r="BY90" t="s">
        <v>460</v>
      </c>
    </row>
    <row r="91" spans="1:92" x14ac:dyDescent="0.2">
      <c r="A91" t="s">
        <v>111</v>
      </c>
      <c r="B91" t="b">
        <v>1</v>
      </c>
      <c r="E91">
        <v>89</v>
      </c>
      <c r="F91" t="str">
        <f>HYPERLINK("https://portal.dnb.de/opac.htm?method=simpleSearch&amp;cqlMode=true&amp;query=idn%3D997238364", "Portal")</f>
        <v>Portal</v>
      </c>
      <c r="G91" t="s">
        <v>542</v>
      </c>
      <c r="H91" t="s">
        <v>563</v>
      </c>
      <c r="I91" t="s">
        <v>564</v>
      </c>
      <c r="J91" t="s">
        <v>558</v>
      </c>
      <c r="K91" t="s">
        <v>558</v>
      </c>
      <c r="L91" t="s">
        <v>565</v>
      </c>
      <c r="N91" t="s">
        <v>560</v>
      </c>
      <c r="O91" t="s">
        <v>566</v>
      </c>
      <c r="S91" t="s">
        <v>470</v>
      </c>
      <c r="AI91" t="s">
        <v>149</v>
      </c>
      <c r="AL91" t="s">
        <v>132</v>
      </c>
      <c r="AM91" t="s">
        <v>196</v>
      </c>
      <c r="AS91" t="s">
        <v>135</v>
      </c>
      <c r="BG91">
        <v>110</v>
      </c>
      <c r="BM91" t="s">
        <v>137</v>
      </c>
      <c r="BN91">
        <v>0</v>
      </c>
      <c r="BP91" t="s">
        <v>181</v>
      </c>
    </row>
    <row r="92" spans="1:92" x14ac:dyDescent="0.2">
      <c r="A92" t="s">
        <v>111</v>
      </c>
      <c r="B92" t="b">
        <v>1</v>
      </c>
      <c r="F92" t="str">
        <f>HYPERLINK("https://portal.dnb.de/opac.htm?method=simpleSearch&amp;cqlMode=true&amp;query=idn%3D1137896493", "Portal")</f>
        <v>Portal</v>
      </c>
      <c r="G92" t="s">
        <v>319</v>
      </c>
      <c r="H92" t="s">
        <v>567</v>
      </c>
      <c r="I92" t="s">
        <v>568</v>
      </c>
      <c r="J92" t="s">
        <v>569</v>
      </c>
      <c r="K92" t="s">
        <v>569</v>
      </c>
      <c r="L92" t="s">
        <v>569</v>
      </c>
      <c r="N92" t="s">
        <v>338</v>
      </c>
      <c r="O92" t="s">
        <v>117</v>
      </c>
      <c r="BN92">
        <v>0</v>
      </c>
    </row>
    <row r="93" spans="1:92" x14ac:dyDescent="0.2">
      <c r="A93" t="s">
        <v>111</v>
      </c>
      <c r="B93" t="b">
        <v>1</v>
      </c>
      <c r="E93">
        <v>94</v>
      </c>
      <c r="F93" t="str">
        <f>HYPERLINK("https://portal.dnb.de/opac.htm?method=simpleSearch&amp;cqlMode=true&amp;query=idn%3D1066871159", "Portal")</f>
        <v>Portal</v>
      </c>
      <c r="G93" t="s">
        <v>125</v>
      </c>
      <c r="H93" t="s">
        <v>570</v>
      </c>
      <c r="I93" t="s">
        <v>571</v>
      </c>
      <c r="J93" t="s">
        <v>572</v>
      </c>
      <c r="K93" t="s">
        <v>572</v>
      </c>
      <c r="L93" t="s">
        <v>572</v>
      </c>
      <c r="N93" t="s">
        <v>573</v>
      </c>
      <c r="O93" t="s">
        <v>117</v>
      </c>
      <c r="BN93">
        <v>0</v>
      </c>
    </row>
    <row r="94" spans="1:92" x14ac:dyDescent="0.2">
      <c r="A94" t="s">
        <v>111</v>
      </c>
      <c r="B94" t="b">
        <v>1</v>
      </c>
      <c r="E94">
        <v>138</v>
      </c>
      <c r="F94" t="str">
        <f>HYPERLINK("https://portal.dnb.de/opac.htm?method=simpleSearch&amp;cqlMode=true&amp;query=idn%3D1002284589", "Portal")</f>
        <v>Portal</v>
      </c>
      <c r="G94" t="s">
        <v>542</v>
      </c>
      <c r="H94" t="s">
        <v>574</v>
      </c>
      <c r="I94" t="s">
        <v>575</v>
      </c>
      <c r="J94" t="s">
        <v>576</v>
      </c>
      <c r="K94" t="s">
        <v>576</v>
      </c>
      <c r="L94" t="s">
        <v>577</v>
      </c>
      <c r="N94" t="s">
        <v>578</v>
      </c>
      <c r="O94" t="s">
        <v>579</v>
      </c>
      <c r="S94" t="s">
        <v>146</v>
      </c>
      <c r="AI94" t="s">
        <v>149</v>
      </c>
      <c r="AL94" t="s">
        <v>132</v>
      </c>
      <c r="AM94" t="s">
        <v>196</v>
      </c>
      <c r="AS94" t="s">
        <v>135</v>
      </c>
      <c r="BG94">
        <v>110</v>
      </c>
      <c r="BM94" t="s">
        <v>137</v>
      </c>
      <c r="BN94">
        <v>0</v>
      </c>
      <c r="BP94" t="s">
        <v>181</v>
      </c>
    </row>
    <row r="95" spans="1:92" x14ac:dyDescent="0.2">
      <c r="A95" t="s">
        <v>111</v>
      </c>
      <c r="B95" t="b">
        <v>1</v>
      </c>
      <c r="E95">
        <v>139</v>
      </c>
      <c r="F95" t="str">
        <f>HYPERLINK("https://portal.dnb.de/opac.htm?method=simpleSearch&amp;cqlMode=true&amp;query=idn%3D1000490092", "Portal")</f>
        <v>Portal</v>
      </c>
      <c r="G95" t="s">
        <v>112</v>
      </c>
      <c r="H95" t="s">
        <v>580</v>
      </c>
      <c r="I95" t="s">
        <v>581</v>
      </c>
      <c r="J95" t="s">
        <v>582</v>
      </c>
      <c r="K95" t="s">
        <v>582</v>
      </c>
      <c r="L95" t="s">
        <v>583</v>
      </c>
      <c r="N95" t="s">
        <v>584</v>
      </c>
      <c r="O95" t="s">
        <v>117</v>
      </c>
      <c r="BN95">
        <v>0</v>
      </c>
    </row>
    <row r="96" spans="1:92" x14ac:dyDescent="0.2">
      <c r="A96" t="s">
        <v>111</v>
      </c>
      <c r="B96" t="b">
        <v>1</v>
      </c>
      <c r="E96">
        <v>140</v>
      </c>
      <c r="F96" t="str">
        <f>HYPERLINK("https://portal.dnb.de/opac.htm?method=simpleSearch&amp;cqlMode=true&amp;query=idn%3D999154273", "Portal")</f>
        <v>Portal</v>
      </c>
      <c r="G96" t="s">
        <v>112</v>
      </c>
      <c r="H96" t="s">
        <v>585</v>
      </c>
      <c r="I96" t="s">
        <v>586</v>
      </c>
      <c r="J96" t="s">
        <v>587</v>
      </c>
      <c r="K96" t="s">
        <v>587</v>
      </c>
      <c r="L96" t="s">
        <v>588</v>
      </c>
      <c r="N96" t="s">
        <v>589</v>
      </c>
      <c r="O96" t="s">
        <v>117</v>
      </c>
      <c r="BN96">
        <v>0</v>
      </c>
    </row>
    <row r="97" spans="1:110" x14ac:dyDescent="0.2">
      <c r="A97" t="s">
        <v>111</v>
      </c>
      <c r="B97" t="b">
        <v>1</v>
      </c>
      <c r="E97">
        <v>95</v>
      </c>
      <c r="F97" t="str">
        <f>HYPERLINK("https://portal.dnb.de/opac.htm?method=simpleSearch&amp;cqlMode=true&amp;query=idn%3D106686554X", "Portal")</f>
        <v>Portal</v>
      </c>
      <c r="G97" t="s">
        <v>125</v>
      </c>
      <c r="H97" t="s">
        <v>590</v>
      </c>
      <c r="I97" t="s">
        <v>591</v>
      </c>
      <c r="J97" t="s">
        <v>592</v>
      </c>
      <c r="K97" t="s">
        <v>592</v>
      </c>
      <c r="L97" t="s">
        <v>592</v>
      </c>
      <c r="N97" t="s">
        <v>593</v>
      </c>
      <c r="O97" t="s">
        <v>117</v>
      </c>
      <c r="BN97">
        <v>0</v>
      </c>
    </row>
    <row r="98" spans="1:110" x14ac:dyDescent="0.2">
      <c r="A98" t="s">
        <v>111</v>
      </c>
      <c r="B98" t="b">
        <v>1</v>
      </c>
      <c r="E98">
        <v>145</v>
      </c>
      <c r="F98" t="str">
        <f>HYPERLINK("https://portal.dnb.de/opac.htm?method=simpleSearch&amp;cqlMode=true&amp;query=idn%3D1002109876", "Portal")</f>
        <v>Portal</v>
      </c>
      <c r="G98" t="s">
        <v>112</v>
      </c>
      <c r="H98" t="s">
        <v>594</v>
      </c>
      <c r="I98" t="s">
        <v>595</v>
      </c>
      <c r="J98" t="s">
        <v>596</v>
      </c>
      <c r="K98" t="s">
        <v>596</v>
      </c>
      <c r="L98" t="s">
        <v>597</v>
      </c>
      <c r="N98" t="s">
        <v>598</v>
      </c>
      <c r="O98" t="s">
        <v>117</v>
      </c>
      <c r="Q98" t="s">
        <v>324</v>
      </c>
      <c r="S98" t="s">
        <v>470</v>
      </c>
      <c r="AI98" t="s">
        <v>149</v>
      </c>
      <c r="AM98" t="s">
        <v>196</v>
      </c>
      <c r="AR98" t="s">
        <v>132</v>
      </c>
      <c r="AS98" t="s">
        <v>135</v>
      </c>
      <c r="BG98">
        <v>45</v>
      </c>
      <c r="BM98" t="s">
        <v>137</v>
      </c>
      <c r="BN98">
        <v>0</v>
      </c>
      <c r="BR98" t="s">
        <v>132</v>
      </c>
      <c r="BW98" t="s">
        <v>599</v>
      </c>
      <c r="BX98" t="s">
        <v>600</v>
      </c>
    </row>
    <row r="99" spans="1:110" x14ac:dyDescent="0.2">
      <c r="A99" t="s">
        <v>111</v>
      </c>
      <c r="B99" t="b">
        <v>0</v>
      </c>
      <c r="E99">
        <v>143</v>
      </c>
      <c r="F99" t="str">
        <f>HYPERLINK("https://portal.dnb.de/opac.htm?method=simpleSearch&amp;cqlMode=true&amp;query=idn%3D993914608", "Portal")</f>
        <v>Portal</v>
      </c>
      <c r="H99" t="s">
        <v>601</v>
      </c>
      <c r="I99" t="s">
        <v>602</v>
      </c>
      <c r="L99" t="s">
        <v>603</v>
      </c>
      <c r="BN99">
        <v>0</v>
      </c>
    </row>
    <row r="100" spans="1:110" x14ac:dyDescent="0.2">
      <c r="A100" t="s">
        <v>111</v>
      </c>
      <c r="B100" t="b">
        <v>0</v>
      </c>
      <c r="E100">
        <v>144</v>
      </c>
      <c r="F100" t="str">
        <f>HYPERLINK("https://portal.dnb.de/opac.htm?method=simpleSearch&amp;cqlMode=true&amp;query=idn%3D1001756231", "Portal")</f>
        <v>Portal</v>
      </c>
      <c r="H100" t="s">
        <v>604</v>
      </c>
      <c r="I100" t="s">
        <v>605</v>
      </c>
      <c r="L100" t="s">
        <v>603</v>
      </c>
      <c r="BN100">
        <v>0</v>
      </c>
    </row>
    <row r="101" spans="1:110" x14ac:dyDescent="0.2">
      <c r="A101" t="s">
        <v>111</v>
      </c>
      <c r="B101" t="b">
        <v>0</v>
      </c>
      <c r="E101">
        <v>146</v>
      </c>
      <c r="F101" t="str">
        <f>HYPERLINK("https://portal.dnb.de/opac.htm?method=simpleSearch&amp;cqlMode=true&amp;query=idn%3D994442157", "Portal")</f>
        <v>Portal</v>
      </c>
      <c r="H101" t="s">
        <v>606</v>
      </c>
      <c r="I101" t="s">
        <v>607</v>
      </c>
      <c r="L101" t="s">
        <v>603</v>
      </c>
      <c r="BN101">
        <v>0</v>
      </c>
    </row>
    <row r="102" spans="1:110" x14ac:dyDescent="0.2">
      <c r="A102" t="s">
        <v>111</v>
      </c>
      <c r="B102" t="b">
        <v>1</v>
      </c>
      <c r="E102">
        <v>147</v>
      </c>
      <c r="F102" t="str">
        <f>HYPERLINK("https://portal.dnb.de/opac.htm?method=simpleSearch&amp;cqlMode=true&amp;query=idn%3D1000069990", "Portal")</f>
        <v>Portal</v>
      </c>
      <c r="G102" t="s">
        <v>112</v>
      </c>
      <c r="H102" t="s">
        <v>608</v>
      </c>
      <c r="I102" t="s">
        <v>609</v>
      </c>
      <c r="J102" t="s">
        <v>610</v>
      </c>
      <c r="K102" t="s">
        <v>610</v>
      </c>
      <c r="L102" t="s">
        <v>610</v>
      </c>
      <c r="N102" t="s">
        <v>611</v>
      </c>
      <c r="O102" t="s">
        <v>117</v>
      </c>
      <c r="S102" t="s">
        <v>470</v>
      </c>
      <c r="AI102" t="s">
        <v>133</v>
      </c>
      <c r="AL102" t="s">
        <v>132</v>
      </c>
      <c r="AM102" t="s">
        <v>179</v>
      </c>
      <c r="AS102" t="s">
        <v>135</v>
      </c>
      <c r="BG102">
        <v>45</v>
      </c>
      <c r="BM102" t="s">
        <v>137</v>
      </c>
      <c r="BN102">
        <v>0</v>
      </c>
      <c r="BP102" t="s">
        <v>612</v>
      </c>
    </row>
    <row r="103" spans="1:110" x14ac:dyDescent="0.2">
      <c r="A103" t="s">
        <v>111</v>
      </c>
      <c r="B103" t="b">
        <v>1</v>
      </c>
      <c r="E103">
        <v>148</v>
      </c>
      <c r="F103" t="str">
        <f>HYPERLINK("https://portal.dnb.de/opac.htm?method=simpleSearch&amp;cqlMode=true&amp;query=idn%3D995369925", "Portal")</f>
        <v>Portal</v>
      </c>
      <c r="G103" t="s">
        <v>112</v>
      </c>
      <c r="H103" t="s">
        <v>613</v>
      </c>
      <c r="I103" t="s">
        <v>614</v>
      </c>
      <c r="J103" t="s">
        <v>615</v>
      </c>
      <c r="K103" t="s">
        <v>615</v>
      </c>
      <c r="L103" t="s">
        <v>615</v>
      </c>
      <c r="N103" t="s">
        <v>616</v>
      </c>
      <c r="O103" t="s">
        <v>117</v>
      </c>
      <c r="R103" t="s">
        <v>257</v>
      </c>
      <c r="S103" t="s">
        <v>121</v>
      </c>
      <c r="T103" t="s">
        <v>130</v>
      </c>
      <c r="U103" t="s">
        <v>203</v>
      </c>
      <c r="X103" t="s">
        <v>168</v>
      </c>
      <c r="Y103">
        <v>0</v>
      </c>
      <c r="BN103">
        <v>0</v>
      </c>
    </row>
    <row r="104" spans="1:110" x14ac:dyDescent="0.2">
      <c r="A104" t="s">
        <v>111</v>
      </c>
      <c r="B104" t="b">
        <v>0</v>
      </c>
      <c r="E104">
        <v>149</v>
      </c>
      <c r="F104" t="str">
        <f>HYPERLINK("https://portal.dnb.de/opac.htm?method=simpleSearch&amp;cqlMode=true&amp;query=idn%3D100152828X", "Portal")</f>
        <v>Portal</v>
      </c>
      <c r="H104" t="s">
        <v>617</v>
      </c>
      <c r="I104" t="s">
        <v>618</v>
      </c>
      <c r="L104" t="s">
        <v>615</v>
      </c>
      <c r="BN104">
        <v>0</v>
      </c>
    </row>
    <row r="105" spans="1:110" x14ac:dyDescent="0.2">
      <c r="A105" t="s">
        <v>111</v>
      </c>
      <c r="B105" t="b">
        <v>0</v>
      </c>
      <c r="E105">
        <v>150</v>
      </c>
      <c r="F105" t="str">
        <f>HYPERLINK("https://portal.dnb.de/opac.htm?method=simpleSearch&amp;cqlMode=true&amp;query=idn%3D1002180104", "Portal")</f>
        <v>Portal</v>
      </c>
      <c r="H105" t="s">
        <v>619</v>
      </c>
      <c r="I105" t="s">
        <v>620</v>
      </c>
      <c r="L105" t="s">
        <v>615</v>
      </c>
      <c r="BN105">
        <v>0</v>
      </c>
    </row>
    <row r="106" spans="1:110" x14ac:dyDescent="0.2">
      <c r="A106" t="s">
        <v>111</v>
      </c>
      <c r="B106" t="b">
        <v>0</v>
      </c>
      <c r="C106" t="s">
        <v>132</v>
      </c>
      <c r="E106">
        <v>151</v>
      </c>
      <c r="F106" t="str">
        <f>HYPERLINK("https://portal.dnb.de/opac.htm?method=simpleSearch&amp;cqlMode=true&amp;query=idn%3D997304758", "Portal")</f>
        <v>Portal</v>
      </c>
      <c r="H106" t="s">
        <v>621</v>
      </c>
      <c r="I106" t="s">
        <v>622</v>
      </c>
      <c r="L106" t="s">
        <v>623</v>
      </c>
      <c r="S106" t="s">
        <v>146</v>
      </c>
      <c r="AI106" t="s">
        <v>365</v>
      </c>
      <c r="AM106" t="s">
        <v>196</v>
      </c>
      <c r="AS106" t="s">
        <v>135</v>
      </c>
      <c r="BG106">
        <v>60</v>
      </c>
      <c r="BM106" t="s">
        <v>180</v>
      </c>
      <c r="BN106">
        <v>4.5</v>
      </c>
      <c r="BR106" t="s">
        <v>132</v>
      </c>
      <c r="CB106" t="s">
        <v>132</v>
      </c>
      <c r="CM106">
        <v>1</v>
      </c>
      <c r="CN106" t="s">
        <v>624</v>
      </c>
      <c r="CZ106" t="s">
        <v>132</v>
      </c>
      <c r="DF106">
        <v>3.5</v>
      </c>
    </row>
    <row r="107" spans="1:110" x14ac:dyDescent="0.2">
      <c r="A107" t="s">
        <v>111</v>
      </c>
      <c r="B107" t="b">
        <v>0</v>
      </c>
      <c r="E107">
        <v>152</v>
      </c>
      <c r="F107" t="str">
        <f>HYPERLINK("https://portal.dnb.de/opac.htm?method=simpleSearch&amp;cqlMode=true&amp;query=idn%3D100077130X", "Portal")</f>
        <v>Portal</v>
      </c>
      <c r="H107" t="s">
        <v>625</v>
      </c>
      <c r="I107" t="s">
        <v>626</v>
      </c>
      <c r="L107" t="s">
        <v>627</v>
      </c>
      <c r="BN107">
        <v>0</v>
      </c>
    </row>
    <row r="108" spans="1:110" x14ac:dyDescent="0.2">
      <c r="A108" t="s">
        <v>111</v>
      </c>
      <c r="B108" t="b">
        <v>0</v>
      </c>
      <c r="E108">
        <v>153</v>
      </c>
      <c r="F108" t="str">
        <f>HYPERLINK("https://portal.dnb.de/opac.htm?method=simpleSearch&amp;cqlMode=true&amp;query=idn%3D995883831", "Portal")</f>
        <v>Portal</v>
      </c>
      <c r="H108" t="s">
        <v>628</v>
      </c>
      <c r="I108" t="s">
        <v>629</v>
      </c>
      <c r="L108" t="s">
        <v>627</v>
      </c>
      <c r="BN108">
        <v>0</v>
      </c>
    </row>
    <row r="109" spans="1:110" x14ac:dyDescent="0.2">
      <c r="A109" t="s">
        <v>111</v>
      </c>
      <c r="B109" t="b">
        <v>0</v>
      </c>
      <c r="E109">
        <v>154</v>
      </c>
      <c r="F109" t="str">
        <f>HYPERLINK("https://portal.dnb.de/opac.htm?method=simpleSearch&amp;cqlMode=true&amp;query=idn%3D1000043290", "Portal")</f>
        <v>Portal</v>
      </c>
      <c r="H109" t="s">
        <v>630</v>
      </c>
      <c r="I109" t="s">
        <v>631</v>
      </c>
      <c r="L109" t="s">
        <v>627</v>
      </c>
      <c r="BN109">
        <v>0</v>
      </c>
    </row>
    <row r="110" spans="1:110" x14ac:dyDescent="0.2">
      <c r="A110" t="s">
        <v>111</v>
      </c>
      <c r="B110" t="b">
        <v>1</v>
      </c>
      <c r="E110">
        <v>155</v>
      </c>
      <c r="F110" t="str">
        <f>HYPERLINK("https://portal.dnb.de/opac.htm?method=simpleSearch&amp;cqlMode=true&amp;query=idn%3D993863388", "Portal")</f>
        <v>Portal</v>
      </c>
      <c r="G110" t="s">
        <v>112</v>
      </c>
      <c r="H110" t="s">
        <v>632</v>
      </c>
      <c r="I110" t="s">
        <v>633</v>
      </c>
      <c r="J110" t="s">
        <v>634</v>
      </c>
      <c r="K110" t="s">
        <v>634</v>
      </c>
      <c r="L110" t="s">
        <v>627</v>
      </c>
      <c r="N110" t="s">
        <v>635</v>
      </c>
      <c r="O110" t="s">
        <v>117</v>
      </c>
      <c r="P110" t="s">
        <v>118</v>
      </c>
      <c r="R110" t="s">
        <v>190</v>
      </c>
      <c r="S110" t="s">
        <v>121</v>
      </c>
      <c r="T110" t="s">
        <v>130</v>
      </c>
      <c r="U110" t="s">
        <v>636</v>
      </c>
      <c r="W110" t="s">
        <v>229</v>
      </c>
      <c r="X110" t="s">
        <v>302</v>
      </c>
      <c r="Y110">
        <v>1</v>
      </c>
      <c r="BN110">
        <v>0</v>
      </c>
    </row>
    <row r="111" spans="1:110" x14ac:dyDescent="0.2">
      <c r="A111" t="s">
        <v>111</v>
      </c>
      <c r="B111" t="b">
        <v>1</v>
      </c>
      <c r="E111">
        <v>157</v>
      </c>
      <c r="F111" t="str">
        <f>HYPERLINK("https://portal.dnb.de/opac.htm?method=simpleSearch&amp;cqlMode=true&amp;query=idn%3D99480251X", "Portal")</f>
        <v>Portal</v>
      </c>
      <c r="G111" t="s">
        <v>112</v>
      </c>
      <c r="H111" t="s">
        <v>637</v>
      </c>
      <c r="I111" t="s">
        <v>638</v>
      </c>
      <c r="J111" t="s">
        <v>639</v>
      </c>
      <c r="K111" t="s">
        <v>639</v>
      </c>
      <c r="L111" t="s">
        <v>640</v>
      </c>
      <c r="N111" t="s">
        <v>641</v>
      </c>
      <c r="O111" t="s">
        <v>117</v>
      </c>
      <c r="S111" t="s">
        <v>146</v>
      </c>
      <c r="AI111" t="s">
        <v>133</v>
      </c>
      <c r="AL111" t="s">
        <v>132</v>
      </c>
      <c r="AM111" t="s">
        <v>196</v>
      </c>
      <c r="AS111" t="s">
        <v>135</v>
      </c>
      <c r="BG111">
        <v>110</v>
      </c>
      <c r="BM111" t="s">
        <v>137</v>
      </c>
      <c r="BN111">
        <v>0</v>
      </c>
      <c r="BP111" t="s">
        <v>181</v>
      </c>
    </row>
    <row r="112" spans="1:110" x14ac:dyDescent="0.2">
      <c r="A112" t="s">
        <v>111</v>
      </c>
      <c r="B112" t="b">
        <v>1</v>
      </c>
      <c r="C112" t="s">
        <v>132</v>
      </c>
      <c r="E112">
        <v>158</v>
      </c>
      <c r="F112" t="str">
        <f>HYPERLINK("https://portal.dnb.de/opac.htm?method=simpleSearch&amp;cqlMode=true&amp;query=idn%3D1066678316", "Portal")</f>
        <v>Portal</v>
      </c>
      <c r="G112" t="s">
        <v>125</v>
      </c>
      <c r="H112" t="s">
        <v>642</v>
      </c>
      <c r="I112" t="s">
        <v>643</v>
      </c>
      <c r="J112" t="s">
        <v>644</v>
      </c>
      <c r="K112" t="s">
        <v>644</v>
      </c>
      <c r="L112" t="s">
        <v>644</v>
      </c>
      <c r="N112" t="s">
        <v>645</v>
      </c>
      <c r="O112" t="s">
        <v>117</v>
      </c>
      <c r="P112" t="s">
        <v>118</v>
      </c>
      <c r="R112" t="s">
        <v>157</v>
      </c>
      <c r="S112" t="s">
        <v>146</v>
      </c>
      <c r="T112" t="s">
        <v>122</v>
      </c>
      <c r="U112" t="s">
        <v>203</v>
      </c>
      <c r="W112" t="s">
        <v>229</v>
      </c>
      <c r="X112" t="s">
        <v>302</v>
      </c>
      <c r="Y112">
        <v>1</v>
      </c>
      <c r="AI112" t="s">
        <v>646</v>
      </c>
      <c r="AM112" t="s">
        <v>150</v>
      </c>
      <c r="AS112" t="s">
        <v>135</v>
      </c>
      <c r="BG112">
        <v>80</v>
      </c>
      <c r="BM112" t="s">
        <v>180</v>
      </c>
      <c r="BN112">
        <v>2</v>
      </c>
      <c r="BT112" t="s">
        <v>562</v>
      </c>
      <c r="BU112" t="s">
        <v>132</v>
      </c>
      <c r="BV112" t="s">
        <v>647</v>
      </c>
      <c r="BZ112" t="s">
        <v>132</v>
      </c>
      <c r="CB112" t="s">
        <v>132</v>
      </c>
      <c r="CM112">
        <v>2</v>
      </c>
      <c r="CN112" t="s">
        <v>648</v>
      </c>
    </row>
    <row r="113" spans="1:110" x14ac:dyDescent="0.2">
      <c r="A113" t="s">
        <v>111</v>
      </c>
      <c r="B113" t="b">
        <v>1</v>
      </c>
      <c r="F113" t="str">
        <f>HYPERLINK("https://portal.dnb.de/opac.htm?method=simpleSearch&amp;cqlMode=true&amp;query=idn%3D1248752589", "Portal")</f>
        <v>Portal</v>
      </c>
      <c r="G113" t="s">
        <v>319</v>
      </c>
      <c r="H113" t="s">
        <v>649</v>
      </c>
      <c r="I113" t="s">
        <v>650</v>
      </c>
      <c r="J113" t="s">
        <v>651</v>
      </c>
      <c r="K113" t="s">
        <v>651</v>
      </c>
      <c r="L113" t="s">
        <v>651</v>
      </c>
      <c r="N113" t="s">
        <v>338</v>
      </c>
      <c r="O113" t="s">
        <v>117</v>
      </c>
      <c r="P113" t="s">
        <v>118</v>
      </c>
      <c r="Q113" t="s">
        <v>119</v>
      </c>
      <c r="R113" t="s">
        <v>145</v>
      </c>
      <c r="S113" t="s">
        <v>121</v>
      </c>
      <c r="T113" t="s">
        <v>130</v>
      </c>
      <c r="U113" t="s">
        <v>123</v>
      </c>
      <c r="W113" t="s">
        <v>67</v>
      </c>
      <c r="X113" t="s">
        <v>124</v>
      </c>
      <c r="Y113">
        <v>0</v>
      </c>
      <c r="BN113">
        <v>0</v>
      </c>
    </row>
    <row r="114" spans="1:110" x14ac:dyDescent="0.2">
      <c r="A114" t="s">
        <v>111</v>
      </c>
      <c r="B114" t="b">
        <v>1</v>
      </c>
      <c r="C114" t="s">
        <v>132</v>
      </c>
      <c r="E114">
        <v>96</v>
      </c>
      <c r="F114" t="str">
        <f>HYPERLINK("https://portal.dnb.de/opac.htm?method=simpleSearch&amp;cqlMode=true&amp;query=idn%3D1066962642", "Portal")</f>
        <v>Portal</v>
      </c>
      <c r="G114" t="s">
        <v>125</v>
      </c>
      <c r="H114" t="s">
        <v>652</v>
      </c>
      <c r="I114" t="s">
        <v>653</v>
      </c>
      <c r="J114" t="s">
        <v>654</v>
      </c>
      <c r="K114" t="s">
        <v>654</v>
      </c>
      <c r="L114" t="s">
        <v>654</v>
      </c>
      <c r="N114" t="s">
        <v>655</v>
      </c>
      <c r="O114" t="s">
        <v>117</v>
      </c>
      <c r="P114" t="s">
        <v>118</v>
      </c>
      <c r="R114" t="s">
        <v>145</v>
      </c>
      <c r="S114" t="s">
        <v>146</v>
      </c>
      <c r="T114" t="s">
        <v>122</v>
      </c>
      <c r="AA114" t="s">
        <v>656</v>
      </c>
      <c r="AI114" t="s">
        <v>149</v>
      </c>
      <c r="AK114" t="s">
        <v>132</v>
      </c>
      <c r="AM114" t="s">
        <v>196</v>
      </c>
      <c r="AS114" t="s">
        <v>135</v>
      </c>
      <c r="BG114">
        <v>80</v>
      </c>
      <c r="BM114" t="s">
        <v>180</v>
      </c>
      <c r="BN114">
        <v>1</v>
      </c>
      <c r="BR114" t="s">
        <v>132</v>
      </c>
      <c r="BZ114" t="s">
        <v>132</v>
      </c>
      <c r="CH114" t="s">
        <v>657</v>
      </c>
      <c r="CM114">
        <v>1</v>
      </c>
      <c r="CN114" t="s">
        <v>658</v>
      </c>
    </row>
    <row r="115" spans="1:110" x14ac:dyDescent="0.2">
      <c r="A115" t="s">
        <v>111</v>
      </c>
      <c r="B115" t="b">
        <v>1</v>
      </c>
      <c r="E115">
        <v>97</v>
      </c>
      <c r="F115" t="str">
        <f>HYPERLINK("https://portal.dnb.de/opac.htm?method=simpleSearch&amp;cqlMode=true&amp;query=idn%3D1066962197", "Portal")</f>
        <v>Portal</v>
      </c>
      <c r="G115" t="s">
        <v>125</v>
      </c>
      <c r="H115" t="s">
        <v>659</v>
      </c>
      <c r="I115" t="s">
        <v>660</v>
      </c>
      <c r="J115" t="s">
        <v>661</v>
      </c>
      <c r="K115" t="s">
        <v>661</v>
      </c>
      <c r="L115" t="s">
        <v>661</v>
      </c>
      <c r="N115" t="s">
        <v>662</v>
      </c>
      <c r="O115" t="s">
        <v>117</v>
      </c>
      <c r="P115" t="s">
        <v>118</v>
      </c>
      <c r="R115" t="s">
        <v>480</v>
      </c>
      <c r="S115" t="s">
        <v>121</v>
      </c>
      <c r="BN115">
        <v>0</v>
      </c>
    </row>
    <row r="116" spans="1:110" x14ac:dyDescent="0.2">
      <c r="A116" t="s">
        <v>111</v>
      </c>
      <c r="B116" t="b">
        <v>1</v>
      </c>
      <c r="E116">
        <v>98</v>
      </c>
      <c r="F116" t="str">
        <f>HYPERLINK("https://portal.dnb.de/opac.htm?method=simpleSearch&amp;cqlMode=true&amp;query=idn%3D993882870", "Portal")</f>
        <v>Portal</v>
      </c>
      <c r="G116" t="s">
        <v>112</v>
      </c>
      <c r="H116" t="s">
        <v>663</v>
      </c>
      <c r="I116" t="s">
        <v>664</v>
      </c>
      <c r="J116" t="s">
        <v>665</v>
      </c>
      <c r="K116" t="s">
        <v>665</v>
      </c>
      <c r="L116" t="s">
        <v>665</v>
      </c>
      <c r="N116" t="s">
        <v>666</v>
      </c>
      <c r="O116" t="s">
        <v>117</v>
      </c>
      <c r="P116" t="s">
        <v>118</v>
      </c>
      <c r="R116" t="s">
        <v>238</v>
      </c>
      <c r="S116" t="s">
        <v>121</v>
      </c>
      <c r="T116" t="s">
        <v>122</v>
      </c>
      <c r="U116" t="s">
        <v>203</v>
      </c>
      <c r="W116" t="s">
        <v>68</v>
      </c>
      <c r="X116" t="s">
        <v>124</v>
      </c>
      <c r="Y116">
        <v>0</v>
      </c>
      <c r="BN116">
        <v>0</v>
      </c>
    </row>
    <row r="117" spans="1:110" x14ac:dyDescent="0.2">
      <c r="A117" t="s">
        <v>111</v>
      </c>
      <c r="B117" t="b">
        <v>0</v>
      </c>
      <c r="E117">
        <v>99</v>
      </c>
      <c r="F117" t="str">
        <f>HYPERLINK("https://portal.dnb.de/opac.htm?method=simpleSearch&amp;cqlMode=true&amp;query=idn%3D1000071774", "Portal")</f>
        <v>Portal</v>
      </c>
      <c r="H117" t="s">
        <v>667</v>
      </c>
      <c r="I117" t="s">
        <v>668</v>
      </c>
      <c r="L117" t="s">
        <v>665</v>
      </c>
      <c r="BN117">
        <v>0</v>
      </c>
    </row>
    <row r="118" spans="1:110" x14ac:dyDescent="0.2">
      <c r="A118" t="s">
        <v>111</v>
      </c>
      <c r="B118" t="b">
        <v>1</v>
      </c>
      <c r="C118" t="s">
        <v>132</v>
      </c>
      <c r="E118">
        <v>159</v>
      </c>
      <c r="F118" t="str">
        <f>HYPERLINK("https://portal.dnb.de/opac.htm?method=simpleSearch&amp;cqlMode=true&amp;query=idn%3D999957643", "Portal")</f>
        <v>Portal</v>
      </c>
      <c r="G118" t="s">
        <v>112</v>
      </c>
      <c r="H118" t="s">
        <v>669</v>
      </c>
      <c r="I118" t="s">
        <v>670</v>
      </c>
      <c r="J118" t="s">
        <v>671</v>
      </c>
      <c r="K118" t="s">
        <v>671</v>
      </c>
      <c r="L118" t="s">
        <v>671</v>
      </c>
      <c r="N118" t="s">
        <v>672</v>
      </c>
      <c r="O118" t="s">
        <v>117</v>
      </c>
      <c r="Q118" t="s">
        <v>673</v>
      </c>
      <c r="S118" t="s">
        <v>146</v>
      </c>
      <c r="AI118" t="s">
        <v>149</v>
      </c>
      <c r="AM118" t="s">
        <v>196</v>
      </c>
      <c r="AR118" t="s">
        <v>132</v>
      </c>
      <c r="AS118" t="s">
        <v>135</v>
      </c>
      <c r="BG118">
        <v>80</v>
      </c>
      <c r="BM118" t="s">
        <v>180</v>
      </c>
      <c r="BN118">
        <v>2</v>
      </c>
      <c r="BT118" t="s">
        <v>562</v>
      </c>
      <c r="BU118" t="s">
        <v>132</v>
      </c>
      <c r="BY118" t="s">
        <v>674</v>
      </c>
      <c r="CB118" t="s">
        <v>132</v>
      </c>
      <c r="CL118" t="s">
        <v>132</v>
      </c>
      <c r="CM118">
        <v>1</v>
      </c>
      <c r="CX118" t="s">
        <v>132</v>
      </c>
      <c r="DF118">
        <v>1</v>
      </c>
    </row>
    <row r="119" spans="1:110" x14ac:dyDescent="0.2">
      <c r="A119" t="s">
        <v>111</v>
      </c>
      <c r="B119" t="b">
        <v>1</v>
      </c>
      <c r="E119">
        <v>100</v>
      </c>
      <c r="F119" t="str">
        <f>HYPERLINK("https://portal.dnb.de/opac.htm?method=simpleSearch&amp;cqlMode=true&amp;query=idn%3D1066960356", "Portal")</f>
        <v>Portal</v>
      </c>
      <c r="G119" t="s">
        <v>125</v>
      </c>
      <c r="H119" t="s">
        <v>675</v>
      </c>
      <c r="I119" t="s">
        <v>676</v>
      </c>
      <c r="J119" t="s">
        <v>677</v>
      </c>
      <c r="K119" t="s">
        <v>677</v>
      </c>
      <c r="L119" t="s">
        <v>677</v>
      </c>
      <c r="N119" t="s">
        <v>678</v>
      </c>
      <c r="O119" t="s">
        <v>117</v>
      </c>
      <c r="P119" t="s">
        <v>118</v>
      </c>
      <c r="R119" t="s">
        <v>238</v>
      </c>
      <c r="S119" t="s">
        <v>121</v>
      </c>
      <c r="T119" t="s">
        <v>122</v>
      </c>
      <c r="U119" t="s">
        <v>203</v>
      </c>
      <c r="W119" t="s">
        <v>68</v>
      </c>
      <c r="X119" t="s">
        <v>124</v>
      </c>
      <c r="Y119">
        <v>0</v>
      </c>
      <c r="BN119">
        <v>0</v>
      </c>
    </row>
    <row r="120" spans="1:110" x14ac:dyDescent="0.2">
      <c r="A120" t="s">
        <v>111</v>
      </c>
      <c r="B120" t="b">
        <v>1</v>
      </c>
      <c r="C120" t="s">
        <v>132</v>
      </c>
      <c r="E120">
        <v>101</v>
      </c>
      <c r="F120" t="str">
        <f>HYPERLINK("https://portal.dnb.de/opac.htm?method=simpleSearch&amp;cqlMode=true&amp;query=idn%3D1000078248", "Portal")</f>
        <v>Portal</v>
      </c>
      <c r="G120" t="s">
        <v>112</v>
      </c>
      <c r="H120" t="s">
        <v>679</v>
      </c>
      <c r="I120" t="s">
        <v>680</v>
      </c>
      <c r="J120" t="s">
        <v>681</v>
      </c>
      <c r="K120" t="s">
        <v>681</v>
      </c>
      <c r="L120" t="s">
        <v>681</v>
      </c>
      <c r="N120" t="s">
        <v>682</v>
      </c>
      <c r="O120" t="s">
        <v>117</v>
      </c>
      <c r="S120" t="s">
        <v>146</v>
      </c>
      <c r="AI120" t="s">
        <v>149</v>
      </c>
      <c r="AK120" t="s">
        <v>132</v>
      </c>
      <c r="AM120" t="s">
        <v>179</v>
      </c>
      <c r="AS120" t="s">
        <v>135</v>
      </c>
      <c r="BG120">
        <v>60</v>
      </c>
      <c r="BM120" t="s">
        <v>180</v>
      </c>
      <c r="BN120">
        <v>1.5</v>
      </c>
      <c r="BR120" t="s">
        <v>132</v>
      </c>
      <c r="CA120" t="s">
        <v>132</v>
      </c>
      <c r="CB120" t="s">
        <v>132</v>
      </c>
      <c r="CD120" t="s">
        <v>204</v>
      </c>
      <c r="CM120">
        <v>1.5</v>
      </c>
      <c r="CN120" t="s">
        <v>683</v>
      </c>
    </row>
    <row r="121" spans="1:110" x14ac:dyDescent="0.2">
      <c r="A121" t="s">
        <v>111</v>
      </c>
      <c r="B121" t="b">
        <v>1</v>
      </c>
      <c r="E121">
        <v>102</v>
      </c>
      <c r="F121" t="str">
        <f>HYPERLINK("https://portal.dnb.de/opac.htm?method=simpleSearch&amp;cqlMode=true&amp;query=idn%3D1066960089", "Portal")</f>
        <v>Portal</v>
      </c>
      <c r="G121" t="s">
        <v>125</v>
      </c>
      <c r="H121" t="s">
        <v>684</v>
      </c>
      <c r="I121" t="s">
        <v>685</v>
      </c>
      <c r="J121" t="s">
        <v>686</v>
      </c>
      <c r="K121" t="s">
        <v>686</v>
      </c>
      <c r="L121" t="s">
        <v>686</v>
      </c>
      <c r="N121" t="s">
        <v>687</v>
      </c>
      <c r="O121" t="s">
        <v>117</v>
      </c>
      <c r="P121" t="s">
        <v>118</v>
      </c>
      <c r="R121" t="s">
        <v>480</v>
      </c>
      <c r="S121" t="s">
        <v>121</v>
      </c>
      <c r="T121" t="s">
        <v>122</v>
      </c>
      <c r="U121" t="s">
        <v>203</v>
      </c>
      <c r="Y121">
        <v>2</v>
      </c>
      <c r="BN121">
        <v>0</v>
      </c>
    </row>
    <row r="122" spans="1:110" x14ac:dyDescent="0.2">
      <c r="A122" t="s">
        <v>111</v>
      </c>
      <c r="B122" t="b">
        <v>1</v>
      </c>
      <c r="E122">
        <v>103</v>
      </c>
      <c r="F122" t="str">
        <f>HYPERLINK("https://portal.dnb.de/opac.htm?method=simpleSearch&amp;cqlMode=true&amp;query=idn%3D1066941599", "Portal")</f>
        <v>Portal</v>
      </c>
      <c r="G122" t="s">
        <v>125</v>
      </c>
      <c r="H122" t="s">
        <v>688</v>
      </c>
      <c r="I122" t="s">
        <v>689</v>
      </c>
      <c r="J122" t="s">
        <v>690</v>
      </c>
      <c r="K122" t="s">
        <v>690</v>
      </c>
      <c r="L122" t="s">
        <v>690</v>
      </c>
      <c r="N122" t="s">
        <v>691</v>
      </c>
      <c r="O122" t="s">
        <v>117</v>
      </c>
      <c r="P122" t="s">
        <v>118</v>
      </c>
      <c r="R122" t="s">
        <v>480</v>
      </c>
      <c r="S122" t="s">
        <v>121</v>
      </c>
      <c r="T122" t="s">
        <v>122</v>
      </c>
      <c r="U122" t="s">
        <v>203</v>
      </c>
      <c r="Y122">
        <v>0</v>
      </c>
      <c r="BN122">
        <v>0</v>
      </c>
    </row>
    <row r="123" spans="1:110" x14ac:dyDescent="0.2">
      <c r="A123" t="s">
        <v>111</v>
      </c>
      <c r="B123" t="b">
        <v>1</v>
      </c>
      <c r="E123">
        <v>104</v>
      </c>
      <c r="F123" t="str">
        <f>HYPERLINK("https://portal.dnb.de/opac.htm?method=simpleSearch&amp;cqlMode=true&amp;query=idn%3D1066958599", "Portal")</f>
        <v>Portal</v>
      </c>
      <c r="G123" t="s">
        <v>125</v>
      </c>
      <c r="H123" t="s">
        <v>692</v>
      </c>
      <c r="I123" t="s">
        <v>693</v>
      </c>
      <c r="J123" t="s">
        <v>694</v>
      </c>
      <c r="K123" t="s">
        <v>694</v>
      </c>
      <c r="L123" t="s">
        <v>694</v>
      </c>
      <c r="N123" t="s">
        <v>695</v>
      </c>
      <c r="O123" t="s">
        <v>117</v>
      </c>
      <c r="BN123">
        <v>0</v>
      </c>
    </row>
    <row r="124" spans="1:110" x14ac:dyDescent="0.2">
      <c r="A124" t="s">
        <v>111</v>
      </c>
      <c r="B124" t="b">
        <v>1</v>
      </c>
      <c r="E124">
        <v>105</v>
      </c>
      <c r="F124" t="str">
        <f>HYPERLINK("https://portal.dnb.de/opac.htm?method=simpleSearch&amp;cqlMode=true&amp;query=idn%3D1066959501", "Portal")</f>
        <v>Portal</v>
      </c>
      <c r="G124" t="s">
        <v>125</v>
      </c>
      <c r="H124" t="s">
        <v>696</v>
      </c>
      <c r="I124" t="s">
        <v>697</v>
      </c>
      <c r="J124" t="s">
        <v>698</v>
      </c>
      <c r="K124" t="s">
        <v>698</v>
      </c>
      <c r="L124" t="s">
        <v>698</v>
      </c>
      <c r="N124" t="s">
        <v>699</v>
      </c>
      <c r="O124" t="s">
        <v>117</v>
      </c>
      <c r="P124" t="s">
        <v>118</v>
      </c>
      <c r="R124" t="s">
        <v>238</v>
      </c>
      <c r="S124" t="s">
        <v>121</v>
      </c>
      <c r="T124" t="s">
        <v>122</v>
      </c>
      <c r="U124" t="s">
        <v>203</v>
      </c>
      <c r="W124" t="s">
        <v>147</v>
      </c>
      <c r="X124" t="s">
        <v>124</v>
      </c>
      <c r="Y124">
        <v>0</v>
      </c>
      <c r="BN124">
        <v>0</v>
      </c>
    </row>
    <row r="125" spans="1:110" x14ac:dyDescent="0.2">
      <c r="A125" t="s">
        <v>111</v>
      </c>
      <c r="B125" t="b">
        <v>1</v>
      </c>
      <c r="E125">
        <v>162</v>
      </c>
      <c r="F125" t="str">
        <f>HYPERLINK("https://portal.dnb.de/opac.htm?method=simpleSearch&amp;cqlMode=true&amp;query=idn%3D997607521", "Portal")</f>
        <v>Portal</v>
      </c>
      <c r="G125" t="s">
        <v>415</v>
      </c>
      <c r="H125" t="s">
        <v>700</v>
      </c>
      <c r="I125" t="s">
        <v>701</v>
      </c>
      <c r="J125" t="s">
        <v>702</v>
      </c>
      <c r="K125" t="s">
        <v>702</v>
      </c>
      <c r="L125" t="s">
        <v>702</v>
      </c>
      <c r="N125" t="s">
        <v>703</v>
      </c>
      <c r="O125" t="s">
        <v>117</v>
      </c>
      <c r="R125" t="s">
        <v>374</v>
      </c>
      <c r="S125" t="s">
        <v>121</v>
      </c>
      <c r="T125" t="s">
        <v>122</v>
      </c>
      <c r="W125" t="s">
        <v>229</v>
      </c>
      <c r="X125" t="s">
        <v>124</v>
      </c>
      <c r="Y125">
        <v>0</v>
      </c>
      <c r="BN125">
        <v>0</v>
      </c>
    </row>
    <row r="126" spans="1:110" x14ac:dyDescent="0.2">
      <c r="A126" t="s">
        <v>111</v>
      </c>
      <c r="B126" t="b">
        <v>1</v>
      </c>
      <c r="E126">
        <v>107</v>
      </c>
      <c r="F126" t="str">
        <f>HYPERLINK("https://portal.dnb.de/opac.htm?method=simpleSearch&amp;cqlMode=true&amp;query=idn%3D1066861765", "Portal")</f>
        <v>Portal</v>
      </c>
      <c r="G126" t="s">
        <v>125</v>
      </c>
      <c r="H126" t="s">
        <v>704</v>
      </c>
      <c r="I126" t="s">
        <v>705</v>
      </c>
      <c r="J126" t="s">
        <v>706</v>
      </c>
      <c r="K126" t="s">
        <v>706</v>
      </c>
      <c r="L126" t="s">
        <v>706</v>
      </c>
      <c r="N126" t="s">
        <v>707</v>
      </c>
      <c r="O126" t="s">
        <v>117</v>
      </c>
      <c r="P126" t="s">
        <v>118</v>
      </c>
      <c r="R126" t="s">
        <v>145</v>
      </c>
      <c r="S126" t="s">
        <v>146</v>
      </c>
      <c r="T126" t="s">
        <v>130</v>
      </c>
      <c r="U126" t="s">
        <v>123</v>
      </c>
      <c r="W126" t="s">
        <v>147</v>
      </c>
      <c r="X126" t="s">
        <v>124</v>
      </c>
      <c r="Y126">
        <v>0</v>
      </c>
      <c r="BN126">
        <v>0</v>
      </c>
    </row>
    <row r="127" spans="1:110" x14ac:dyDescent="0.2">
      <c r="A127" t="s">
        <v>111</v>
      </c>
      <c r="B127" t="b">
        <v>1</v>
      </c>
      <c r="E127">
        <v>164</v>
      </c>
      <c r="F127" t="str">
        <f>HYPERLINK("https://portal.dnb.de/opac.htm?method=simpleSearch&amp;cqlMode=true&amp;query=idn%3D995417059", "Portal")</f>
        <v>Portal</v>
      </c>
      <c r="G127" t="s">
        <v>542</v>
      </c>
      <c r="H127" t="s">
        <v>708</v>
      </c>
      <c r="I127" t="s">
        <v>709</v>
      </c>
      <c r="J127" t="s">
        <v>710</v>
      </c>
      <c r="K127" t="s">
        <v>710</v>
      </c>
      <c r="L127" t="s">
        <v>711</v>
      </c>
      <c r="N127" t="s">
        <v>712</v>
      </c>
      <c r="O127" t="s">
        <v>713</v>
      </c>
      <c r="P127" t="s">
        <v>118</v>
      </c>
      <c r="Q127" t="s">
        <v>714</v>
      </c>
      <c r="R127" t="s">
        <v>120</v>
      </c>
      <c r="S127" t="s">
        <v>121</v>
      </c>
      <c r="T127" t="s">
        <v>130</v>
      </c>
      <c r="U127" t="s">
        <v>123</v>
      </c>
      <c r="W127" t="s">
        <v>67</v>
      </c>
      <c r="X127" t="s">
        <v>124</v>
      </c>
      <c r="Y127">
        <v>0</v>
      </c>
      <c r="BN127">
        <v>0</v>
      </c>
    </row>
    <row r="128" spans="1:110" x14ac:dyDescent="0.2">
      <c r="A128" t="s">
        <v>111</v>
      </c>
      <c r="B128" t="b">
        <v>1</v>
      </c>
      <c r="C128" t="s">
        <v>132</v>
      </c>
      <c r="E128">
        <v>163</v>
      </c>
      <c r="F128" t="str">
        <f>HYPERLINK("https://portal.dnb.de/opac.htm?method=simpleSearch&amp;cqlMode=true&amp;query=idn%3D995434395", "Portal")</f>
        <v>Portal</v>
      </c>
      <c r="G128" t="s">
        <v>542</v>
      </c>
      <c r="H128" t="s">
        <v>715</v>
      </c>
      <c r="I128" t="s">
        <v>716</v>
      </c>
      <c r="J128" t="s">
        <v>710</v>
      </c>
      <c r="K128" t="s">
        <v>710</v>
      </c>
      <c r="L128" t="s">
        <v>717</v>
      </c>
      <c r="N128" t="s">
        <v>712</v>
      </c>
      <c r="O128" t="s">
        <v>718</v>
      </c>
      <c r="R128" t="s">
        <v>257</v>
      </c>
      <c r="S128" t="s">
        <v>121</v>
      </c>
      <c r="T128" t="s">
        <v>130</v>
      </c>
      <c r="U128" t="s">
        <v>719</v>
      </c>
      <c r="W128" t="s">
        <v>229</v>
      </c>
      <c r="X128" t="s">
        <v>302</v>
      </c>
      <c r="Y128">
        <v>2</v>
      </c>
      <c r="AI128" t="s">
        <v>720</v>
      </c>
      <c r="AM128" t="s">
        <v>196</v>
      </c>
      <c r="AS128" t="s">
        <v>135</v>
      </c>
      <c r="BG128">
        <v>45</v>
      </c>
      <c r="BM128" t="s">
        <v>180</v>
      </c>
      <c r="BN128">
        <v>3</v>
      </c>
      <c r="BT128" t="s">
        <v>562</v>
      </c>
      <c r="BU128" t="s">
        <v>132</v>
      </c>
      <c r="BY128" t="s">
        <v>721</v>
      </c>
      <c r="BZ128" t="s">
        <v>132</v>
      </c>
      <c r="CB128" t="s">
        <v>132</v>
      </c>
      <c r="CD128" t="s">
        <v>184</v>
      </c>
      <c r="CI128" t="s">
        <v>132</v>
      </c>
      <c r="CM128">
        <v>3</v>
      </c>
      <c r="CN128" t="s">
        <v>722</v>
      </c>
    </row>
    <row r="129" spans="1:111" x14ac:dyDescent="0.2">
      <c r="A129" t="s">
        <v>111</v>
      </c>
      <c r="B129" t="b">
        <v>1</v>
      </c>
      <c r="E129">
        <v>166</v>
      </c>
      <c r="F129" t="str">
        <f>HYPERLINK("https://portal.dnb.de/opac.htm?method=simpleSearch&amp;cqlMode=true&amp;query=idn%3D997624930", "Portal")</f>
        <v>Portal</v>
      </c>
      <c r="G129" t="s">
        <v>112</v>
      </c>
      <c r="H129" t="s">
        <v>723</v>
      </c>
      <c r="I129" t="s">
        <v>724</v>
      </c>
      <c r="J129" t="s">
        <v>725</v>
      </c>
      <c r="K129" t="s">
        <v>725</v>
      </c>
      <c r="L129" t="s">
        <v>725</v>
      </c>
      <c r="N129" t="s">
        <v>726</v>
      </c>
      <c r="O129" t="s">
        <v>117</v>
      </c>
      <c r="S129" t="s">
        <v>146</v>
      </c>
      <c r="AI129" t="s">
        <v>149</v>
      </c>
      <c r="AL129" t="s">
        <v>132</v>
      </c>
      <c r="AM129" t="s">
        <v>196</v>
      </c>
      <c r="AS129" t="s">
        <v>135</v>
      </c>
      <c r="BG129">
        <v>110</v>
      </c>
      <c r="BK129" t="s">
        <v>132</v>
      </c>
      <c r="BM129" t="s">
        <v>137</v>
      </c>
      <c r="BN129">
        <v>0</v>
      </c>
      <c r="BP129" t="s">
        <v>727</v>
      </c>
    </row>
    <row r="130" spans="1:111" x14ac:dyDescent="0.2">
      <c r="A130" t="s">
        <v>111</v>
      </c>
      <c r="B130" t="b">
        <v>1</v>
      </c>
      <c r="E130">
        <v>168</v>
      </c>
      <c r="F130" t="str">
        <f>HYPERLINK("https://portal.dnb.de/opac.htm?method=simpleSearch&amp;cqlMode=true&amp;query=idn%3D99713237X", "Portal")</f>
        <v>Portal</v>
      </c>
      <c r="G130" t="s">
        <v>112</v>
      </c>
      <c r="H130" t="s">
        <v>728</v>
      </c>
      <c r="I130" t="s">
        <v>729</v>
      </c>
      <c r="J130" t="s">
        <v>730</v>
      </c>
      <c r="K130" t="s">
        <v>730</v>
      </c>
      <c r="L130" t="s">
        <v>730</v>
      </c>
      <c r="N130" t="s">
        <v>731</v>
      </c>
      <c r="O130" t="s">
        <v>117</v>
      </c>
      <c r="P130" t="s">
        <v>118</v>
      </c>
      <c r="R130" t="s">
        <v>163</v>
      </c>
      <c r="S130" t="s">
        <v>146</v>
      </c>
      <c r="T130" t="s">
        <v>122</v>
      </c>
      <c r="U130" t="s">
        <v>131</v>
      </c>
      <c r="BN130">
        <v>0</v>
      </c>
    </row>
    <row r="131" spans="1:111" x14ac:dyDescent="0.2">
      <c r="A131" t="s">
        <v>111</v>
      </c>
      <c r="B131" t="b">
        <v>0</v>
      </c>
      <c r="E131">
        <v>169</v>
      </c>
      <c r="F131" t="str">
        <f>HYPERLINK("https://portal.dnb.de/opac.htm?method=simpleSearch&amp;cqlMode=true&amp;query=idn%3D996432566", "Portal")</f>
        <v>Portal</v>
      </c>
      <c r="H131" t="s">
        <v>732</v>
      </c>
      <c r="I131" t="s">
        <v>733</v>
      </c>
      <c r="L131" t="s">
        <v>734</v>
      </c>
      <c r="BN131">
        <v>0</v>
      </c>
    </row>
    <row r="132" spans="1:111" x14ac:dyDescent="0.2">
      <c r="A132" t="s">
        <v>111</v>
      </c>
      <c r="B132" t="b">
        <v>1</v>
      </c>
      <c r="E132">
        <v>171</v>
      </c>
      <c r="F132" t="str">
        <f>HYPERLINK("https://portal.dnb.de/opac.htm?method=simpleSearch&amp;cqlMode=true&amp;query=idn%3D998780650", "Portal")</f>
        <v>Portal</v>
      </c>
      <c r="G132" t="s">
        <v>542</v>
      </c>
      <c r="H132" t="s">
        <v>735</v>
      </c>
      <c r="I132" t="s">
        <v>736</v>
      </c>
      <c r="J132" t="s">
        <v>734</v>
      </c>
      <c r="K132" t="s">
        <v>734</v>
      </c>
      <c r="L132" t="s">
        <v>737</v>
      </c>
      <c r="N132" t="s">
        <v>738</v>
      </c>
      <c r="O132" t="s">
        <v>739</v>
      </c>
      <c r="P132" t="s">
        <v>118</v>
      </c>
      <c r="R132" t="s">
        <v>145</v>
      </c>
      <c r="S132" t="s">
        <v>121</v>
      </c>
      <c r="T132" t="s">
        <v>130</v>
      </c>
      <c r="U132" t="s">
        <v>740</v>
      </c>
      <c r="W132" t="s">
        <v>67</v>
      </c>
      <c r="X132" t="s">
        <v>124</v>
      </c>
      <c r="Y132">
        <v>0</v>
      </c>
      <c r="BN132">
        <v>0</v>
      </c>
    </row>
    <row r="133" spans="1:111" x14ac:dyDescent="0.2">
      <c r="A133" t="s">
        <v>111</v>
      </c>
      <c r="B133" t="b">
        <v>1</v>
      </c>
      <c r="E133">
        <v>170</v>
      </c>
      <c r="F133" t="str">
        <f>HYPERLINK("https://portal.dnb.de/opac.htm?method=simpleSearch&amp;cqlMode=true&amp;query=idn%3D998780723", "Portal")</f>
        <v>Portal</v>
      </c>
      <c r="G133" t="s">
        <v>542</v>
      </c>
      <c r="H133" t="s">
        <v>741</v>
      </c>
      <c r="I133" t="s">
        <v>742</v>
      </c>
      <c r="J133" t="s">
        <v>734</v>
      </c>
      <c r="K133" t="s">
        <v>734</v>
      </c>
      <c r="L133" t="s">
        <v>743</v>
      </c>
      <c r="N133" t="s">
        <v>738</v>
      </c>
      <c r="O133" t="s">
        <v>744</v>
      </c>
      <c r="P133" t="s">
        <v>118</v>
      </c>
      <c r="R133" t="s">
        <v>145</v>
      </c>
      <c r="S133" t="s">
        <v>121</v>
      </c>
      <c r="T133" t="s">
        <v>130</v>
      </c>
      <c r="U133" t="s">
        <v>740</v>
      </c>
      <c r="W133" t="s">
        <v>67</v>
      </c>
      <c r="X133" t="s">
        <v>124</v>
      </c>
      <c r="Y133">
        <v>0</v>
      </c>
      <c r="BN133">
        <v>0</v>
      </c>
    </row>
    <row r="134" spans="1:111" x14ac:dyDescent="0.2">
      <c r="A134" t="s">
        <v>111</v>
      </c>
      <c r="B134" t="b">
        <v>1</v>
      </c>
      <c r="E134">
        <v>172</v>
      </c>
      <c r="F134" t="str">
        <f>HYPERLINK("https://portal.dnb.de/opac.htm?method=simpleSearch&amp;cqlMode=true&amp;query=idn%3D998780944", "Portal")</f>
        <v>Portal</v>
      </c>
      <c r="G134" t="s">
        <v>542</v>
      </c>
      <c r="H134" t="s">
        <v>745</v>
      </c>
      <c r="I134" t="s">
        <v>746</v>
      </c>
      <c r="J134" t="s">
        <v>734</v>
      </c>
      <c r="K134" t="s">
        <v>734</v>
      </c>
      <c r="L134" t="s">
        <v>747</v>
      </c>
      <c r="N134" t="s">
        <v>738</v>
      </c>
      <c r="O134" t="s">
        <v>748</v>
      </c>
      <c r="P134" t="s">
        <v>118</v>
      </c>
      <c r="R134" t="s">
        <v>145</v>
      </c>
      <c r="S134" t="s">
        <v>121</v>
      </c>
      <c r="T134" t="s">
        <v>130</v>
      </c>
      <c r="U134" t="s">
        <v>749</v>
      </c>
      <c r="W134" t="s">
        <v>67</v>
      </c>
      <c r="X134" t="s">
        <v>124</v>
      </c>
      <c r="Y134">
        <v>0</v>
      </c>
      <c r="BN134">
        <v>0</v>
      </c>
    </row>
    <row r="135" spans="1:111" x14ac:dyDescent="0.2">
      <c r="A135" t="s">
        <v>111</v>
      </c>
      <c r="B135" t="b">
        <v>1</v>
      </c>
      <c r="E135">
        <v>173</v>
      </c>
      <c r="F135" t="str">
        <f>HYPERLINK("https://portal.dnb.de/opac.htm?method=simpleSearch&amp;cqlMode=true&amp;query=idn%3D1002374065", "Portal")</f>
        <v>Portal</v>
      </c>
      <c r="G135" t="s">
        <v>112</v>
      </c>
      <c r="H135" t="s">
        <v>750</v>
      </c>
      <c r="I135" t="s">
        <v>751</v>
      </c>
      <c r="J135" t="s">
        <v>752</v>
      </c>
      <c r="K135" t="s">
        <v>752</v>
      </c>
      <c r="L135" t="s">
        <v>753</v>
      </c>
      <c r="N135" t="s">
        <v>754</v>
      </c>
      <c r="O135" t="s">
        <v>117</v>
      </c>
      <c r="P135" t="s">
        <v>118</v>
      </c>
      <c r="R135" t="s">
        <v>257</v>
      </c>
      <c r="S135" t="s">
        <v>146</v>
      </c>
      <c r="T135" t="s">
        <v>122</v>
      </c>
      <c r="U135" t="s">
        <v>203</v>
      </c>
      <c r="W135" t="s">
        <v>229</v>
      </c>
      <c r="X135" t="s">
        <v>302</v>
      </c>
      <c r="Y135">
        <v>0</v>
      </c>
      <c r="BN135">
        <v>0</v>
      </c>
    </row>
    <row r="136" spans="1:111" x14ac:dyDescent="0.2">
      <c r="A136" t="s">
        <v>111</v>
      </c>
      <c r="B136" t="b">
        <v>1</v>
      </c>
      <c r="E136">
        <v>109</v>
      </c>
      <c r="F136" t="str">
        <f>HYPERLINK("https://portal.dnb.de/opac.htm?method=simpleSearch&amp;cqlMode=true&amp;query=idn%3D1066957924", "Portal")</f>
        <v>Portal</v>
      </c>
      <c r="G136" t="s">
        <v>125</v>
      </c>
      <c r="H136" t="s">
        <v>755</v>
      </c>
      <c r="I136" t="s">
        <v>756</v>
      </c>
      <c r="J136" t="s">
        <v>757</v>
      </c>
      <c r="K136" t="s">
        <v>757</v>
      </c>
      <c r="L136" t="s">
        <v>757</v>
      </c>
      <c r="N136" t="s">
        <v>758</v>
      </c>
      <c r="O136" t="s">
        <v>117</v>
      </c>
      <c r="P136" t="s">
        <v>118</v>
      </c>
      <c r="R136" t="s">
        <v>297</v>
      </c>
      <c r="S136" t="s">
        <v>146</v>
      </c>
      <c r="T136" t="s">
        <v>122</v>
      </c>
      <c r="U136" t="s">
        <v>203</v>
      </c>
      <c r="W136" t="s">
        <v>147</v>
      </c>
      <c r="X136" t="s">
        <v>124</v>
      </c>
      <c r="Y136">
        <v>0</v>
      </c>
      <c r="BN136">
        <v>0</v>
      </c>
    </row>
    <row r="137" spans="1:111" x14ac:dyDescent="0.2">
      <c r="A137" t="s">
        <v>111</v>
      </c>
      <c r="B137" t="b">
        <v>1</v>
      </c>
      <c r="E137">
        <v>110</v>
      </c>
      <c r="F137" t="str">
        <f>HYPERLINK("https://portal.dnb.de/opac.htm?method=simpleSearch&amp;cqlMode=true&amp;query=idn%3D1066871612", "Portal")</f>
        <v>Portal</v>
      </c>
      <c r="G137" t="s">
        <v>125</v>
      </c>
      <c r="H137" t="s">
        <v>759</v>
      </c>
      <c r="I137" t="s">
        <v>760</v>
      </c>
      <c r="J137" t="s">
        <v>761</v>
      </c>
      <c r="K137" t="s">
        <v>761</v>
      </c>
      <c r="L137" t="s">
        <v>761</v>
      </c>
      <c r="N137" t="s">
        <v>762</v>
      </c>
      <c r="O137" t="s">
        <v>117</v>
      </c>
      <c r="P137" t="s">
        <v>118</v>
      </c>
      <c r="R137" t="s">
        <v>284</v>
      </c>
      <c r="S137" t="s">
        <v>146</v>
      </c>
      <c r="T137" t="s">
        <v>122</v>
      </c>
      <c r="U137" t="s">
        <v>131</v>
      </c>
      <c r="W137" t="s">
        <v>147</v>
      </c>
      <c r="X137" t="s">
        <v>124</v>
      </c>
      <c r="Y137">
        <v>0</v>
      </c>
      <c r="AA137" t="s">
        <v>148</v>
      </c>
      <c r="BN137">
        <v>0</v>
      </c>
    </row>
    <row r="138" spans="1:111" x14ac:dyDescent="0.2">
      <c r="A138" t="s">
        <v>111</v>
      </c>
      <c r="B138" t="b">
        <v>1</v>
      </c>
      <c r="F138" t="str">
        <f>HYPERLINK("https://portal.dnb.de/opac.htm?method=simpleSearch&amp;cqlMode=true&amp;query=idn%3D1155441567", "Portal")</f>
        <v>Portal</v>
      </c>
      <c r="G138" t="s">
        <v>319</v>
      </c>
      <c r="H138" t="s">
        <v>763</v>
      </c>
      <c r="I138" t="s">
        <v>764</v>
      </c>
      <c r="J138" t="s">
        <v>765</v>
      </c>
      <c r="K138" t="s">
        <v>765</v>
      </c>
      <c r="L138" t="s">
        <v>765</v>
      </c>
      <c r="N138" t="s">
        <v>766</v>
      </c>
      <c r="O138" t="s">
        <v>117</v>
      </c>
      <c r="S138" t="s">
        <v>146</v>
      </c>
      <c r="AI138" t="s">
        <v>149</v>
      </c>
      <c r="AL138" t="s">
        <v>132</v>
      </c>
      <c r="AM138" t="s">
        <v>196</v>
      </c>
      <c r="AS138" t="s">
        <v>135</v>
      </c>
      <c r="BG138">
        <v>110</v>
      </c>
      <c r="BM138" t="s">
        <v>137</v>
      </c>
      <c r="BN138">
        <v>0</v>
      </c>
      <c r="BP138" t="s">
        <v>181</v>
      </c>
    </row>
    <row r="139" spans="1:111" x14ac:dyDescent="0.2">
      <c r="A139" t="s">
        <v>111</v>
      </c>
      <c r="B139" t="b">
        <v>1</v>
      </c>
      <c r="C139" t="s">
        <v>132</v>
      </c>
      <c r="E139">
        <v>111</v>
      </c>
      <c r="F139" t="str">
        <f>HYPERLINK("https://portal.dnb.de/opac.htm?method=simpleSearch&amp;cqlMode=true&amp;query=idn%3D1066848572", "Portal")</f>
        <v>Portal</v>
      </c>
      <c r="G139" t="s">
        <v>125</v>
      </c>
      <c r="H139" t="s">
        <v>767</v>
      </c>
      <c r="I139" t="s">
        <v>768</v>
      </c>
      <c r="J139" t="s">
        <v>769</v>
      </c>
      <c r="K139" t="s">
        <v>769</v>
      </c>
      <c r="L139" t="s">
        <v>769</v>
      </c>
      <c r="N139" t="s">
        <v>770</v>
      </c>
      <c r="O139" t="s">
        <v>117</v>
      </c>
      <c r="P139" t="s">
        <v>118</v>
      </c>
      <c r="R139" t="s">
        <v>257</v>
      </c>
      <c r="S139" t="s">
        <v>121</v>
      </c>
      <c r="T139" t="s">
        <v>122</v>
      </c>
      <c r="AI139" t="s">
        <v>135</v>
      </c>
      <c r="AS139" t="s">
        <v>135</v>
      </c>
      <c r="BG139">
        <v>110</v>
      </c>
      <c r="BM139" t="s">
        <v>180</v>
      </c>
      <c r="BN139">
        <v>1.5</v>
      </c>
      <c r="BZ139" t="s">
        <v>132</v>
      </c>
      <c r="CD139" t="s">
        <v>204</v>
      </c>
      <c r="CF139" t="s">
        <v>132</v>
      </c>
      <c r="CM139">
        <v>1.5</v>
      </c>
      <c r="CN139" t="s">
        <v>771</v>
      </c>
    </row>
    <row r="140" spans="1:111" x14ac:dyDescent="0.2">
      <c r="A140" t="s">
        <v>111</v>
      </c>
      <c r="B140" t="b">
        <v>1</v>
      </c>
      <c r="E140">
        <v>112</v>
      </c>
      <c r="F140" t="str">
        <f>HYPERLINK("https://portal.dnb.de/opac.htm?method=simpleSearch&amp;cqlMode=true&amp;query=idn%3D1066963002", "Portal")</f>
        <v>Portal</v>
      </c>
      <c r="G140" t="s">
        <v>125</v>
      </c>
      <c r="H140" t="s">
        <v>772</v>
      </c>
      <c r="I140" t="s">
        <v>773</v>
      </c>
      <c r="J140" t="s">
        <v>774</v>
      </c>
      <c r="K140" t="s">
        <v>774</v>
      </c>
      <c r="L140" t="s">
        <v>774</v>
      </c>
      <c r="N140" t="s">
        <v>775</v>
      </c>
      <c r="O140" t="s">
        <v>117</v>
      </c>
      <c r="P140" t="s">
        <v>118</v>
      </c>
      <c r="R140" t="s">
        <v>145</v>
      </c>
      <c r="S140" t="s">
        <v>121</v>
      </c>
      <c r="T140" t="s">
        <v>130</v>
      </c>
      <c r="U140" t="s">
        <v>131</v>
      </c>
      <c r="W140" t="s">
        <v>147</v>
      </c>
      <c r="X140" t="s">
        <v>124</v>
      </c>
      <c r="Y140">
        <v>1</v>
      </c>
      <c r="AA140" t="s">
        <v>148</v>
      </c>
      <c r="AI140" t="s">
        <v>149</v>
      </c>
      <c r="AK140" t="s">
        <v>132</v>
      </c>
      <c r="AM140" t="s">
        <v>150</v>
      </c>
      <c r="AS140" t="s">
        <v>135</v>
      </c>
      <c r="BG140">
        <v>80</v>
      </c>
      <c r="BM140" t="s">
        <v>137</v>
      </c>
      <c r="BN140">
        <v>0</v>
      </c>
      <c r="BR140" t="s">
        <v>132</v>
      </c>
      <c r="BV140" t="s">
        <v>647</v>
      </c>
    </row>
    <row r="141" spans="1:111" x14ac:dyDescent="0.2">
      <c r="A141" t="s">
        <v>111</v>
      </c>
      <c r="B141" t="b">
        <v>1</v>
      </c>
      <c r="C141" t="s">
        <v>132</v>
      </c>
      <c r="E141">
        <v>113</v>
      </c>
      <c r="F141" t="str">
        <f>HYPERLINK("https://portal.dnb.de/opac.htm?method=simpleSearch&amp;cqlMode=true&amp;query=idn%3D1066849153", "Portal")</f>
        <v>Portal</v>
      </c>
      <c r="G141" t="s">
        <v>125</v>
      </c>
      <c r="H141" t="s">
        <v>776</v>
      </c>
      <c r="I141" t="s">
        <v>777</v>
      </c>
      <c r="J141" t="s">
        <v>778</v>
      </c>
      <c r="K141" t="s">
        <v>778</v>
      </c>
      <c r="L141" t="s">
        <v>778</v>
      </c>
      <c r="N141" t="s">
        <v>779</v>
      </c>
      <c r="O141" t="s">
        <v>117</v>
      </c>
      <c r="S141" t="s">
        <v>146</v>
      </c>
      <c r="AI141" t="s">
        <v>149</v>
      </c>
      <c r="AK141" t="s">
        <v>132</v>
      </c>
      <c r="AL141" t="s">
        <v>132</v>
      </c>
      <c r="AM141" t="s">
        <v>196</v>
      </c>
      <c r="AS141" t="s">
        <v>135</v>
      </c>
      <c r="BG141">
        <v>45</v>
      </c>
      <c r="BM141" t="s">
        <v>180</v>
      </c>
      <c r="BN141">
        <v>0.5</v>
      </c>
      <c r="BS141" t="s">
        <v>132</v>
      </c>
      <c r="BV141" t="s">
        <v>780</v>
      </c>
      <c r="CA141" t="s">
        <v>132</v>
      </c>
      <c r="CB141" t="s">
        <v>132</v>
      </c>
      <c r="CM141">
        <v>0.5</v>
      </c>
      <c r="CN141" t="s">
        <v>781</v>
      </c>
    </row>
    <row r="142" spans="1:111" x14ac:dyDescent="0.2">
      <c r="A142" t="s">
        <v>111</v>
      </c>
      <c r="B142" t="b">
        <v>1</v>
      </c>
      <c r="E142">
        <v>175</v>
      </c>
      <c r="F142" t="str">
        <f>HYPERLINK("https://portal.dnb.de/opac.htm?method=simpleSearch&amp;cqlMode=true&amp;query=idn%3D1000202720", "Portal")</f>
        <v>Portal</v>
      </c>
      <c r="G142" t="s">
        <v>112</v>
      </c>
      <c r="H142" t="s">
        <v>782</v>
      </c>
      <c r="I142" t="s">
        <v>783</v>
      </c>
      <c r="J142" t="s">
        <v>784</v>
      </c>
      <c r="K142" t="s">
        <v>784</v>
      </c>
      <c r="L142" t="s">
        <v>785</v>
      </c>
      <c r="N142" t="s">
        <v>786</v>
      </c>
      <c r="O142" t="s">
        <v>117</v>
      </c>
      <c r="P142" t="s">
        <v>118</v>
      </c>
      <c r="R142" t="s">
        <v>257</v>
      </c>
      <c r="S142" t="s">
        <v>146</v>
      </c>
      <c r="T142" t="s">
        <v>122</v>
      </c>
      <c r="U142" t="s">
        <v>203</v>
      </c>
      <c r="Y142">
        <v>0</v>
      </c>
      <c r="AI142" t="s">
        <v>135</v>
      </c>
      <c r="AM142" t="s">
        <v>134</v>
      </c>
      <c r="AS142" t="s">
        <v>135</v>
      </c>
      <c r="BG142">
        <v>110</v>
      </c>
      <c r="BM142" t="s">
        <v>137</v>
      </c>
      <c r="BN142">
        <v>0</v>
      </c>
      <c r="BV142" t="s">
        <v>355</v>
      </c>
    </row>
    <row r="143" spans="1:111" x14ac:dyDescent="0.2">
      <c r="A143" t="s">
        <v>111</v>
      </c>
      <c r="B143" t="b">
        <v>1</v>
      </c>
      <c r="C143" t="s">
        <v>132</v>
      </c>
      <c r="E143">
        <v>176</v>
      </c>
      <c r="F143" t="str">
        <f>HYPERLINK("https://portal.dnb.de/opac.htm?method=simpleSearch&amp;cqlMode=true&amp;query=idn%3D1002030188", "Portal")</f>
        <v>Portal</v>
      </c>
      <c r="G143" t="s">
        <v>112</v>
      </c>
      <c r="H143" t="s">
        <v>787</v>
      </c>
      <c r="I143" t="s">
        <v>788</v>
      </c>
      <c r="J143" t="s">
        <v>789</v>
      </c>
      <c r="K143" t="s">
        <v>789</v>
      </c>
      <c r="L143" t="s">
        <v>790</v>
      </c>
      <c r="N143" t="s">
        <v>791</v>
      </c>
      <c r="O143" t="s">
        <v>117</v>
      </c>
      <c r="S143" t="s">
        <v>146</v>
      </c>
      <c r="AI143" t="s">
        <v>792</v>
      </c>
      <c r="AM143" t="s">
        <v>134</v>
      </c>
      <c r="AS143" t="s">
        <v>135</v>
      </c>
      <c r="BG143" t="s">
        <v>793</v>
      </c>
      <c r="BL143" t="s">
        <v>132</v>
      </c>
      <c r="BM143" t="s">
        <v>180</v>
      </c>
      <c r="BN143">
        <v>5</v>
      </c>
      <c r="BT143" t="s">
        <v>562</v>
      </c>
      <c r="BU143" t="s">
        <v>132</v>
      </c>
      <c r="BY143" t="s">
        <v>794</v>
      </c>
      <c r="CW143" t="s">
        <v>132</v>
      </c>
      <c r="DF143">
        <v>5</v>
      </c>
      <c r="DG143" t="s">
        <v>795</v>
      </c>
    </row>
    <row r="144" spans="1:111" x14ac:dyDescent="0.2">
      <c r="A144" t="s">
        <v>111</v>
      </c>
      <c r="B144" t="b">
        <v>1</v>
      </c>
      <c r="E144">
        <v>114</v>
      </c>
      <c r="F144" t="str">
        <f>HYPERLINK("https://portal.dnb.de/opac.htm?method=simpleSearch&amp;cqlMode=true&amp;query=idn%3D1066963029", "Portal")</f>
        <v>Portal</v>
      </c>
      <c r="G144" t="s">
        <v>125</v>
      </c>
      <c r="H144" t="s">
        <v>796</v>
      </c>
      <c r="I144" t="s">
        <v>797</v>
      </c>
      <c r="J144" t="s">
        <v>798</v>
      </c>
      <c r="K144" t="s">
        <v>798</v>
      </c>
      <c r="L144" t="s">
        <v>798</v>
      </c>
      <c r="N144" t="s">
        <v>799</v>
      </c>
      <c r="O144" t="s">
        <v>117</v>
      </c>
      <c r="P144" t="s">
        <v>118</v>
      </c>
      <c r="R144" t="s">
        <v>190</v>
      </c>
      <c r="S144" t="s">
        <v>121</v>
      </c>
      <c r="AI144" t="s">
        <v>133</v>
      </c>
      <c r="AM144" t="s">
        <v>179</v>
      </c>
      <c r="AS144" t="s">
        <v>135</v>
      </c>
      <c r="BG144">
        <v>0</v>
      </c>
      <c r="BH144" t="s">
        <v>800</v>
      </c>
      <c r="BM144" t="s">
        <v>137</v>
      </c>
      <c r="BN144">
        <v>0</v>
      </c>
    </row>
    <row r="145" spans="1:92" x14ac:dyDescent="0.2">
      <c r="A145" t="s">
        <v>111</v>
      </c>
      <c r="B145" t="b">
        <v>1</v>
      </c>
      <c r="E145">
        <v>177</v>
      </c>
      <c r="F145" t="str">
        <f>HYPERLINK("https://portal.dnb.de/opac.htm?method=simpleSearch&amp;cqlMode=true&amp;query=idn%3D1066964424", "Portal")</f>
        <v>Portal</v>
      </c>
      <c r="G145" t="s">
        <v>125</v>
      </c>
      <c r="H145" t="s">
        <v>801</v>
      </c>
      <c r="I145" t="s">
        <v>802</v>
      </c>
      <c r="J145" t="s">
        <v>803</v>
      </c>
      <c r="K145" t="s">
        <v>803</v>
      </c>
      <c r="L145" t="s">
        <v>803</v>
      </c>
      <c r="N145" t="s">
        <v>804</v>
      </c>
      <c r="O145" t="s">
        <v>117</v>
      </c>
      <c r="S145" t="s">
        <v>146</v>
      </c>
      <c r="AI145" t="s">
        <v>149</v>
      </c>
      <c r="AM145" t="s">
        <v>196</v>
      </c>
      <c r="AR145" t="s">
        <v>132</v>
      </c>
      <c r="AS145" t="s">
        <v>135</v>
      </c>
      <c r="BG145">
        <v>60</v>
      </c>
      <c r="BL145" t="s">
        <v>132</v>
      </c>
      <c r="BM145" t="s">
        <v>137</v>
      </c>
      <c r="BN145">
        <v>0</v>
      </c>
      <c r="BP145" t="s">
        <v>181</v>
      </c>
      <c r="BV145" t="s">
        <v>805</v>
      </c>
    </row>
    <row r="146" spans="1:92" x14ac:dyDescent="0.2">
      <c r="A146" t="s">
        <v>111</v>
      </c>
      <c r="B146" t="b">
        <v>1</v>
      </c>
      <c r="C146" t="s">
        <v>132</v>
      </c>
      <c r="E146">
        <v>178</v>
      </c>
      <c r="F146" t="str">
        <f>HYPERLINK("https://portal.dnb.de/opac.htm?method=simpleSearch&amp;cqlMode=true&amp;query=idn%3D995382972", "Portal")</f>
        <v>Portal</v>
      </c>
      <c r="G146" t="s">
        <v>112</v>
      </c>
      <c r="H146" t="s">
        <v>806</v>
      </c>
      <c r="I146" t="s">
        <v>807</v>
      </c>
      <c r="J146" t="s">
        <v>808</v>
      </c>
      <c r="K146" t="s">
        <v>808</v>
      </c>
      <c r="L146" t="s">
        <v>808</v>
      </c>
      <c r="N146" t="s">
        <v>809</v>
      </c>
      <c r="O146" t="s">
        <v>117</v>
      </c>
      <c r="S146" t="s">
        <v>470</v>
      </c>
      <c r="AI146" t="s">
        <v>149</v>
      </c>
      <c r="AM146" t="s">
        <v>196</v>
      </c>
      <c r="AS146" t="s">
        <v>135</v>
      </c>
      <c r="BG146">
        <v>60</v>
      </c>
      <c r="BM146" t="s">
        <v>180</v>
      </c>
      <c r="BN146">
        <v>2</v>
      </c>
      <c r="BT146" t="s">
        <v>562</v>
      </c>
      <c r="BU146" t="s">
        <v>132</v>
      </c>
      <c r="BY146" t="s">
        <v>460</v>
      </c>
      <c r="CA146" t="s">
        <v>132</v>
      </c>
      <c r="CB146" t="s">
        <v>132</v>
      </c>
      <c r="CD146" t="s">
        <v>204</v>
      </c>
      <c r="CM146">
        <v>2</v>
      </c>
      <c r="CN146" t="s">
        <v>810</v>
      </c>
    </row>
    <row r="147" spans="1:92" x14ac:dyDescent="0.2">
      <c r="A147" t="s">
        <v>111</v>
      </c>
      <c r="B147" t="b">
        <v>1</v>
      </c>
      <c r="C147" t="s">
        <v>132</v>
      </c>
      <c r="E147">
        <v>115</v>
      </c>
      <c r="F147" t="str">
        <f>HYPERLINK("https://portal.dnb.de/opac.htm?method=simpleSearch&amp;cqlMode=true&amp;query=idn%3D1066959285", "Portal")</f>
        <v>Portal</v>
      </c>
      <c r="G147" t="s">
        <v>125</v>
      </c>
      <c r="H147" t="s">
        <v>811</v>
      </c>
      <c r="I147" t="s">
        <v>812</v>
      </c>
      <c r="J147" t="s">
        <v>813</v>
      </c>
      <c r="K147" t="s">
        <v>813</v>
      </c>
      <c r="L147" t="s">
        <v>813</v>
      </c>
      <c r="N147" t="s">
        <v>814</v>
      </c>
      <c r="O147" t="s">
        <v>117</v>
      </c>
      <c r="P147" t="s">
        <v>118</v>
      </c>
      <c r="R147" t="s">
        <v>223</v>
      </c>
      <c r="S147" t="s">
        <v>146</v>
      </c>
      <c r="AI147" t="s">
        <v>365</v>
      </c>
      <c r="AK147" t="s">
        <v>132</v>
      </c>
      <c r="AM147" t="s">
        <v>179</v>
      </c>
      <c r="AS147" t="s">
        <v>135</v>
      </c>
      <c r="BG147">
        <v>45</v>
      </c>
      <c r="BM147" t="s">
        <v>180</v>
      </c>
      <c r="BN147">
        <v>6</v>
      </c>
      <c r="BR147" t="s">
        <v>132</v>
      </c>
      <c r="BZ147" t="s">
        <v>132</v>
      </c>
      <c r="CA147" t="s">
        <v>132</v>
      </c>
      <c r="CB147" t="s">
        <v>132</v>
      </c>
      <c r="CD147" t="s">
        <v>184</v>
      </c>
      <c r="CM147">
        <v>6</v>
      </c>
      <c r="CN147" t="s">
        <v>815</v>
      </c>
    </row>
    <row r="148" spans="1:92" x14ac:dyDescent="0.2">
      <c r="A148" t="s">
        <v>111</v>
      </c>
      <c r="B148" t="b">
        <v>1</v>
      </c>
      <c r="E148">
        <v>180</v>
      </c>
      <c r="F148" t="str">
        <f>HYPERLINK("https://portal.dnb.de/opac.htm?method=simpleSearch&amp;cqlMode=true&amp;query=idn%3D1002740738", "Portal")</f>
        <v>Portal</v>
      </c>
      <c r="G148" t="s">
        <v>112</v>
      </c>
      <c r="H148" t="s">
        <v>816</v>
      </c>
      <c r="I148" t="s">
        <v>817</v>
      </c>
      <c r="J148" t="s">
        <v>818</v>
      </c>
      <c r="K148" t="s">
        <v>818</v>
      </c>
      <c r="L148" t="s">
        <v>819</v>
      </c>
      <c r="N148" t="s">
        <v>820</v>
      </c>
      <c r="O148" t="s">
        <v>117</v>
      </c>
      <c r="P148" t="s">
        <v>118</v>
      </c>
      <c r="Q148" t="s">
        <v>821</v>
      </c>
      <c r="R148" t="s">
        <v>145</v>
      </c>
      <c r="S148" t="s">
        <v>121</v>
      </c>
      <c r="T148" t="s">
        <v>130</v>
      </c>
      <c r="U148" t="s">
        <v>719</v>
      </c>
      <c r="W148" t="s">
        <v>67</v>
      </c>
      <c r="X148" t="s">
        <v>124</v>
      </c>
      <c r="Y148">
        <v>0</v>
      </c>
      <c r="AA148" t="s">
        <v>148</v>
      </c>
      <c r="BN148">
        <v>0</v>
      </c>
    </row>
    <row r="149" spans="1:92" x14ac:dyDescent="0.2">
      <c r="A149" t="s">
        <v>111</v>
      </c>
      <c r="B149" t="b">
        <v>1</v>
      </c>
      <c r="E149">
        <v>181</v>
      </c>
      <c r="F149" t="str">
        <f>HYPERLINK("https://portal.dnb.de/opac.htm?method=simpleSearch&amp;cqlMode=true&amp;query=idn%3D1000079600", "Portal")</f>
        <v>Portal</v>
      </c>
      <c r="G149" t="s">
        <v>112</v>
      </c>
      <c r="H149" t="s">
        <v>822</v>
      </c>
      <c r="I149" t="s">
        <v>823</v>
      </c>
      <c r="J149" t="s">
        <v>824</v>
      </c>
      <c r="K149" t="s">
        <v>824</v>
      </c>
      <c r="L149" t="s">
        <v>825</v>
      </c>
      <c r="N149" t="s">
        <v>826</v>
      </c>
      <c r="O149" t="s">
        <v>117</v>
      </c>
      <c r="S149" t="s">
        <v>470</v>
      </c>
      <c r="AI149" t="s">
        <v>149</v>
      </c>
      <c r="AM149" t="s">
        <v>196</v>
      </c>
      <c r="AS149" t="s">
        <v>135</v>
      </c>
      <c r="BG149">
        <v>60</v>
      </c>
      <c r="BM149" t="s">
        <v>137</v>
      </c>
      <c r="BN149">
        <v>0</v>
      </c>
      <c r="BQ149" t="s">
        <v>132</v>
      </c>
      <c r="BU149" t="s">
        <v>132</v>
      </c>
      <c r="BV149" t="s">
        <v>827</v>
      </c>
      <c r="BY149" t="s">
        <v>460</v>
      </c>
    </row>
    <row r="150" spans="1:92" x14ac:dyDescent="0.2">
      <c r="A150" t="s">
        <v>111</v>
      </c>
      <c r="B150" t="b">
        <v>1</v>
      </c>
      <c r="E150">
        <v>182</v>
      </c>
      <c r="F150" t="str">
        <f>HYPERLINK("https://portal.dnb.de/opac.htm?method=simpleSearch&amp;cqlMode=true&amp;query=idn%3D1003588670", "Portal")</f>
        <v>Portal</v>
      </c>
      <c r="G150" t="s">
        <v>542</v>
      </c>
      <c r="H150" t="s">
        <v>828</v>
      </c>
      <c r="I150" t="s">
        <v>829</v>
      </c>
      <c r="J150" t="s">
        <v>830</v>
      </c>
      <c r="K150" t="s">
        <v>830</v>
      </c>
      <c r="L150" t="s">
        <v>831</v>
      </c>
      <c r="N150" t="s">
        <v>832</v>
      </c>
      <c r="O150" t="s">
        <v>833</v>
      </c>
      <c r="R150" t="s">
        <v>120</v>
      </c>
      <c r="S150" t="s">
        <v>121</v>
      </c>
      <c r="T150" t="s">
        <v>834</v>
      </c>
      <c r="U150" t="s">
        <v>178</v>
      </c>
      <c r="W150" t="s">
        <v>67</v>
      </c>
      <c r="X150" t="s">
        <v>124</v>
      </c>
      <c r="Y150">
        <v>0</v>
      </c>
      <c r="BN150">
        <v>0</v>
      </c>
    </row>
    <row r="151" spans="1:92" x14ac:dyDescent="0.2">
      <c r="A151" t="s">
        <v>111</v>
      </c>
      <c r="B151" t="b">
        <v>1</v>
      </c>
      <c r="E151">
        <v>116</v>
      </c>
      <c r="F151" t="str">
        <f>HYPERLINK("https://portal.dnb.de/opac.htm?method=simpleSearch&amp;cqlMode=true&amp;query=idn%3D1066959897", "Portal")</f>
        <v>Portal</v>
      </c>
      <c r="G151" t="s">
        <v>125</v>
      </c>
      <c r="H151" t="s">
        <v>835</v>
      </c>
      <c r="I151" t="s">
        <v>836</v>
      </c>
      <c r="J151" t="s">
        <v>837</v>
      </c>
      <c r="K151" t="s">
        <v>837</v>
      </c>
      <c r="L151" t="s">
        <v>837</v>
      </c>
      <c r="N151" t="s">
        <v>838</v>
      </c>
      <c r="O151" t="s">
        <v>117</v>
      </c>
      <c r="P151" t="s">
        <v>118</v>
      </c>
      <c r="R151" t="s">
        <v>145</v>
      </c>
      <c r="S151" t="s">
        <v>121</v>
      </c>
      <c r="T151" t="s">
        <v>834</v>
      </c>
      <c r="U151" t="s">
        <v>178</v>
      </c>
      <c r="W151" t="s">
        <v>67</v>
      </c>
      <c r="X151" t="s">
        <v>124</v>
      </c>
      <c r="Y151">
        <v>0</v>
      </c>
      <c r="BN151">
        <v>0</v>
      </c>
    </row>
    <row r="152" spans="1:92" x14ac:dyDescent="0.2">
      <c r="A152" t="s">
        <v>111</v>
      </c>
      <c r="B152" t="b">
        <v>1</v>
      </c>
      <c r="E152">
        <v>117</v>
      </c>
      <c r="F152" t="str">
        <f>HYPERLINK("https://portal.dnb.de/opac.htm?method=simpleSearch&amp;cqlMode=true&amp;query=idn%3D1066964203", "Portal")</f>
        <v>Portal</v>
      </c>
      <c r="G152" t="s">
        <v>125</v>
      </c>
      <c r="H152" t="s">
        <v>839</v>
      </c>
      <c r="I152" t="s">
        <v>840</v>
      </c>
      <c r="J152" t="s">
        <v>841</v>
      </c>
      <c r="K152" t="s">
        <v>841</v>
      </c>
      <c r="L152" t="s">
        <v>841</v>
      </c>
      <c r="N152" t="s">
        <v>842</v>
      </c>
      <c r="O152" t="s">
        <v>117</v>
      </c>
      <c r="BN152">
        <v>0</v>
      </c>
    </row>
    <row r="153" spans="1:92" x14ac:dyDescent="0.2">
      <c r="A153" t="s">
        <v>111</v>
      </c>
      <c r="B153" t="b">
        <v>1</v>
      </c>
      <c r="E153">
        <v>183</v>
      </c>
      <c r="F153" t="str">
        <f>HYPERLINK("https://portal.dnb.de/opac.htm?method=simpleSearch&amp;cqlMode=true&amp;query=idn%3D1003299857", "Portal")</f>
        <v>Portal</v>
      </c>
      <c r="G153" t="s">
        <v>112</v>
      </c>
      <c r="H153" t="s">
        <v>843</v>
      </c>
      <c r="I153" t="s">
        <v>844</v>
      </c>
      <c r="J153" t="s">
        <v>845</v>
      </c>
      <c r="K153" t="s">
        <v>845</v>
      </c>
      <c r="L153" t="s">
        <v>846</v>
      </c>
      <c r="N153" t="s">
        <v>847</v>
      </c>
      <c r="O153" t="s">
        <v>117</v>
      </c>
      <c r="BN153">
        <v>0</v>
      </c>
    </row>
    <row r="154" spans="1:92" x14ac:dyDescent="0.2">
      <c r="A154" t="s">
        <v>111</v>
      </c>
      <c r="B154" t="b">
        <v>1</v>
      </c>
      <c r="C154" t="s">
        <v>132</v>
      </c>
      <c r="E154">
        <v>118</v>
      </c>
      <c r="F154" t="str">
        <f>HYPERLINK("https://portal.dnb.de/opac.htm?method=simpleSearch&amp;cqlMode=true&amp;query=idn%3D997291915", "Portal")</f>
        <v>Portal</v>
      </c>
      <c r="G154" t="s">
        <v>542</v>
      </c>
      <c r="H154" t="s">
        <v>848</v>
      </c>
      <c r="I154" t="s">
        <v>849</v>
      </c>
      <c r="J154" t="s">
        <v>850</v>
      </c>
      <c r="K154" t="s">
        <v>850</v>
      </c>
      <c r="L154" t="s">
        <v>850</v>
      </c>
      <c r="N154" t="s">
        <v>851</v>
      </c>
      <c r="O154" t="s">
        <v>852</v>
      </c>
      <c r="S154" t="s">
        <v>146</v>
      </c>
      <c r="AI154" t="s">
        <v>646</v>
      </c>
      <c r="AK154" t="s">
        <v>132</v>
      </c>
      <c r="AM154" t="s">
        <v>150</v>
      </c>
      <c r="AN154" t="s">
        <v>132</v>
      </c>
      <c r="AS154" t="s">
        <v>135</v>
      </c>
      <c r="BG154">
        <v>110</v>
      </c>
      <c r="BM154" t="s">
        <v>180</v>
      </c>
      <c r="BN154">
        <v>0.5</v>
      </c>
      <c r="BR154" t="s">
        <v>132</v>
      </c>
      <c r="BZ154" t="s">
        <v>132</v>
      </c>
      <c r="CB154" t="s">
        <v>132</v>
      </c>
      <c r="CM154">
        <v>0.5</v>
      </c>
    </row>
    <row r="155" spans="1:92" x14ac:dyDescent="0.2">
      <c r="A155" t="s">
        <v>111</v>
      </c>
      <c r="B155" t="b">
        <v>1</v>
      </c>
      <c r="F155" t="str">
        <f>HYPERLINK("https://portal.dnb.de/opac.htm?method=simpleSearch&amp;cqlMode=true&amp;query=idn%3D997291877", "Portal")</f>
        <v>Portal</v>
      </c>
      <c r="H155" t="s">
        <v>853</v>
      </c>
      <c r="I155" t="s">
        <v>854</v>
      </c>
      <c r="K155" t="s">
        <v>850</v>
      </c>
      <c r="L155" t="s">
        <v>850</v>
      </c>
      <c r="N155" t="s">
        <v>851</v>
      </c>
      <c r="O155" t="s">
        <v>855</v>
      </c>
    </row>
    <row r="156" spans="1:92" x14ac:dyDescent="0.2">
      <c r="A156" t="s">
        <v>111</v>
      </c>
      <c r="B156" t="b">
        <v>1</v>
      </c>
      <c r="E156">
        <v>185</v>
      </c>
      <c r="F156" t="str">
        <f>HYPERLINK("https://portal.dnb.de/opac.htm?method=simpleSearch&amp;cqlMode=true&amp;query=idn%3D99729261X", "Portal")</f>
        <v>Portal</v>
      </c>
      <c r="G156" t="s">
        <v>542</v>
      </c>
      <c r="H156" t="s">
        <v>856</v>
      </c>
      <c r="I156" t="s">
        <v>857</v>
      </c>
      <c r="J156" t="s">
        <v>858</v>
      </c>
      <c r="K156" t="s">
        <v>858</v>
      </c>
      <c r="L156" t="s">
        <v>859</v>
      </c>
      <c r="N156" t="s">
        <v>851</v>
      </c>
      <c r="O156" t="s">
        <v>855</v>
      </c>
      <c r="R156" t="s">
        <v>145</v>
      </c>
      <c r="S156" t="s">
        <v>146</v>
      </c>
      <c r="T156" t="s">
        <v>130</v>
      </c>
      <c r="U156" t="s">
        <v>458</v>
      </c>
      <c r="W156" t="s">
        <v>67</v>
      </c>
      <c r="X156" t="s">
        <v>860</v>
      </c>
      <c r="Y156">
        <v>0</v>
      </c>
      <c r="AI156" t="s">
        <v>149</v>
      </c>
      <c r="AL156" t="s">
        <v>132</v>
      </c>
      <c r="AM156" t="s">
        <v>196</v>
      </c>
      <c r="AS156" t="s">
        <v>135</v>
      </c>
      <c r="BG156">
        <v>110</v>
      </c>
      <c r="BK156" t="s">
        <v>132</v>
      </c>
      <c r="BM156" t="s">
        <v>137</v>
      </c>
      <c r="BN156">
        <v>0</v>
      </c>
      <c r="BP156" t="s">
        <v>181</v>
      </c>
    </row>
    <row r="157" spans="1:92" x14ac:dyDescent="0.2">
      <c r="A157" t="s">
        <v>111</v>
      </c>
      <c r="B157" t="b">
        <v>1</v>
      </c>
      <c r="F157" t="str">
        <f>HYPERLINK("https://portal.dnb.de/opac.htm?method=simpleSearch&amp;cqlMode=true&amp;query=idn%3D997291915", "Portal")</f>
        <v>Portal</v>
      </c>
      <c r="H157" t="s">
        <v>861</v>
      </c>
      <c r="I157" t="s">
        <v>849</v>
      </c>
      <c r="K157" t="s">
        <v>859</v>
      </c>
      <c r="L157" t="s">
        <v>859</v>
      </c>
      <c r="N157" t="s">
        <v>851</v>
      </c>
      <c r="O157" t="s">
        <v>852</v>
      </c>
    </row>
    <row r="158" spans="1:92" x14ac:dyDescent="0.2">
      <c r="A158" t="s">
        <v>111</v>
      </c>
      <c r="B158" t="b">
        <v>1</v>
      </c>
      <c r="F158" t="str">
        <f>HYPERLINK("https://portal.dnb.de/opac.htm?method=simpleSearch&amp;cqlMode=true&amp;query=idn%3D1001169433", "Portal")</f>
        <v>Portal</v>
      </c>
      <c r="H158" t="s">
        <v>862</v>
      </c>
      <c r="I158" t="s">
        <v>863</v>
      </c>
      <c r="K158" t="s">
        <v>858</v>
      </c>
      <c r="L158" t="s">
        <v>858</v>
      </c>
      <c r="N158" t="s">
        <v>851</v>
      </c>
      <c r="O158" t="s">
        <v>852</v>
      </c>
    </row>
    <row r="159" spans="1:92" x14ac:dyDescent="0.2">
      <c r="A159" t="s">
        <v>111</v>
      </c>
      <c r="B159" t="b">
        <v>1</v>
      </c>
      <c r="E159">
        <v>121</v>
      </c>
      <c r="F159" t="str">
        <f>HYPERLINK("https://portal.dnb.de/opac.htm?method=simpleSearch&amp;cqlMode=true&amp;query=idn%3D1066963789", "Portal")</f>
        <v>Portal</v>
      </c>
      <c r="G159" t="s">
        <v>125</v>
      </c>
      <c r="H159" t="s">
        <v>864</v>
      </c>
      <c r="I159" t="s">
        <v>865</v>
      </c>
      <c r="J159" t="s">
        <v>866</v>
      </c>
      <c r="K159" t="s">
        <v>866</v>
      </c>
      <c r="L159" t="s">
        <v>866</v>
      </c>
      <c r="N159" t="s">
        <v>867</v>
      </c>
      <c r="O159" t="s">
        <v>117</v>
      </c>
      <c r="BN159">
        <v>0</v>
      </c>
    </row>
    <row r="160" spans="1:92" x14ac:dyDescent="0.2">
      <c r="A160" t="s">
        <v>111</v>
      </c>
      <c r="B160" t="b">
        <v>1</v>
      </c>
      <c r="E160">
        <v>124</v>
      </c>
      <c r="F160" t="str">
        <f>HYPERLINK("https://portal.dnb.de/opac.htm?method=simpleSearch&amp;cqlMode=true&amp;query=idn%3D995360138", "Portal")</f>
        <v>Portal</v>
      </c>
      <c r="G160" t="s">
        <v>112</v>
      </c>
      <c r="H160" t="s">
        <v>868</v>
      </c>
      <c r="I160" t="s">
        <v>869</v>
      </c>
      <c r="J160" t="s">
        <v>870</v>
      </c>
      <c r="K160" t="s">
        <v>870</v>
      </c>
      <c r="L160" t="s">
        <v>870</v>
      </c>
      <c r="N160" t="s">
        <v>871</v>
      </c>
      <c r="O160" t="s">
        <v>117</v>
      </c>
      <c r="P160" t="s">
        <v>118</v>
      </c>
      <c r="R160" t="s">
        <v>145</v>
      </c>
      <c r="S160" t="s">
        <v>121</v>
      </c>
      <c r="T160" t="s">
        <v>122</v>
      </c>
      <c r="U160" t="s">
        <v>203</v>
      </c>
      <c r="W160" t="s">
        <v>147</v>
      </c>
      <c r="X160" t="s">
        <v>860</v>
      </c>
      <c r="Y160">
        <v>1</v>
      </c>
      <c r="BN160">
        <v>0</v>
      </c>
    </row>
    <row r="161" spans="1:110" x14ac:dyDescent="0.2">
      <c r="A161" t="s">
        <v>111</v>
      </c>
      <c r="B161" t="b">
        <v>1</v>
      </c>
      <c r="E161">
        <v>125</v>
      </c>
      <c r="F161" t="str">
        <f>HYPERLINK("https://portal.dnb.de/opac.htm?method=simpleSearch&amp;cqlMode=true&amp;query=idn%3D1002919827", "Portal")</f>
        <v>Portal</v>
      </c>
      <c r="G161" t="s">
        <v>542</v>
      </c>
      <c r="H161" t="s">
        <v>872</v>
      </c>
      <c r="I161" t="s">
        <v>873</v>
      </c>
      <c r="J161" t="s">
        <v>874</v>
      </c>
      <c r="K161" t="s">
        <v>874</v>
      </c>
      <c r="L161" t="s">
        <v>874</v>
      </c>
      <c r="N161" t="s">
        <v>875</v>
      </c>
      <c r="O161" t="s">
        <v>547</v>
      </c>
      <c r="P161" t="s">
        <v>118</v>
      </c>
      <c r="R161" t="s">
        <v>157</v>
      </c>
      <c r="S161" t="s">
        <v>146</v>
      </c>
      <c r="T161" t="s">
        <v>130</v>
      </c>
      <c r="U161" t="s">
        <v>173</v>
      </c>
      <c r="W161" t="s">
        <v>67</v>
      </c>
      <c r="X161" t="s">
        <v>124</v>
      </c>
      <c r="Y161">
        <v>0</v>
      </c>
      <c r="AI161" t="s">
        <v>646</v>
      </c>
      <c r="AL161" t="s">
        <v>132</v>
      </c>
      <c r="AM161" t="s">
        <v>134</v>
      </c>
      <c r="AN161" t="s">
        <v>132</v>
      </c>
      <c r="AS161" t="s">
        <v>135</v>
      </c>
      <c r="BG161">
        <v>110</v>
      </c>
      <c r="BM161" t="s">
        <v>137</v>
      </c>
      <c r="BN161">
        <v>0</v>
      </c>
      <c r="BP161" t="s">
        <v>181</v>
      </c>
    </row>
    <row r="162" spans="1:110" x14ac:dyDescent="0.2">
      <c r="A162" t="s">
        <v>111</v>
      </c>
      <c r="B162" t="b">
        <v>1</v>
      </c>
      <c r="E162">
        <v>126</v>
      </c>
      <c r="F162" t="str">
        <f>HYPERLINK("https://portal.dnb.de/opac.htm?method=simpleSearch&amp;cqlMode=true&amp;query=idn%3D1002778123", "Portal")</f>
        <v>Portal</v>
      </c>
      <c r="G162" t="s">
        <v>112</v>
      </c>
      <c r="H162" t="s">
        <v>876</v>
      </c>
      <c r="I162" t="s">
        <v>877</v>
      </c>
      <c r="J162" t="s">
        <v>878</v>
      </c>
      <c r="K162" t="s">
        <v>878</v>
      </c>
      <c r="L162" t="s">
        <v>878</v>
      </c>
      <c r="N162" t="s">
        <v>879</v>
      </c>
      <c r="O162" t="s">
        <v>117</v>
      </c>
      <c r="R162" t="s">
        <v>145</v>
      </c>
      <c r="S162" t="s">
        <v>121</v>
      </c>
      <c r="T162" t="s">
        <v>834</v>
      </c>
      <c r="U162" t="s">
        <v>178</v>
      </c>
      <c r="W162" t="s">
        <v>67</v>
      </c>
      <c r="X162" t="s">
        <v>124</v>
      </c>
      <c r="Y162">
        <v>0</v>
      </c>
      <c r="BN162">
        <v>0</v>
      </c>
    </row>
    <row r="163" spans="1:110" x14ac:dyDescent="0.2">
      <c r="A163" t="s">
        <v>111</v>
      </c>
      <c r="B163" t="b">
        <v>1</v>
      </c>
      <c r="C163" t="s">
        <v>132</v>
      </c>
      <c r="E163">
        <v>127</v>
      </c>
      <c r="F163" t="str">
        <f>HYPERLINK("https://portal.dnb.de/opac.htm?method=simpleSearch&amp;cqlMode=true&amp;query=idn%3D996355340", "Portal")</f>
        <v>Portal</v>
      </c>
      <c r="G163" t="s">
        <v>112</v>
      </c>
      <c r="H163" t="s">
        <v>880</v>
      </c>
      <c r="I163" t="s">
        <v>881</v>
      </c>
      <c r="J163" t="s">
        <v>882</v>
      </c>
      <c r="K163" t="s">
        <v>882</v>
      </c>
      <c r="L163" t="s">
        <v>882</v>
      </c>
      <c r="N163" t="s">
        <v>883</v>
      </c>
      <c r="O163" t="s">
        <v>117</v>
      </c>
      <c r="R163" t="s">
        <v>145</v>
      </c>
      <c r="S163" t="s">
        <v>146</v>
      </c>
      <c r="T163" t="s">
        <v>834</v>
      </c>
      <c r="U163" t="s">
        <v>458</v>
      </c>
      <c r="W163" t="s">
        <v>147</v>
      </c>
      <c r="X163" t="s">
        <v>124</v>
      </c>
      <c r="Y163">
        <v>1</v>
      </c>
      <c r="AI163" t="s">
        <v>149</v>
      </c>
      <c r="AM163" t="s">
        <v>196</v>
      </c>
      <c r="AS163" t="s">
        <v>135</v>
      </c>
      <c r="AW163" t="s">
        <v>132</v>
      </c>
      <c r="BE163">
        <v>2</v>
      </c>
      <c r="BF163" t="s">
        <v>132</v>
      </c>
      <c r="BG163">
        <v>45</v>
      </c>
      <c r="BM163" t="s">
        <v>180</v>
      </c>
      <c r="BN163">
        <v>2</v>
      </c>
      <c r="BR163" t="s">
        <v>132</v>
      </c>
      <c r="CB163" t="s">
        <v>132</v>
      </c>
      <c r="CH163" t="s">
        <v>132</v>
      </c>
      <c r="CM163">
        <v>2</v>
      </c>
    </row>
    <row r="164" spans="1:110" x14ac:dyDescent="0.2">
      <c r="A164" t="s">
        <v>111</v>
      </c>
      <c r="B164" t="b">
        <v>1</v>
      </c>
      <c r="E164">
        <v>128</v>
      </c>
      <c r="F164" t="str">
        <f>HYPERLINK("https://portal.dnb.de/opac.htm?method=simpleSearch&amp;cqlMode=true&amp;query=idn%3D993976697", "Portal")</f>
        <v>Portal</v>
      </c>
      <c r="G164" t="s">
        <v>542</v>
      </c>
      <c r="H164" t="s">
        <v>884</v>
      </c>
      <c r="I164" t="s">
        <v>885</v>
      </c>
      <c r="J164" t="s">
        <v>886</v>
      </c>
      <c r="K164" t="s">
        <v>886</v>
      </c>
      <c r="L164" t="s">
        <v>886</v>
      </c>
      <c r="N164" t="s">
        <v>887</v>
      </c>
      <c r="O164" t="s">
        <v>888</v>
      </c>
      <c r="BN164">
        <v>0</v>
      </c>
    </row>
    <row r="165" spans="1:110" x14ac:dyDescent="0.2">
      <c r="A165" t="s">
        <v>111</v>
      </c>
      <c r="B165" t="b">
        <v>1</v>
      </c>
      <c r="C165" t="s">
        <v>132</v>
      </c>
      <c r="E165">
        <v>129</v>
      </c>
      <c r="F165" t="str">
        <f>HYPERLINK("https://portal.dnb.de/opac.htm?method=simpleSearch&amp;cqlMode=true&amp;query=idn%3D993976670", "Portal")</f>
        <v>Portal</v>
      </c>
      <c r="G165" t="s">
        <v>542</v>
      </c>
      <c r="H165" t="s">
        <v>889</v>
      </c>
      <c r="I165" t="s">
        <v>890</v>
      </c>
      <c r="J165" t="s">
        <v>886</v>
      </c>
      <c r="K165" t="s">
        <v>886</v>
      </c>
      <c r="L165" t="s">
        <v>886</v>
      </c>
      <c r="N165" t="s">
        <v>887</v>
      </c>
      <c r="O165" t="s">
        <v>891</v>
      </c>
      <c r="R165" t="s">
        <v>145</v>
      </c>
      <c r="S165" t="s">
        <v>470</v>
      </c>
      <c r="T165" t="s">
        <v>130</v>
      </c>
      <c r="U165" t="s">
        <v>458</v>
      </c>
      <c r="W165" t="s">
        <v>67</v>
      </c>
      <c r="X165" t="s">
        <v>124</v>
      </c>
      <c r="Y165">
        <v>0</v>
      </c>
      <c r="AI165" t="s">
        <v>149</v>
      </c>
      <c r="AL165" t="s">
        <v>132</v>
      </c>
      <c r="AM165" t="s">
        <v>196</v>
      </c>
      <c r="AS165" t="s">
        <v>135</v>
      </c>
      <c r="AX165" t="s">
        <v>132</v>
      </c>
      <c r="BE165">
        <v>2</v>
      </c>
      <c r="BG165">
        <v>110</v>
      </c>
      <c r="BM165" t="s">
        <v>180</v>
      </c>
      <c r="BN165">
        <v>1</v>
      </c>
      <c r="BP165" t="s">
        <v>181</v>
      </c>
      <c r="CG165" t="s">
        <v>132</v>
      </c>
      <c r="CM165">
        <v>1</v>
      </c>
    </row>
    <row r="166" spans="1:110" x14ac:dyDescent="0.2">
      <c r="A166" t="s">
        <v>111</v>
      </c>
      <c r="B166" t="b">
        <v>1</v>
      </c>
      <c r="E166">
        <v>130</v>
      </c>
      <c r="F166" t="str">
        <f>HYPERLINK("https://portal.dnb.de/opac.htm?method=simpleSearch&amp;cqlMode=true&amp;query=idn%3D998517313", "Portal")</f>
        <v>Portal</v>
      </c>
      <c r="G166" t="s">
        <v>415</v>
      </c>
      <c r="H166" t="s">
        <v>892</v>
      </c>
      <c r="I166" t="s">
        <v>893</v>
      </c>
      <c r="J166" t="s">
        <v>894</v>
      </c>
      <c r="K166" t="s">
        <v>894</v>
      </c>
      <c r="L166" t="s">
        <v>894</v>
      </c>
      <c r="N166" t="s">
        <v>895</v>
      </c>
      <c r="O166" t="s">
        <v>117</v>
      </c>
      <c r="R166" t="s">
        <v>163</v>
      </c>
      <c r="S166" t="s">
        <v>146</v>
      </c>
      <c r="T166" t="s">
        <v>122</v>
      </c>
      <c r="U166" t="s">
        <v>203</v>
      </c>
      <c r="W166" t="s">
        <v>229</v>
      </c>
      <c r="X166" t="s">
        <v>230</v>
      </c>
      <c r="Y166">
        <v>0</v>
      </c>
      <c r="AA166" t="s">
        <v>148</v>
      </c>
      <c r="BN166">
        <v>0</v>
      </c>
    </row>
    <row r="167" spans="1:110" x14ac:dyDescent="0.2">
      <c r="A167" t="s">
        <v>111</v>
      </c>
      <c r="B167" t="b">
        <v>1</v>
      </c>
      <c r="E167">
        <v>131</v>
      </c>
      <c r="F167" t="str">
        <f>HYPERLINK("https://portal.dnb.de/opac.htm?method=simpleSearch&amp;cqlMode=true&amp;query=idn%3D1027390439", "Portal")</f>
        <v>Portal</v>
      </c>
      <c r="G167" t="s">
        <v>415</v>
      </c>
      <c r="H167" t="s">
        <v>896</v>
      </c>
      <c r="I167" t="s">
        <v>897</v>
      </c>
      <c r="J167" t="s">
        <v>898</v>
      </c>
      <c r="K167" t="s">
        <v>898</v>
      </c>
      <c r="L167" t="s">
        <v>898</v>
      </c>
      <c r="N167" t="s">
        <v>899</v>
      </c>
      <c r="O167" t="s">
        <v>117</v>
      </c>
      <c r="R167" t="s">
        <v>480</v>
      </c>
      <c r="S167" t="s">
        <v>146</v>
      </c>
      <c r="T167" t="s">
        <v>122</v>
      </c>
      <c r="U167" t="s">
        <v>203</v>
      </c>
      <c r="W167" t="s">
        <v>252</v>
      </c>
      <c r="X167" t="s">
        <v>124</v>
      </c>
      <c r="Y167">
        <v>0</v>
      </c>
      <c r="BN167">
        <v>0</v>
      </c>
    </row>
    <row r="168" spans="1:110" x14ac:dyDescent="0.2">
      <c r="A168" t="s">
        <v>111</v>
      </c>
      <c r="B168" t="b">
        <v>1</v>
      </c>
      <c r="E168">
        <v>188</v>
      </c>
      <c r="F168" t="str">
        <f>HYPERLINK("https://portal.dnb.de/opac.htm?method=simpleSearch&amp;cqlMode=true&amp;query=idn%3D1068927240", "Portal")</f>
        <v>Portal</v>
      </c>
      <c r="G168" t="s">
        <v>415</v>
      </c>
      <c r="H168" t="s">
        <v>900</v>
      </c>
      <c r="I168" t="s">
        <v>901</v>
      </c>
      <c r="J168" t="s">
        <v>902</v>
      </c>
      <c r="K168" t="s">
        <v>902</v>
      </c>
      <c r="L168" t="s">
        <v>902</v>
      </c>
      <c r="N168" t="s">
        <v>903</v>
      </c>
      <c r="O168" t="s">
        <v>117</v>
      </c>
      <c r="BN168">
        <v>0</v>
      </c>
    </row>
    <row r="169" spans="1:110" x14ac:dyDescent="0.2">
      <c r="A169" t="s">
        <v>111</v>
      </c>
      <c r="B169" t="b">
        <v>1</v>
      </c>
      <c r="E169">
        <v>192</v>
      </c>
      <c r="F169" t="str">
        <f>HYPERLINK("https://portal.dnb.de/opac.htm?method=simpleSearch&amp;cqlMode=true&amp;query=idn%3D1066964181", "Portal")</f>
        <v>Portal</v>
      </c>
      <c r="G169" t="s">
        <v>125</v>
      </c>
      <c r="H169" t="s">
        <v>904</v>
      </c>
      <c r="I169" t="s">
        <v>905</v>
      </c>
      <c r="J169" t="s">
        <v>906</v>
      </c>
      <c r="K169" t="s">
        <v>906</v>
      </c>
      <c r="L169" t="s">
        <v>906</v>
      </c>
      <c r="N169" t="s">
        <v>907</v>
      </c>
      <c r="O169" t="s">
        <v>117</v>
      </c>
      <c r="P169" t="s">
        <v>118</v>
      </c>
      <c r="R169" t="s">
        <v>284</v>
      </c>
      <c r="S169" t="s">
        <v>121</v>
      </c>
      <c r="T169" t="s">
        <v>122</v>
      </c>
      <c r="W169" t="s">
        <v>67</v>
      </c>
      <c r="X169" t="s">
        <v>124</v>
      </c>
      <c r="Y169">
        <v>3</v>
      </c>
      <c r="AA169" t="s">
        <v>908</v>
      </c>
      <c r="BN169">
        <v>0</v>
      </c>
    </row>
    <row r="170" spans="1:110" x14ac:dyDescent="0.2">
      <c r="A170" t="s">
        <v>111</v>
      </c>
      <c r="B170" t="b">
        <v>1</v>
      </c>
      <c r="C170" t="s">
        <v>132</v>
      </c>
      <c r="E170">
        <v>193</v>
      </c>
      <c r="F170" t="str">
        <f>HYPERLINK("https://portal.dnb.de/opac.htm?method=simpleSearch&amp;cqlMode=true&amp;query=idn%3D1066956596", "Portal")</f>
        <v>Portal</v>
      </c>
      <c r="G170" t="s">
        <v>125</v>
      </c>
      <c r="H170" t="s">
        <v>909</v>
      </c>
      <c r="I170" t="s">
        <v>910</v>
      </c>
      <c r="J170" t="s">
        <v>911</v>
      </c>
      <c r="K170" t="s">
        <v>911</v>
      </c>
      <c r="L170" t="s">
        <v>911</v>
      </c>
      <c r="N170" t="s">
        <v>912</v>
      </c>
      <c r="O170" t="s">
        <v>117</v>
      </c>
      <c r="P170" t="s">
        <v>118</v>
      </c>
      <c r="R170" t="s">
        <v>190</v>
      </c>
      <c r="S170" t="s">
        <v>121</v>
      </c>
      <c r="T170" t="s">
        <v>130</v>
      </c>
      <c r="U170" t="s">
        <v>913</v>
      </c>
      <c r="W170" t="s">
        <v>229</v>
      </c>
      <c r="X170" t="s">
        <v>302</v>
      </c>
      <c r="Y170">
        <v>0</v>
      </c>
      <c r="AI170" t="s">
        <v>365</v>
      </c>
      <c r="AM170" t="s">
        <v>196</v>
      </c>
      <c r="AS170" t="s">
        <v>135</v>
      </c>
      <c r="AZ170" t="s">
        <v>132</v>
      </c>
      <c r="BA170" t="s">
        <v>914</v>
      </c>
      <c r="BG170">
        <v>80</v>
      </c>
      <c r="BM170" t="s">
        <v>180</v>
      </c>
      <c r="BN170">
        <v>1</v>
      </c>
      <c r="BT170" t="s">
        <v>562</v>
      </c>
      <c r="BU170" t="s">
        <v>132</v>
      </c>
      <c r="CX170" t="s">
        <v>132</v>
      </c>
      <c r="DA170" t="s">
        <v>132</v>
      </c>
      <c r="DF170">
        <v>1</v>
      </c>
    </row>
    <row r="171" spans="1:110" x14ac:dyDescent="0.2">
      <c r="A171" t="s">
        <v>111</v>
      </c>
      <c r="B171" t="b">
        <v>1</v>
      </c>
      <c r="E171">
        <v>194</v>
      </c>
      <c r="F171" t="str">
        <f>HYPERLINK("https://portal.dnb.de/opac.htm?method=simpleSearch&amp;cqlMode=true&amp;query=idn%3D1066847134", "Portal")</f>
        <v>Portal</v>
      </c>
      <c r="G171" t="s">
        <v>125</v>
      </c>
      <c r="H171" t="s">
        <v>915</v>
      </c>
      <c r="I171" t="s">
        <v>916</v>
      </c>
      <c r="J171" t="s">
        <v>917</v>
      </c>
      <c r="K171" t="s">
        <v>917</v>
      </c>
      <c r="L171" t="s">
        <v>917</v>
      </c>
      <c r="N171" t="s">
        <v>918</v>
      </c>
      <c r="O171" t="s">
        <v>117</v>
      </c>
      <c r="P171" t="s">
        <v>118</v>
      </c>
      <c r="R171" t="s">
        <v>238</v>
      </c>
      <c r="S171" t="s">
        <v>121</v>
      </c>
      <c r="T171" t="s">
        <v>122</v>
      </c>
      <c r="U171" t="s">
        <v>203</v>
      </c>
      <c r="W171" t="s">
        <v>147</v>
      </c>
      <c r="X171" t="s">
        <v>124</v>
      </c>
      <c r="Y171">
        <v>0</v>
      </c>
      <c r="BN171">
        <v>0</v>
      </c>
    </row>
    <row r="172" spans="1:110" x14ac:dyDescent="0.2">
      <c r="A172" t="s">
        <v>111</v>
      </c>
      <c r="B172" t="b">
        <v>1</v>
      </c>
      <c r="E172">
        <v>195</v>
      </c>
      <c r="F172" t="str">
        <f>HYPERLINK("https://portal.dnb.de/opac.htm?method=simpleSearch&amp;cqlMode=true&amp;query=idn%3D1066959625", "Portal")</f>
        <v>Portal</v>
      </c>
      <c r="G172" t="s">
        <v>125</v>
      </c>
      <c r="H172" t="s">
        <v>919</v>
      </c>
      <c r="I172" t="s">
        <v>920</v>
      </c>
      <c r="J172" t="s">
        <v>921</v>
      </c>
      <c r="K172" t="s">
        <v>921</v>
      </c>
      <c r="L172" t="s">
        <v>921</v>
      </c>
      <c r="N172" t="s">
        <v>922</v>
      </c>
      <c r="O172" t="s">
        <v>117</v>
      </c>
      <c r="BN172">
        <v>0</v>
      </c>
    </row>
    <row r="173" spans="1:110" x14ac:dyDescent="0.2">
      <c r="A173" t="s">
        <v>111</v>
      </c>
      <c r="B173" t="b">
        <v>1</v>
      </c>
      <c r="E173">
        <v>196</v>
      </c>
      <c r="F173" t="str">
        <f>HYPERLINK("https://portal.dnb.de/opac.htm?method=simpleSearch&amp;cqlMode=true&amp;query=idn%3D1066870896", "Portal")</f>
        <v>Portal</v>
      </c>
      <c r="G173" t="s">
        <v>125</v>
      </c>
      <c r="H173" t="s">
        <v>923</v>
      </c>
      <c r="I173" t="s">
        <v>924</v>
      </c>
      <c r="J173" t="s">
        <v>925</v>
      </c>
      <c r="K173" t="s">
        <v>925</v>
      </c>
      <c r="L173" t="s">
        <v>925</v>
      </c>
      <c r="N173" t="s">
        <v>926</v>
      </c>
      <c r="O173" t="s">
        <v>117</v>
      </c>
      <c r="BN173">
        <v>0</v>
      </c>
    </row>
    <row r="174" spans="1:110" x14ac:dyDescent="0.2">
      <c r="A174" t="s">
        <v>111</v>
      </c>
      <c r="B174" t="b">
        <v>1</v>
      </c>
      <c r="E174">
        <v>197</v>
      </c>
      <c r="F174" t="str">
        <f>HYPERLINK("https://portal.dnb.de/opac.htm?method=simpleSearch&amp;cqlMode=true&amp;query=idn%3D1066761140", "Portal")</f>
        <v>Portal</v>
      </c>
      <c r="G174" t="s">
        <v>125</v>
      </c>
      <c r="H174" t="s">
        <v>927</v>
      </c>
      <c r="I174" t="s">
        <v>928</v>
      </c>
      <c r="J174" t="s">
        <v>929</v>
      </c>
      <c r="K174" t="s">
        <v>929</v>
      </c>
      <c r="L174" t="s">
        <v>929</v>
      </c>
      <c r="N174" t="s">
        <v>930</v>
      </c>
      <c r="O174" t="s">
        <v>117</v>
      </c>
      <c r="BN174">
        <v>0</v>
      </c>
    </row>
    <row r="175" spans="1:110" x14ac:dyDescent="0.2">
      <c r="A175" t="s">
        <v>111</v>
      </c>
      <c r="B175" t="b">
        <v>1</v>
      </c>
      <c r="E175">
        <v>198</v>
      </c>
      <c r="F175" t="str">
        <f>HYPERLINK("https://portal.dnb.de/opac.htm?method=simpleSearch&amp;cqlMode=true&amp;query=idn%3D1066873054", "Portal")</f>
        <v>Portal</v>
      </c>
      <c r="G175" t="s">
        <v>125</v>
      </c>
      <c r="H175" t="s">
        <v>931</v>
      </c>
      <c r="I175" t="s">
        <v>932</v>
      </c>
      <c r="J175" t="s">
        <v>933</v>
      </c>
      <c r="K175" t="s">
        <v>933</v>
      </c>
      <c r="L175" t="s">
        <v>933</v>
      </c>
      <c r="N175" t="s">
        <v>934</v>
      </c>
      <c r="O175" t="s">
        <v>117</v>
      </c>
      <c r="BN175">
        <v>0</v>
      </c>
    </row>
    <row r="176" spans="1:110" x14ac:dyDescent="0.2">
      <c r="A176" t="s">
        <v>111</v>
      </c>
      <c r="B176" t="b">
        <v>1</v>
      </c>
      <c r="E176">
        <v>199</v>
      </c>
      <c r="F176" t="str">
        <f>HYPERLINK("https://portal.dnb.de/opac.htm?method=simpleSearch&amp;cqlMode=true&amp;query=idn%3D1066838550", "Portal")</f>
        <v>Portal</v>
      </c>
      <c r="G176" t="s">
        <v>125</v>
      </c>
      <c r="H176" t="s">
        <v>935</v>
      </c>
      <c r="I176" t="s">
        <v>936</v>
      </c>
      <c r="J176" t="s">
        <v>937</v>
      </c>
      <c r="K176" t="s">
        <v>937</v>
      </c>
      <c r="L176" t="s">
        <v>937</v>
      </c>
      <c r="N176" t="s">
        <v>938</v>
      </c>
      <c r="O176" t="s">
        <v>117</v>
      </c>
      <c r="BN176">
        <v>0</v>
      </c>
    </row>
    <row r="177" spans="1:77" x14ac:dyDescent="0.2">
      <c r="A177" t="s">
        <v>111</v>
      </c>
      <c r="B177" t="b">
        <v>1</v>
      </c>
      <c r="F177" t="str">
        <f>HYPERLINK("https://portal.dnb.de/opac.htm?method=simpleSearch&amp;cqlMode=true&amp;query=idn%3D1138241385", "Portal")</f>
        <v>Portal</v>
      </c>
      <c r="G177" t="s">
        <v>319</v>
      </c>
      <c r="H177" t="s">
        <v>939</v>
      </c>
      <c r="I177" t="s">
        <v>940</v>
      </c>
      <c r="J177" t="s">
        <v>941</v>
      </c>
      <c r="K177" t="s">
        <v>941</v>
      </c>
      <c r="L177" t="s">
        <v>941</v>
      </c>
      <c r="N177" t="s">
        <v>338</v>
      </c>
      <c r="O177" t="s">
        <v>117</v>
      </c>
      <c r="P177" t="s">
        <v>118</v>
      </c>
      <c r="R177" t="s">
        <v>157</v>
      </c>
      <c r="S177" t="s">
        <v>146</v>
      </c>
      <c r="T177" t="s">
        <v>122</v>
      </c>
      <c r="U177" t="s">
        <v>203</v>
      </c>
      <c r="W177" t="s">
        <v>67</v>
      </c>
      <c r="X177" t="s">
        <v>124</v>
      </c>
      <c r="Y177">
        <v>3</v>
      </c>
      <c r="AI177" t="s">
        <v>646</v>
      </c>
      <c r="AJ177" t="s">
        <v>942</v>
      </c>
      <c r="AM177" t="s">
        <v>150</v>
      </c>
      <c r="AS177" t="s">
        <v>135</v>
      </c>
      <c r="BG177">
        <v>80</v>
      </c>
      <c r="BM177" t="s">
        <v>137</v>
      </c>
      <c r="BN177">
        <v>0</v>
      </c>
      <c r="BP177" t="s">
        <v>181</v>
      </c>
      <c r="BV177" t="s">
        <v>355</v>
      </c>
    </row>
    <row r="178" spans="1:77" x14ac:dyDescent="0.2">
      <c r="A178" t="s">
        <v>111</v>
      </c>
      <c r="B178" t="b">
        <v>1</v>
      </c>
      <c r="E178">
        <v>1198</v>
      </c>
      <c r="F178" t="str">
        <f>HYPERLINK("https://portal.dnb.de/opac.htm?method=simpleSearch&amp;cqlMode=true&amp;query=idn%3D100048369X", "Portal")</f>
        <v>Portal</v>
      </c>
      <c r="G178" t="s">
        <v>112</v>
      </c>
      <c r="H178" t="s">
        <v>943</v>
      </c>
      <c r="I178" t="s">
        <v>944</v>
      </c>
      <c r="J178" t="s">
        <v>945</v>
      </c>
      <c r="K178" t="s">
        <v>945</v>
      </c>
      <c r="L178" t="s">
        <v>945</v>
      </c>
      <c r="N178" t="s">
        <v>946</v>
      </c>
      <c r="O178" t="s">
        <v>117</v>
      </c>
      <c r="BN178">
        <v>0</v>
      </c>
    </row>
    <row r="179" spans="1:77" x14ac:dyDescent="0.2">
      <c r="A179" t="s">
        <v>111</v>
      </c>
      <c r="B179" t="b">
        <v>1</v>
      </c>
      <c r="E179">
        <v>1199</v>
      </c>
      <c r="F179" t="str">
        <f>HYPERLINK("https://portal.dnb.de/opac.htm?method=simpleSearch&amp;cqlMode=true&amp;query=idn%3D100048369X", "Portal")</f>
        <v>Portal</v>
      </c>
      <c r="G179" t="s">
        <v>112</v>
      </c>
      <c r="H179" t="s">
        <v>947</v>
      </c>
      <c r="I179" t="s">
        <v>944</v>
      </c>
      <c r="J179" t="s">
        <v>948</v>
      </c>
      <c r="K179" t="s">
        <v>948</v>
      </c>
      <c r="L179" t="s">
        <v>948</v>
      </c>
      <c r="N179" t="s">
        <v>946</v>
      </c>
      <c r="O179" t="s">
        <v>117</v>
      </c>
      <c r="S179" t="s">
        <v>121</v>
      </c>
      <c r="AI179" t="s">
        <v>792</v>
      </c>
      <c r="AL179" t="s">
        <v>132</v>
      </c>
      <c r="AM179" t="s">
        <v>134</v>
      </c>
      <c r="AS179" t="s">
        <v>135</v>
      </c>
      <c r="BG179">
        <v>110</v>
      </c>
      <c r="BM179" t="s">
        <v>137</v>
      </c>
      <c r="BN179">
        <v>0</v>
      </c>
    </row>
    <row r="180" spans="1:77" x14ac:dyDescent="0.2">
      <c r="A180" t="s">
        <v>111</v>
      </c>
      <c r="B180" t="b">
        <v>1</v>
      </c>
      <c r="E180">
        <v>203</v>
      </c>
      <c r="F180" t="str">
        <f>HYPERLINK("https://portal.dnb.de/opac.htm?method=simpleSearch&amp;cqlMode=true&amp;query=idn%3D1066877033", "Portal")</f>
        <v>Portal</v>
      </c>
      <c r="G180" t="s">
        <v>125</v>
      </c>
      <c r="H180" t="s">
        <v>949</v>
      </c>
      <c r="I180" t="s">
        <v>950</v>
      </c>
      <c r="J180" t="s">
        <v>951</v>
      </c>
      <c r="K180" t="s">
        <v>951</v>
      </c>
      <c r="L180" t="s">
        <v>951</v>
      </c>
      <c r="N180" t="s">
        <v>952</v>
      </c>
      <c r="O180" t="s">
        <v>117</v>
      </c>
      <c r="BN180">
        <v>0</v>
      </c>
    </row>
    <row r="181" spans="1:77" x14ac:dyDescent="0.2">
      <c r="A181" t="s">
        <v>111</v>
      </c>
      <c r="B181" t="b">
        <v>1</v>
      </c>
      <c r="F181" t="str">
        <f>HYPERLINK("https://portal.dnb.de/opac.htm?method=simpleSearch&amp;cqlMode=true&amp;query=idn%3D1272478661", "Portal")</f>
        <v>Portal</v>
      </c>
      <c r="G181" t="s">
        <v>319</v>
      </c>
      <c r="H181" t="s">
        <v>953</v>
      </c>
      <c r="I181" t="s">
        <v>954</v>
      </c>
      <c r="J181" t="s">
        <v>955</v>
      </c>
      <c r="K181" t="s">
        <v>956</v>
      </c>
      <c r="L181" t="s">
        <v>956</v>
      </c>
      <c r="N181" t="s">
        <v>957</v>
      </c>
      <c r="O181" t="s">
        <v>117</v>
      </c>
      <c r="R181" t="s">
        <v>223</v>
      </c>
      <c r="S181" t="s">
        <v>121</v>
      </c>
      <c r="T181" t="s">
        <v>122</v>
      </c>
      <c r="U181" t="s">
        <v>203</v>
      </c>
      <c r="W181" t="s">
        <v>147</v>
      </c>
      <c r="X181" t="s">
        <v>124</v>
      </c>
      <c r="Y181">
        <v>0</v>
      </c>
      <c r="BN181">
        <v>0</v>
      </c>
    </row>
    <row r="182" spans="1:77" x14ac:dyDescent="0.2">
      <c r="A182" t="s">
        <v>111</v>
      </c>
      <c r="B182" t="b">
        <v>1</v>
      </c>
      <c r="E182">
        <v>205</v>
      </c>
      <c r="F182" t="str">
        <f>HYPERLINK("https://portal.dnb.de/opac.htm?method=simpleSearch&amp;cqlMode=true&amp;query=idn%3D1066957541", "Portal")</f>
        <v>Portal</v>
      </c>
      <c r="G182" t="s">
        <v>125</v>
      </c>
      <c r="H182" t="s">
        <v>958</v>
      </c>
      <c r="I182" t="s">
        <v>959</v>
      </c>
      <c r="J182" t="s">
        <v>960</v>
      </c>
      <c r="K182" t="s">
        <v>960</v>
      </c>
      <c r="L182" t="s">
        <v>960</v>
      </c>
      <c r="N182" t="s">
        <v>961</v>
      </c>
      <c r="O182" t="s">
        <v>117</v>
      </c>
      <c r="BN182">
        <v>0</v>
      </c>
    </row>
    <row r="183" spans="1:77" x14ac:dyDescent="0.2">
      <c r="A183" t="s">
        <v>111</v>
      </c>
      <c r="B183" t="b">
        <v>1</v>
      </c>
      <c r="E183">
        <v>206</v>
      </c>
      <c r="F183" t="str">
        <f>HYPERLINK("https://portal.dnb.de/opac.htm?method=simpleSearch&amp;cqlMode=true&amp;query=idn%3D1066957991", "Portal")</f>
        <v>Portal</v>
      </c>
      <c r="G183" t="s">
        <v>125</v>
      </c>
      <c r="H183" t="s">
        <v>962</v>
      </c>
      <c r="I183" t="s">
        <v>963</v>
      </c>
      <c r="J183" t="s">
        <v>964</v>
      </c>
      <c r="K183" t="s">
        <v>964</v>
      </c>
      <c r="L183" t="s">
        <v>964</v>
      </c>
      <c r="N183" t="s">
        <v>965</v>
      </c>
      <c r="O183" t="s">
        <v>117</v>
      </c>
      <c r="P183" t="s">
        <v>118</v>
      </c>
      <c r="R183" t="s">
        <v>262</v>
      </c>
      <c r="S183" t="s">
        <v>121</v>
      </c>
      <c r="T183" t="s">
        <v>122</v>
      </c>
      <c r="X183" t="s">
        <v>168</v>
      </c>
      <c r="Y183">
        <v>0</v>
      </c>
      <c r="BN183">
        <v>0</v>
      </c>
    </row>
    <row r="184" spans="1:77" x14ac:dyDescent="0.2">
      <c r="A184" t="s">
        <v>111</v>
      </c>
      <c r="B184" t="b">
        <v>1</v>
      </c>
      <c r="E184">
        <v>208</v>
      </c>
      <c r="F184" t="str">
        <f>HYPERLINK("https://portal.dnb.de/opac.htm?method=simpleSearch&amp;cqlMode=true&amp;query=idn%3D1066880867", "Portal")</f>
        <v>Portal</v>
      </c>
      <c r="G184" t="s">
        <v>125</v>
      </c>
      <c r="H184" t="s">
        <v>966</v>
      </c>
      <c r="I184" t="s">
        <v>967</v>
      </c>
      <c r="J184" t="s">
        <v>968</v>
      </c>
      <c r="K184" t="s">
        <v>968</v>
      </c>
      <c r="L184" t="s">
        <v>968</v>
      </c>
      <c r="N184" t="s">
        <v>969</v>
      </c>
      <c r="O184" t="s">
        <v>117</v>
      </c>
      <c r="BN184">
        <v>0</v>
      </c>
    </row>
    <row r="185" spans="1:77" x14ac:dyDescent="0.2">
      <c r="A185" t="s">
        <v>111</v>
      </c>
      <c r="B185" t="b">
        <v>1</v>
      </c>
      <c r="E185">
        <v>209</v>
      </c>
      <c r="F185" t="str">
        <f>HYPERLINK("https://portal.dnb.de/opac.htm?method=simpleSearch&amp;cqlMode=true&amp;query=idn%3D1132654785", "Portal")</f>
        <v>Portal</v>
      </c>
      <c r="G185" t="s">
        <v>970</v>
      </c>
      <c r="H185" t="s">
        <v>971</v>
      </c>
      <c r="I185" t="s">
        <v>972</v>
      </c>
      <c r="J185" t="s">
        <v>973</v>
      </c>
      <c r="K185" t="s">
        <v>973</v>
      </c>
      <c r="L185" t="s">
        <v>973</v>
      </c>
      <c r="N185" t="s">
        <v>974</v>
      </c>
      <c r="O185" t="s">
        <v>975</v>
      </c>
      <c r="P185" t="s">
        <v>118</v>
      </c>
      <c r="R185" t="s">
        <v>223</v>
      </c>
      <c r="S185" t="s">
        <v>146</v>
      </c>
      <c r="T185" t="s">
        <v>122</v>
      </c>
      <c r="U185" t="s">
        <v>123</v>
      </c>
      <c r="W185" t="s">
        <v>147</v>
      </c>
      <c r="X185" t="s">
        <v>124</v>
      </c>
      <c r="Y185">
        <v>2</v>
      </c>
      <c r="AI185" t="s">
        <v>365</v>
      </c>
      <c r="AK185" t="s">
        <v>132</v>
      </c>
      <c r="AM185" t="s">
        <v>134</v>
      </c>
      <c r="AS185" t="s">
        <v>135</v>
      </c>
      <c r="AT185" t="s">
        <v>132</v>
      </c>
      <c r="BG185">
        <v>110</v>
      </c>
      <c r="BM185" t="s">
        <v>137</v>
      </c>
      <c r="BN185">
        <v>0</v>
      </c>
      <c r="BR185" t="s">
        <v>132</v>
      </c>
      <c r="BV185" t="s">
        <v>355</v>
      </c>
    </row>
    <row r="186" spans="1:77" x14ac:dyDescent="0.2">
      <c r="A186" t="s">
        <v>111</v>
      </c>
      <c r="B186" t="b">
        <v>1</v>
      </c>
      <c r="E186">
        <v>210</v>
      </c>
      <c r="F186" t="str">
        <f>HYPERLINK("https://portal.dnb.de/opac.htm?method=simpleSearch&amp;cqlMode=true&amp;query=idn%3D1066678340", "Portal")</f>
        <v>Portal</v>
      </c>
      <c r="G186" t="s">
        <v>125</v>
      </c>
      <c r="H186" t="s">
        <v>976</v>
      </c>
      <c r="I186" t="s">
        <v>977</v>
      </c>
      <c r="J186" t="s">
        <v>978</v>
      </c>
      <c r="K186" t="s">
        <v>978</v>
      </c>
      <c r="L186" t="s">
        <v>978</v>
      </c>
      <c r="N186" t="s">
        <v>979</v>
      </c>
      <c r="O186" t="s">
        <v>117</v>
      </c>
      <c r="BN186">
        <v>0</v>
      </c>
    </row>
    <row r="187" spans="1:77" x14ac:dyDescent="0.2">
      <c r="A187" t="s">
        <v>111</v>
      </c>
      <c r="B187" t="b">
        <v>1</v>
      </c>
      <c r="E187">
        <v>211</v>
      </c>
      <c r="F187" t="str">
        <f>HYPERLINK("https://portal.dnb.de/opac.htm?method=simpleSearch&amp;cqlMode=true&amp;query=idn%3D1066940827", "Portal")</f>
        <v>Portal</v>
      </c>
      <c r="G187" t="s">
        <v>125</v>
      </c>
      <c r="H187" t="s">
        <v>980</v>
      </c>
      <c r="I187" t="s">
        <v>981</v>
      </c>
      <c r="J187" t="s">
        <v>982</v>
      </c>
      <c r="K187" t="s">
        <v>982</v>
      </c>
      <c r="L187" t="s">
        <v>982</v>
      </c>
      <c r="N187" t="s">
        <v>983</v>
      </c>
      <c r="O187" t="s">
        <v>117</v>
      </c>
      <c r="S187" t="s">
        <v>146</v>
      </c>
      <c r="AI187" t="s">
        <v>365</v>
      </c>
      <c r="AK187" t="s">
        <v>132</v>
      </c>
      <c r="AM187" t="s">
        <v>134</v>
      </c>
      <c r="AO187" t="s">
        <v>132</v>
      </c>
      <c r="AS187" t="s">
        <v>135</v>
      </c>
      <c r="BG187">
        <v>110</v>
      </c>
      <c r="BM187" t="s">
        <v>137</v>
      </c>
      <c r="BN187">
        <v>0</v>
      </c>
      <c r="BR187" t="s">
        <v>132</v>
      </c>
      <c r="BV187" t="s">
        <v>355</v>
      </c>
      <c r="BW187" t="s">
        <v>152</v>
      </c>
      <c r="BX187" t="s">
        <v>984</v>
      </c>
      <c r="BY187" t="s">
        <v>198</v>
      </c>
    </row>
    <row r="188" spans="1:77" x14ac:dyDescent="0.2">
      <c r="A188" t="s">
        <v>111</v>
      </c>
      <c r="B188" t="b">
        <v>1</v>
      </c>
      <c r="E188">
        <v>212</v>
      </c>
      <c r="F188" t="str">
        <f>HYPERLINK("https://portal.dnb.de/opac.htm?method=simpleSearch&amp;cqlMode=true&amp;query=idn%3D993906184", "Portal")</f>
        <v>Portal</v>
      </c>
      <c r="G188" t="s">
        <v>112</v>
      </c>
      <c r="H188" t="s">
        <v>985</v>
      </c>
      <c r="I188" t="s">
        <v>986</v>
      </c>
      <c r="J188" t="s">
        <v>987</v>
      </c>
      <c r="K188" t="s">
        <v>987</v>
      </c>
      <c r="L188" t="s">
        <v>987</v>
      </c>
      <c r="N188" t="s">
        <v>988</v>
      </c>
      <c r="O188" t="s">
        <v>117</v>
      </c>
      <c r="P188" t="s">
        <v>118</v>
      </c>
      <c r="R188" t="s">
        <v>284</v>
      </c>
      <c r="S188" t="s">
        <v>121</v>
      </c>
      <c r="T188" t="s">
        <v>122</v>
      </c>
      <c r="U188" t="s">
        <v>203</v>
      </c>
      <c r="W188" t="s">
        <v>147</v>
      </c>
      <c r="X188" t="s">
        <v>124</v>
      </c>
      <c r="Y188">
        <v>0</v>
      </c>
      <c r="BN188">
        <v>0</v>
      </c>
    </row>
    <row r="189" spans="1:77" x14ac:dyDescent="0.2">
      <c r="A189" t="s">
        <v>111</v>
      </c>
      <c r="B189" t="b">
        <v>1</v>
      </c>
      <c r="E189">
        <v>213</v>
      </c>
      <c r="F189" t="str">
        <f>HYPERLINK("https://portal.dnb.de/opac.htm?method=simpleSearch&amp;cqlMode=true&amp;query=idn%3D993862659", "Portal")</f>
        <v>Portal</v>
      </c>
      <c r="G189" t="s">
        <v>112</v>
      </c>
      <c r="H189" t="s">
        <v>989</v>
      </c>
      <c r="I189" t="s">
        <v>990</v>
      </c>
      <c r="J189" t="s">
        <v>991</v>
      </c>
      <c r="K189" t="s">
        <v>991</v>
      </c>
      <c r="L189" t="s">
        <v>991</v>
      </c>
      <c r="N189" t="s">
        <v>992</v>
      </c>
      <c r="O189" t="s">
        <v>117</v>
      </c>
      <c r="P189" t="s">
        <v>118</v>
      </c>
      <c r="R189" t="s">
        <v>257</v>
      </c>
      <c r="S189" t="s">
        <v>121</v>
      </c>
      <c r="T189" t="s">
        <v>122</v>
      </c>
      <c r="U189" t="s">
        <v>203</v>
      </c>
      <c r="Y189">
        <v>1</v>
      </c>
      <c r="BN189">
        <v>0</v>
      </c>
    </row>
    <row r="190" spans="1:77" x14ac:dyDescent="0.2">
      <c r="A190" t="s">
        <v>111</v>
      </c>
      <c r="B190" t="b">
        <v>1</v>
      </c>
      <c r="E190">
        <v>214</v>
      </c>
      <c r="F190" t="str">
        <f>HYPERLINK("https://portal.dnb.de/opac.htm?method=simpleSearch&amp;cqlMode=true&amp;query=idn%3D1066962251", "Portal")</f>
        <v>Portal</v>
      </c>
      <c r="G190" t="s">
        <v>125</v>
      </c>
      <c r="H190" t="s">
        <v>993</v>
      </c>
      <c r="I190" t="s">
        <v>994</v>
      </c>
      <c r="J190" t="s">
        <v>995</v>
      </c>
      <c r="K190" t="s">
        <v>995</v>
      </c>
      <c r="L190" t="s">
        <v>995</v>
      </c>
      <c r="N190" t="s">
        <v>996</v>
      </c>
      <c r="O190" t="s">
        <v>117</v>
      </c>
      <c r="P190" t="s">
        <v>132</v>
      </c>
      <c r="R190" t="s">
        <v>262</v>
      </c>
      <c r="S190" t="s">
        <v>121</v>
      </c>
      <c r="T190" t="s">
        <v>122</v>
      </c>
      <c r="Y190">
        <v>0</v>
      </c>
      <c r="BN190">
        <v>0</v>
      </c>
    </row>
    <row r="191" spans="1:77" x14ac:dyDescent="0.2">
      <c r="A191" t="s">
        <v>111</v>
      </c>
      <c r="B191" t="b">
        <v>1</v>
      </c>
      <c r="E191">
        <v>215</v>
      </c>
      <c r="F191" t="str">
        <f>HYPERLINK("https://portal.dnb.de/opac.htm?method=simpleSearch&amp;cqlMode=true&amp;query=idn%3D1066874492", "Portal")</f>
        <v>Portal</v>
      </c>
      <c r="G191" t="s">
        <v>125</v>
      </c>
      <c r="H191" t="s">
        <v>997</v>
      </c>
      <c r="I191" t="s">
        <v>998</v>
      </c>
      <c r="J191" t="s">
        <v>999</v>
      </c>
      <c r="K191" t="s">
        <v>999</v>
      </c>
      <c r="L191" t="s">
        <v>999</v>
      </c>
      <c r="N191" t="s">
        <v>1000</v>
      </c>
      <c r="O191" t="s">
        <v>117</v>
      </c>
      <c r="P191" t="s">
        <v>132</v>
      </c>
      <c r="R191" t="s">
        <v>223</v>
      </c>
      <c r="S191" t="s">
        <v>121</v>
      </c>
      <c r="T191" t="s">
        <v>122</v>
      </c>
      <c r="U191" t="s">
        <v>178</v>
      </c>
      <c r="W191" t="s">
        <v>147</v>
      </c>
      <c r="X191" t="s">
        <v>124</v>
      </c>
      <c r="Y191">
        <v>3</v>
      </c>
      <c r="AI191" t="s">
        <v>365</v>
      </c>
      <c r="AK191" t="s">
        <v>132</v>
      </c>
      <c r="AM191" t="s">
        <v>134</v>
      </c>
      <c r="AS191" t="s">
        <v>135</v>
      </c>
      <c r="AT191" t="s">
        <v>132</v>
      </c>
      <c r="BG191">
        <v>80</v>
      </c>
      <c r="BM191" t="s">
        <v>137</v>
      </c>
      <c r="BN191">
        <v>0</v>
      </c>
      <c r="BR191" t="s">
        <v>132</v>
      </c>
    </row>
    <row r="192" spans="1:77" x14ac:dyDescent="0.2">
      <c r="A192" t="s">
        <v>111</v>
      </c>
      <c r="B192" t="b">
        <v>1</v>
      </c>
      <c r="E192">
        <v>216</v>
      </c>
      <c r="F192" t="str">
        <f>HYPERLINK("https://portal.dnb.de/opac.htm?method=simpleSearch&amp;cqlMode=true&amp;query=idn%3D993948014", "Portal")</f>
        <v>Portal</v>
      </c>
      <c r="G192" t="s">
        <v>112</v>
      </c>
      <c r="H192" t="s">
        <v>1001</v>
      </c>
      <c r="I192" t="s">
        <v>1002</v>
      </c>
      <c r="J192" t="s">
        <v>1003</v>
      </c>
      <c r="K192" t="s">
        <v>1003</v>
      </c>
      <c r="L192" t="s">
        <v>1003</v>
      </c>
      <c r="N192" t="s">
        <v>1004</v>
      </c>
      <c r="O192" t="s">
        <v>117</v>
      </c>
      <c r="R192" t="s">
        <v>145</v>
      </c>
      <c r="S192" t="s">
        <v>121</v>
      </c>
      <c r="T192" t="s">
        <v>130</v>
      </c>
      <c r="U192" t="s">
        <v>203</v>
      </c>
      <c r="W192" t="s">
        <v>147</v>
      </c>
      <c r="X192" t="s">
        <v>124</v>
      </c>
      <c r="Y192">
        <v>0</v>
      </c>
      <c r="BN192">
        <v>0</v>
      </c>
    </row>
    <row r="193" spans="1:76" x14ac:dyDescent="0.2">
      <c r="A193" t="s">
        <v>111</v>
      </c>
      <c r="B193" t="b">
        <v>1</v>
      </c>
      <c r="E193">
        <v>256</v>
      </c>
      <c r="F193" t="str">
        <f>HYPERLINK("https://portal.dnb.de/opac.htm?method=simpleSearch&amp;cqlMode=true&amp;query=idn%3D998441562", "Portal")</f>
        <v>Portal</v>
      </c>
      <c r="G193" t="s">
        <v>112</v>
      </c>
      <c r="H193" t="s">
        <v>1005</v>
      </c>
      <c r="I193" t="s">
        <v>1006</v>
      </c>
      <c r="J193" t="s">
        <v>1007</v>
      </c>
      <c r="K193" t="s">
        <v>1007</v>
      </c>
      <c r="L193" t="s">
        <v>1007</v>
      </c>
      <c r="N193" t="s">
        <v>1008</v>
      </c>
      <c r="O193" t="s">
        <v>117</v>
      </c>
      <c r="R193" t="s">
        <v>163</v>
      </c>
      <c r="S193" t="s">
        <v>121</v>
      </c>
      <c r="T193" t="s">
        <v>122</v>
      </c>
      <c r="U193" t="s">
        <v>203</v>
      </c>
      <c r="Y193">
        <v>0</v>
      </c>
      <c r="BN193">
        <v>0</v>
      </c>
    </row>
    <row r="194" spans="1:76" x14ac:dyDescent="0.2">
      <c r="A194" t="s">
        <v>111</v>
      </c>
      <c r="B194" t="b">
        <v>0</v>
      </c>
      <c r="F194" t="str">
        <f>HYPERLINK("https://portal.dnb.de/opac.htm?method=simpleSearch&amp;cqlMode=true&amp;query=idn%3D", "Portal")</f>
        <v>Portal</v>
      </c>
      <c r="L194" t="s">
        <v>1009</v>
      </c>
      <c r="P194" t="s">
        <v>118</v>
      </c>
      <c r="R194" t="s">
        <v>480</v>
      </c>
      <c r="S194" t="s">
        <v>121</v>
      </c>
      <c r="T194" t="s">
        <v>122</v>
      </c>
      <c r="U194" t="s">
        <v>203</v>
      </c>
      <c r="Y194">
        <v>0</v>
      </c>
      <c r="BN194">
        <v>0</v>
      </c>
    </row>
    <row r="195" spans="1:76" x14ac:dyDescent="0.2">
      <c r="A195" t="s">
        <v>111</v>
      </c>
      <c r="B195" t="b">
        <v>1</v>
      </c>
      <c r="E195">
        <v>217</v>
      </c>
      <c r="F195" t="str">
        <f>HYPERLINK("https://portal.dnb.de/opac.htm?method=simpleSearch&amp;cqlMode=true&amp;query=idn%3D106696209X", "Portal")</f>
        <v>Portal</v>
      </c>
      <c r="G195" t="s">
        <v>125</v>
      </c>
      <c r="H195" t="s">
        <v>1010</v>
      </c>
      <c r="I195" t="s">
        <v>1011</v>
      </c>
      <c r="J195" t="s">
        <v>1012</v>
      </c>
      <c r="K195" t="s">
        <v>1012</v>
      </c>
      <c r="L195" t="s">
        <v>1012</v>
      </c>
      <c r="N195" t="s">
        <v>1013</v>
      </c>
      <c r="O195" t="s">
        <v>117</v>
      </c>
      <c r="P195" t="s">
        <v>118</v>
      </c>
      <c r="R195" t="s">
        <v>480</v>
      </c>
      <c r="S195" t="s">
        <v>121</v>
      </c>
      <c r="T195" t="s">
        <v>122</v>
      </c>
      <c r="U195" t="s">
        <v>203</v>
      </c>
      <c r="Y195">
        <v>0</v>
      </c>
      <c r="BN195">
        <v>0</v>
      </c>
    </row>
    <row r="196" spans="1:76" x14ac:dyDescent="0.2">
      <c r="A196" t="s">
        <v>111</v>
      </c>
      <c r="B196" t="b">
        <v>1</v>
      </c>
      <c r="E196">
        <v>218</v>
      </c>
      <c r="F196" t="str">
        <f>HYPERLINK("https://portal.dnb.de/opac.htm?method=simpleSearch&amp;cqlMode=true&amp;query=idn%3D106683914X", "Portal")</f>
        <v>Portal</v>
      </c>
      <c r="G196" t="s">
        <v>125</v>
      </c>
      <c r="H196" t="s">
        <v>1014</v>
      </c>
      <c r="I196" t="s">
        <v>1015</v>
      </c>
      <c r="J196" t="s">
        <v>1016</v>
      </c>
      <c r="K196" t="s">
        <v>1016</v>
      </c>
      <c r="L196" t="s">
        <v>1016</v>
      </c>
      <c r="N196" t="s">
        <v>1017</v>
      </c>
      <c r="O196" t="s">
        <v>117</v>
      </c>
      <c r="P196" t="s">
        <v>118</v>
      </c>
      <c r="R196" t="s">
        <v>238</v>
      </c>
      <c r="S196" t="s">
        <v>121</v>
      </c>
      <c r="T196" t="s">
        <v>130</v>
      </c>
      <c r="U196" t="s">
        <v>203</v>
      </c>
      <c r="W196" t="s">
        <v>147</v>
      </c>
      <c r="X196" t="s">
        <v>124</v>
      </c>
      <c r="Y196">
        <v>0</v>
      </c>
      <c r="BN196">
        <v>0</v>
      </c>
    </row>
    <row r="197" spans="1:76" x14ac:dyDescent="0.2">
      <c r="A197" t="s">
        <v>111</v>
      </c>
      <c r="B197" t="b">
        <v>1</v>
      </c>
      <c r="E197">
        <v>219</v>
      </c>
      <c r="F197" t="str">
        <f>HYPERLINK("https://portal.dnb.de/opac.htm?method=simpleSearch&amp;cqlMode=true&amp;query=idn%3D1066871981", "Portal")</f>
        <v>Portal</v>
      </c>
      <c r="G197" t="s">
        <v>125</v>
      </c>
      <c r="H197" t="s">
        <v>1018</v>
      </c>
      <c r="I197" t="s">
        <v>1019</v>
      </c>
      <c r="J197" t="s">
        <v>1020</v>
      </c>
      <c r="K197" t="s">
        <v>1020</v>
      </c>
      <c r="L197" t="s">
        <v>1020</v>
      </c>
      <c r="N197" t="s">
        <v>1021</v>
      </c>
      <c r="O197" t="s">
        <v>117</v>
      </c>
      <c r="P197" t="s">
        <v>118</v>
      </c>
      <c r="R197" t="s">
        <v>238</v>
      </c>
      <c r="S197" t="s">
        <v>121</v>
      </c>
      <c r="T197" t="s">
        <v>122</v>
      </c>
      <c r="U197" t="s">
        <v>203</v>
      </c>
      <c r="W197" t="s">
        <v>147</v>
      </c>
      <c r="X197" t="s">
        <v>124</v>
      </c>
      <c r="Y197">
        <v>0</v>
      </c>
      <c r="BN197">
        <v>0</v>
      </c>
    </row>
    <row r="198" spans="1:76" x14ac:dyDescent="0.2">
      <c r="A198" t="s">
        <v>111</v>
      </c>
      <c r="B198" t="b">
        <v>1</v>
      </c>
      <c r="E198">
        <v>220</v>
      </c>
      <c r="F198" t="str">
        <f>HYPERLINK("https://portal.dnb.de/opac.htm?method=simpleSearch&amp;cqlMode=true&amp;query=idn%3D1066865256", "Portal")</f>
        <v>Portal</v>
      </c>
      <c r="G198" t="s">
        <v>125</v>
      </c>
      <c r="H198" t="s">
        <v>1022</v>
      </c>
      <c r="I198" t="s">
        <v>1023</v>
      </c>
      <c r="J198" t="s">
        <v>1024</v>
      </c>
      <c r="K198" t="s">
        <v>1024</v>
      </c>
      <c r="L198" t="s">
        <v>1024</v>
      </c>
      <c r="N198" t="s">
        <v>1025</v>
      </c>
      <c r="O198" t="s">
        <v>117</v>
      </c>
      <c r="P198" t="s">
        <v>118</v>
      </c>
      <c r="R198" t="s">
        <v>480</v>
      </c>
      <c r="S198" t="s">
        <v>121</v>
      </c>
      <c r="T198" t="s">
        <v>122</v>
      </c>
      <c r="U198" t="s">
        <v>203</v>
      </c>
      <c r="Y198">
        <v>0</v>
      </c>
      <c r="BN198">
        <v>0</v>
      </c>
    </row>
    <row r="199" spans="1:76" x14ac:dyDescent="0.2">
      <c r="A199" t="s">
        <v>111</v>
      </c>
      <c r="B199" t="b">
        <v>1</v>
      </c>
      <c r="E199">
        <v>221</v>
      </c>
      <c r="F199" t="str">
        <f>HYPERLINK("https://portal.dnb.de/opac.htm?method=simpleSearch&amp;cqlMode=true&amp;query=idn%3D1066958998", "Portal")</f>
        <v>Portal</v>
      </c>
      <c r="G199" t="s">
        <v>125</v>
      </c>
      <c r="H199" t="s">
        <v>1026</v>
      </c>
      <c r="I199" t="s">
        <v>1027</v>
      </c>
      <c r="J199" t="s">
        <v>1009</v>
      </c>
      <c r="K199" t="s">
        <v>1009</v>
      </c>
      <c r="L199" t="s">
        <v>1028</v>
      </c>
      <c r="N199" t="s">
        <v>1029</v>
      </c>
      <c r="O199" t="s">
        <v>117</v>
      </c>
      <c r="P199" t="s">
        <v>118</v>
      </c>
      <c r="R199" t="s">
        <v>120</v>
      </c>
      <c r="S199" t="s">
        <v>121</v>
      </c>
      <c r="T199" t="s">
        <v>130</v>
      </c>
      <c r="U199" t="s">
        <v>203</v>
      </c>
      <c r="W199" t="s">
        <v>67</v>
      </c>
      <c r="X199" t="s">
        <v>124</v>
      </c>
      <c r="Y199">
        <v>0</v>
      </c>
      <c r="AB199" t="s">
        <v>1030</v>
      </c>
      <c r="BN199">
        <v>0</v>
      </c>
    </row>
    <row r="200" spans="1:76" x14ac:dyDescent="0.2">
      <c r="A200" t="s">
        <v>111</v>
      </c>
      <c r="B200" t="b">
        <v>1</v>
      </c>
      <c r="F200" t="str">
        <f>HYPERLINK("https://portal.dnb.de/opac.htm?method=simpleSearch&amp;cqlMode=true&amp;query=idn%3D1268570087", "Portal")</f>
        <v>Portal</v>
      </c>
      <c r="G200" t="s">
        <v>415</v>
      </c>
      <c r="H200" t="s">
        <v>1031</v>
      </c>
      <c r="I200" t="s">
        <v>1032</v>
      </c>
      <c r="J200" t="s">
        <v>1028</v>
      </c>
      <c r="K200" t="s">
        <v>1028</v>
      </c>
      <c r="L200" t="s">
        <v>1028</v>
      </c>
      <c r="N200" t="s">
        <v>1033</v>
      </c>
      <c r="O200" t="s">
        <v>117</v>
      </c>
    </row>
    <row r="201" spans="1:76" x14ac:dyDescent="0.2">
      <c r="A201" t="s">
        <v>111</v>
      </c>
      <c r="B201" t="b">
        <v>1</v>
      </c>
      <c r="E201">
        <v>222</v>
      </c>
      <c r="F201" t="str">
        <f>HYPERLINK("https://portal.dnb.de/opac.htm?method=simpleSearch&amp;cqlMode=true&amp;query=idn%3D1066957525", "Portal")</f>
        <v>Portal</v>
      </c>
      <c r="G201" t="s">
        <v>125</v>
      </c>
      <c r="H201" t="s">
        <v>1034</v>
      </c>
      <c r="I201" t="s">
        <v>1035</v>
      </c>
      <c r="J201" t="s">
        <v>1036</v>
      </c>
      <c r="K201" t="s">
        <v>1036</v>
      </c>
      <c r="L201" t="s">
        <v>1036</v>
      </c>
      <c r="N201" t="s">
        <v>1037</v>
      </c>
      <c r="O201" t="s">
        <v>117</v>
      </c>
      <c r="P201" t="s">
        <v>118</v>
      </c>
      <c r="R201" t="s">
        <v>480</v>
      </c>
      <c r="S201" t="s">
        <v>121</v>
      </c>
      <c r="T201" t="s">
        <v>122</v>
      </c>
      <c r="U201" t="s">
        <v>203</v>
      </c>
      <c r="Y201">
        <v>1</v>
      </c>
      <c r="BN201">
        <v>0</v>
      </c>
    </row>
    <row r="202" spans="1:76" x14ac:dyDescent="0.2">
      <c r="A202" t="s">
        <v>111</v>
      </c>
      <c r="B202" t="b">
        <v>1</v>
      </c>
      <c r="E202">
        <v>223</v>
      </c>
      <c r="F202" t="str">
        <f>HYPERLINK("https://portal.dnb.de/opac.htm?method=simpleSearch&amp;cqlMode=true&amp;query=idn%3D1066963142", "Portal")</f>
        <v>Portal</v>
      </c>
      <c r="G202" t="s">
        <v>125</v>
      </c>
      <c r="H202" t="s">
        <v>1038</v>
      </c>
      <c r="I202" t="s">
        <v>1039</v>
      </c>
      <c r="J202" t="s">
        <v>1040</v>
      </c>
      <c r="K202" t="s">
        <v>1040</v>
      </c>
      <c r="L202" t="s">
        <v>1040</v>
      </c>
      <c r="N202" t="s">
        <v>1041</v>
      </c>
      <c r="O202" t="s">
        <v>117</v>
      </c>
      <c r="P202" t="s">
        <v>118</v>
      </c>
      <c r="R202" t="s">
        <v>480</v>
      </c>
      <c r="S202" t="s">
        <v>121</v>
      </c>
      <c r="T202" t="s">
        <v>122</v>
      </c>
      <c r="U202" t="s">
        <v>203</v>
      </c>
      <c r="Y202">
        <v>0</v>
      </c>
      <c r="BN202">
        <v>0</v>
      </c>
    </row>
    <row r="203" spans="1:76" x14ac:dyDescent="0.2">
      <c r="A203" t="s">
        <v>111</v>
      </c>
      <c r="B203" t="b">
        <v>1</v>
      </c>
      <c r="E203">
        <v>224</v>
      </c>
      <c r="F203" t="str">
        <f>HYPERLINK("https://portal.dnb.de/opac.htm?method=simpleSearch&amp;cqlMode=true&amp;query=idn%3D1066961999", "Portal")</f>
        <v>Portal</v>
      </c>
      <c r="G203" t="s">
        <v>125</v>
      </c>
      <c r="H203" t="s">
        <v>1042</v>
      </c>
      <c r="I203" t="s">
        <v>1043</v>
      </c>
      <c r="J203" t="s">
        <v>1044</v>
      </c>
      <c r="K203" t="s">
        <v>1044</v>
      </c>
      <c r="L203" t="s">
        <v>1044</v>
      </c>
      <c r="N203" t="s">
        <v>1045</v>
      </c>
      <c r="O203" t="s">
        <v>117</v>
      </c>
      <c r="P203" t="s">
        <v>118</v>
      </c>
      <c r="R203" t="s">
        <v>120</v>
      </c>
      <c r="S203" t="s">
        <v>146</v>
      </c>
      <c r="U203" t="s">
        <v>203</v>
      </c>
      <c r="Y203">
        <v>0</v>
      </c>
      <c r="AI203" t="s">
        <v>133</v>
      </c>
      <c r="AK203" t="s">
        <v>132</v>
      </c>
      <c r="AM203" t="s">
        <v>134</v>
      </c>
      <c r="AS203" t="s">
        <v>135</v>
      </c>
      <c r="BG203">
        <v>110</v>
      </c>
      <c r="BM203" t="s">
        <v>137</v>
      </c>
      <c r="BN203">
        <v>0</v>
      </c>
      <c r="BW203" t="s">
        <v>152</v>
      </c>
      <c r="BX203" t="s">
        <v>1046</v>
      </c>
    </row>
    <row r="204" spans="1:76" x14ac:dyDescent="0.2">
      <c r="A204" t="s">
        <v>111</v>
      </c>
      <c r="B204" t="b">
        <v>1</v>
      </c>
      <c r="E204">
        <v>225</v>
      </c>
      <c r="F204" t="str">
        <f>HYPERLINK("https://portal.dnb.de/opac.htm?method=simpleSearch&amp;cqlMode=true&amp;query=idn%3D1066960232", "Portal")</f>
        <v>Portal</v>
      </c>
      <c r="G204" t="s">
        <v>125</v>
      </c>
      <c r="H204" t="s">
        <v>1047</v>
      </c>
      <c r="I204" t="s">
        <v>1048</v>
      </c>
      <c r="J204" t="s">
        <v>1049</v>
      </c>
      <c r="K204" t="s">
        <v>1049</v>
      </c>
      <c r="L204" t="s">
        <v>1049</v>
      </c>
      <c r="N204" t="s">
        <v>1050</v>
      </c>
      <c r="O204" t="s">
        <v>117</v>
      </c>
      <c r="P204" t="s">
        <v>118</v>
      </c>
      <c r="R204" t="s">
        <v>145</v>
      </c>
      <c r="S204" t="s">
        <v>121</v>
      </c>
      <c r="T204" t="s">
        <v>834</v>
      </c>
      <c r="U204" t="s">
        <v>506</v>
      </c>
      <c r="W204" t="s">
        <v>147</v>
      </c>
      <c r="X204" t="s">
        <v>124</v>
      </c>
      <c r="Y204">
        <v>0</v>
      </c>
      <c r="BN204">
        <v>0</v>
      </c>
    </row>
    <row r="205" spans="1:76" x14ac:dyDescent="0.2">
      <c r="A205" t="s">
        <v>111</v>
      </c>
      <c r="B205" t="b">
        <v>1</v>
      </c>
      <c r="E205">
        <v>226</v>
      </c>
      <c r="F205" t="str">
        <f>HYPERLINK("https://portal.dnb.de/opac.htm?method=simpleSearch&amp;cqlMode=true&amp;query=idn%3D1066958491", "Portal")</f>
        <v>Portal</v>
      </c>
      <c r="G205" t="s">
        <v>125</v>
      </c>
      <c r="H205" t="s">
        <v>1051</v>
      </c>
      <c r="I205" t="s">
        <v>1052</v>
      </c>
      <c r="J205" t="s">
        <v>1053</v>
      </c>
      <c r="K205" t="s">
        <v>1053</v>
      </c>
      <c r="L205" t="s">
        <v>1053</v>
      </c>
      <c r="N205" t="s">
        <v>1054</v>
      </c>
      <c r="O205" t="s">
        <v>117</v>
      </c>
      <c r="P205" t="s">
        <v>118</v>
      </c>
      <c r="R205" t="s">
        <v>480</v>
      </c>
      <c r="S205" t="s">
        <v>121</v>
      </c>
      <c r="T205" t="s">
        <v>130</v>
      </c>
      <c r="U205" t="s">
        <v>203</v>
      </c>
      <c r="Y205">
        <v>0</v>
      </c>
      <c r="BN205">
        <v>0</v>
      </c>
    </row>
    <row r="206" spans="1:76" x14ac:dyDescent="0.2">
      <c r="A206" t="s">
        <v>111</v>
      </c>
      <c r="B206" t="b">
        <v>1</v>
      </c>
      <c r="F206" t="str">
        <f>HYPERLINK("https://portal.dnb.de/opac.htm?method=simpleSearch&amp;cqlMode=true&amp;query=idn%3D1138058696", "Portal")</f>
        <v>Portal</v>
      </c>
      <c r="G206" t="s">
        <v>319</v>
      </c>
      <c r="H206" t="s">
        <v>1055</v>
      </c>
      <c r="I206" t="s">
        <v>1056</v>
      </c>
      <c r="J206" t="s">
        <v>1057</v>
      </c>
      <c r="K206" t="s">
        <v>1057</v>
      </c>
      <c r="L206" t="s">
        <v>1057</v>
      </c>
      <c r="N206" t="s">
        <v>338</v>
      </c>
      <c r="O206" t="s">
        <v>117</v>
      </c>
      <c r="P206" t="s">
        <v>118</v>
      </c>
      <c r="R206" t="s">
        <v>145</v>
      </c>
      <c r="S206" t="s">
        <v>121</v>
      </c>
      <c r="T206" t="s">
        <v>834</v>
      </c>
      <c r="U206" t="s">
        <v>506</v>
      </c>
      <c r="W206" t="s">
        <v>67</v>
      </c>
      <c r="X206" t="s">
        <v>124</v>
      </c>
      <c r="Y206">
        <v>0</v>
      </c>
      <c r="BN206">
        <v>0</v>
      </c>
    </row>
    <row r="207" spans="1:76" x14ac:dyDescent="0.2">
      <c r="A207" t="s">
        <v>111</v>
      </c>
      <c r="B207" t="b">
        <v>1</v>
      </c>
      <c r="E207">
        <v>228</v>
      </c>
      <c r="F207" t="str">
        <f>HYPERLINK("https://portal.dnb.de/opac.htm?method=simpleSearch&amp;cqlMode=true&amp;query=idn%3D1066962561", "Portal")</f>
        <v>Portal</v>
      </c>
      <c r="G207" t="s">
        <v>125</v>
      </c>
      <c r="H207" t="s">
        <v>1058</v>
      </c>
      <c r="I207" t="s">
        <v>1059</v>
      </c>
      <c r="J207" t="s">
        <v>1060</v>
      </c>
      <c r="K207" t="s">
        <v>1060</v>
      </c>
      <c r="L207" t="s">
        <v>1060</v>
      </c>
      <c r="N207" t="s">
        <v>1061</v>
      </c>
      <c r="O207" t="s">
        <v>117</v>
      </c>
      <c r="P207" t="s">
        <v>118</v>
      </c>
      <c r="R207" t="s">
        <v>223</v>
      </c>
      <c r="S207" t="s">
        <v>121</v>
      </c>
      <c r="T207" t="s">
        <v>130</v>
      </c>
      <c r="U207" t="s">
        <v>123</v>
      </c>
      <c r="W207" t="s">
        <v>147</v>
      </c>
      <c r="X207" t="s">
        <v>124</v>
      </c>
      <c r="Y207">
        <v>0</v>
      </c>
      <c r="BN207">
        <v>0</v>
      </c>
    </row>
    <row r="208" spans="1:76" x14ac:dyDescent="0.2">
      <c r="A208" t="s">
        <v>111</v>
      </c>
      <c r="B208" t="b">
        <v>1</v>
      </c>
      <c r="E208">
        <v>229</v>
      </c>
      <c r="F208" t="str">
        <f>HYPERLINK("https://portal.dnb.de/opac.htm?method=simpleSearch&amp;cqlMode=true&amp;query=idn%3D1066865949", "Portal")</f>
        <v>Portal</v>
      </c>
      <c r="G208" t="s">
        <v>125</v>
      </c>
      <c r="H208" t="s">
        <v>1062</v>
      </c>
      <c r="I208" t="s">
        <v>1063</v>
      </c>
      <c r="J208" t="s">
        <v>1064</v>
      </c>
      <c r="K208" t="s">
        <v>1064</v>
      </c>
      <c r="L208" t="s">
        <v>1064</v>
      </c>
      <c r="N208" t="s">
        <v>1065</v>
      </c>
      <c r="O208" t="s">
        <v>117</v>
      </c>
      <c r="P208" t="s">
        <v>118</v>
      </c>
      <c r="R208" t="s">
        <v>480</v>
      </c>
      <c r="S208" t="s">
        <v>121</v>
      </c>
      <c r="T208" t="s">
        <v>122</v>
      </c>
      <c r="U208" t="s">
        <v>203</v>
      </c>
      <c r="Y208">
        <v>0</v>
      </c>
      <c r="BN208">
        <v>0</v>
      </c>
    </row>
    <row r="209" spans="1:91" x14ac:dyDescent="0.2">
      <c r="A209" t="s">
        <v>111</v>
      </c>
      <c r="B209" t="b">
        <v>1</v>
      </c>
      <c r="E209">
        <v>230</v>
      </c>
      <c r="F209" t="str">
        <f>HYPERLINK("https://portal.dnb.de/opac.htm?method=simpleSearch&amp;cqlMode=true&amp;query=idn%3D106695643X", "Portal")</f>
        <v>Portal</v>
      </c>
      <c r="G209" t="s">
        <v>125</v>
      </c>
      <c r="H209" t="s">
        <v>1066</v>
      </c>
      <c r="I209" t="s">
        <v>1067</v>
      </c>
      <c r="J209" t="s">
        <v>1068</v>
      </c>
      <c r="K209" t="s">
        <v>1068</v>
      </c>
      <c r="L209" t="s">
        <v>1068</v>
      </c>
      <c r="N209" t="s">
        <v>1069</v>
      </c>
      <c r="O209" t="s">
        <v>117</v>
      </c>
      <c r="P209" t="s">
        <v>118</v>
      </c>
      <c r="R209" t="s">
        <v>238</v>
      </c>
      <c r="S209" t="s">
        <v>121</v>
      </c>
      <c r="T209" t="s">
        <v>130</v>
      </c>
      <c r="U209" t="s">
        <v>203</v>
      </c>
      <c r="W209" t="s">
        <v>147</v>
      </c>
      <c r="X209" t="s">
        <v>124</v>
      </c>
      <c r="Y209">
        <v>0</v>
      </c>
      <c r="BN209">
        <v>0</v>
      </c>
    </row>
    <row r="210" spans="1:91" x14ac:dyDescent="0.2">
      <c r="A210" t="s">
        <v>111</v>
      </c>
      <c r="B210" t="b">
        <v>1</v>
      </c>
      <c r="F210" t="str">
        <f>HYPERLINK("https://portal.dnb.de/opac.htm?method=simpleSearch&amp;cqlMode=true&amp;query=idn%3D1138244430", "Portal")</f>
        <v>Portal</v>
      </c>
      <c r="G210" t="s">
        <v>319</v>
      </c>
      <c r="H210" t="s">
        <v>1070</v>
      </c>
      <c r="I210" t="s">
        <v>1071</v>
      </c>
      <c r="J210" t="s">
        <v>1072</v>
      </c>
      <c r="K210" t="s">
        <v>1072</v>
      </c>
      <c r="L210" t="s">
        <v>1072</v>
      </c>
      <c r="N210" t="s">
        <v>323</v>
      </c>
      <c r="O210" t="s">
        <v>117</v>
      </c>
      <c r="P210" t="s">
        <v>118</v>
      </c>
      <c r="R210" t="s">
        <v>223</v>
      </c>
      <c r="S210" t="s">
        <v>121</v>
      </c>
      <c r="T210" t="s">
        <v>122</v>
      </c>
      <c r="U210" t="s">
        <v>203</v>
      </c>
      <c r="W210" t="s">
        <v>147</v>
      </c>
      <c r="X210" t="s">
        <v>124</v>
      </c>
      <c r="Y210">
        <v>0</v>
      </c>
      <c r="BN210">
        <v>0</v>
      </c>
    </row>
    <row r="211" spans="1:91" x14ac:dyDescent="0.2">
      <c r="A211" t="s">
        <v>111</v>
      </c>
      <c r="B211" t="b">
        <v>1</v>
      </c>
      <c r="E211">
        <v>232</v>
      </c>
      <c r="F211" t="str">
        <f>HYPERLINK("https://portal.dnb.de/opac.htm?method=simpleSearch&amp;cqlMode=true&amp;query=idn%3D1066960623", "Portal")</f>
        <v>Portal</v>
      </c>
      <c r="G211" t="s">
        <v>125</v>
      </c>
      <c r="H211" t="s">
        <v>1073</v>
      </c>
      <c r="I211" t="s">
        <v>1074</v>
      </c>
      <c r="J211" t="s">
        <v>1075</v>
      </c>
      <c r="K211" t="s">
        <v>1075</v>
      </c>
      <c r="L211" t="s">
        <v>1075</v>
      </c>
      <c r="N211" t="s">
        <v>1076</v>
      </c>
      <c r="O211" t="s">
        <v>117</v>
      </c>
      <c r="P211" t="s">
        <v>118</v>
      </c>
      <c r="R211" t="s">
        <v>190</v>
      </c>
      <c r="S211" t="s">
        <v>121</v>
      </c>
      <c r="T211" t="s">
        <v>122</v>
      </c>
      <c r="U211" t="s">
        <v>203</v>
      </c>
      <c r="Y211">
        <v>1</v>
      </c>
      <c r="BN211">
        <v>0</v>
      </c>
    </row>
    <row r="212" spans="1:91" x14ac:dyDescent="0.2">
      <c r="A212" t="s">
        <v>111</v>
      </c>
      <c r="B212" t="b">
        <v>1</v>
      </c>
      <c r="E212">
        <v>233</v>
      </c>
      <c r="F212" t="str">
        <f>HYPERLINK("https://portal.dnb.de/opac.htm?method=simpleSearch&amp;cqlMode=true&amp;query=idn%3D1066962944", "Portal")</f>
        <v>Portal</v>
      </c>
      <c r="G212" t="s">
        <v>125</v>
      </c>
      <c r="H212" t="s">
        <v>1077</v>
      </c>
      <c r="I212" t="s">
        <v>1078</v>
      </c>
      <c r="J212" t="s">
        <v>1079</v>
      </c>
      <c r="K212" t="s">
        <v>1079</v>
      </c>
      <c r="L212" t="s">
        <v>1079</v>
      </c>
      <c r="N212" t="s">
        <v>1080</v>
      </c>
      <c r="O212" t="s">
        <v>117</v>
      </c>
      <c r="P212" t="s">
        <v>118</v>
      </c>
      <c r="R212" t="s">
        <v>238</v>
      </c>
      <c r="S212" t="s">
        <v>121</v>
      </c>
      <c r="T212" t="s">
        <v>122</v>
      </c>
      <c r="U212" t="s">
        <v>203</v>
      </c>
      <c r="W212" t="s">
        <v>147</v>
      </c>
      <c r="X212" t="s">
        <v>124</v>
      </c>
      <c r="Y212">
        <v>0</v>
      </c>
      <c r="BN212">
        <v>0</v>
      </c>
    </row>
    <row r="213" spans="1:91" x14ac:dyDescent="0.2">
      <c r="A213" t="s">
        <v>111</v>
      </c>
      <c r="B213" t="b">
        <v>1</v>
      </c>
      <c r="F213" t="str">
        <f>HYPERLINK("https://portal.dnb.de/opac.htm?method=simpleSearch&amp;cqlMode=true&amp;query=idn%3D1138241431", "Portal")</f>
        <v>Portal</v>
      </c>
      <c r="G213" t="s">
        <v>319</v>
      </c>
      <c r="H213" t="s">
        <v>1081</v>
      </c>
      <c r="I213" t="s">
        <v>1082</v>
      </c>
      <c r="J213" t="s">
        <v>1083</v>
      </c>
      <c r="K213" t="s">
        <v>1083</v>
      </c>
      <c r="L213" t="s">
        <v>1083</v>
      </c>
      <c r="N213" t="s">
        <v>1084</v>
      </c>
      <c r="O213" t="s">
        <v>117</v>
      </c>
      <c r="P213" t="s">
        <v>118</v>
      </c>
      <c r="R213" t="s">
        <v>145</v>
      </c>
      <c r="S213" t="s">
        <v>146</v>
      </c>
      <c r="T213" t="s">
        <v>130</v>
      </c>
      <c r="U213" t="s">
        <v>123</v>
      </c>
      <c r="W213" t="s">
        <v>67</v>
      </c>
      <c r="X213" t="s">
        <v>124</v>
      </c>
      <c r="Y213">
        <v>0</v>
      </c>
      <c r="BN213">
        <v>0</v>
      </c>
    </row>
    <row r="214" spans="1:91" x14ac:dyDescent="0.2">
      <c r="A214" t="s">
        <v>111</v>
      </c>
      <c r="B214" t="b">
        <v>1</v>
      </c>
      <c r="F214" t="str">
        <f>HYPERLINK("https://portal.dnb.de/opac.htm?method=simpleSearch&amp;cqlMode=true&amp;query=idn%3D1267872691", "Portal")</f>
        <v>Portal</v>
      </c>
      <c r="G214" t="s">
        <v>319</v>
      </c>
      <c r="H214" t="s">
        <v>1085</v>
      </c>
      <c r="I214" t="s">
        <v>1086</v>
      </c>
      <c r="J214" t="s">
        <v>1087</v>
      </c>
      <c r="K214" t="s">
        <v>1087</v>
      </c>
      <c r="L214" t="s">
        <v>1087</v>
      </c>
      <c r="N214" t="s">
        <v>338</v>
      </c>
      <c r="O214" t="s">
        <v>117</v>
      </c>
      <c r="R214" t="s">
        <v>145</v>
      </c>
      <c r="S214" t="s">
        <v>121</v>
      </c>
      <c r="T214" t="s">
        <v>834</v>
      </c>
      <c r="U214" t="s">
        <v>178</v>
      </c>
      <c r="W214" t="s">
        <v>67</v>
      </c>
      <c r="X214" t="s">
        <v>124</v>
      </c>
      <c r="Y214">
        <v>0</v>
      </c>
      <c r="BN214">
        <v>0</v>
      </c>
    </row>
    <row r="215" spans="1:91" x14ac:dyDescent="0.2">
      <c r="A215" t="s">
        <v>111</v>
      </c>
      <c r="B215" t="b">
        <v>1</v>
      </c>
      <c r="F215" t="str">
        <f>HYPERLINK("https://portal.dnb.de/opac.htm?method=simpleSearch&amp;cqlMode=true&amp;query=idn%3D1268481602", "Portal")</f>
        <v>Portal</v>
      </c>
      <c r="G215" t="s">
        <v>319</v>
      </c>
      <c r="H215" t="s">
        <v>1088</v>
      </c>
      <c r="I215" t="s">
        <v>1089</v>
      </c>
      <c r="J215" t="s">
        <v>1090</v>
      </c>
      <c r="K215" t="s">
        <v>1090</v>
      </c>
      <c r="L215" t="s">
        <v>1090</v>
      </c>
      <c r="N215" t="s">
        <v>338</v>
      </c>
      <c r="O215" t="s">
        <v>117</v>
      </c>
      <c r="P215" t="s">
        <v>118</v>
      </c>
      <c r="R215" t="s">
        <v>145</v>
      </c>
      <c r="S215" t="s">
        <v>121</v>
      </c>
      <c r="T215" t="s">
        <v>834</v>
      </c>
      <c r="U215" t="s">
        <v>178</v>
      </c>
      <c r="W215" t="s">
        <v>67</v>
      </c>
      <c r="X215" t="s">
        <v>124</v>
      </c>
      <c r="Y215">
        <v>0</v>
      </c>
      <c r="BN215">
        <v>0</v>
      </c>
    </row>
    <row r="216" spans="1:91" x14ac:dyDescent="0.2">
      <c r="A216" t="s">
        <v>111</v>
      </c>
      <c r="B216" t="b">
        <v>1</v>
      </c>
      <c r="E216">
        <v>271</v>
      </c>
      <c r="F216" t="str">
        <f>HYPERLINK("https://portal.dnb.de/opac.htm?method=simpleSearch&amp;cqlMode=true&amp;query=idn%3D981668178", "Portal")</f>
        <v>Portal</v>
      </c>
      <c r="G216" t="s">
        <v>415</v>
      </c>
      <c r="H216" t="s">
        <v>1091</v>
      </c>
      <c r="I216" t="s">
        <v>1092</v>
      </c>
      <c r="J216" t="s">
        <v>1093</v>
      </c>
      <c r="K216" t="s">
        <v>1093</v>
      </c>
      <c r="L216" t="s">
        <v>1093</v>
      </c>
      <c r="N216" t="s">
        <v>1094</v>
      </c>
      <c r="O216" t="s">
        <v>117</v>
      </c>
      <c r="R216" t="s">
        <v>1095</v>
      </c>
      <c r="S216" t="s">
        <v>146</v>
      </c>
      <c r="T216" t="s">
        <v>122</v>
      </c>
      <c r="U216" t="s">
        <v>123</v>
      </c>
      <c r="W216" t="s">
        <v>421</v>
      </c>
      <c r="X216" t="s">
        <v>124</v>
      </c>
      <c r="Y216">
        <v>2</v>
      </c>
      <c r="AI216" t="s">
        <v>792</v>
      </c>
      <c r="AM216" t="s">
        <v>150</v>
      </c>
      <c r="AS216" t="s">
        <v>135</v>
      </c>
      <c r="BG216">
        <v>110</v>
      </c>
      <c r="BM216" t="s">
        <v>137</v>
      </c>
      <c r="BN216">
        <v>0</v>
      </c>
      <c r="BS216" t="s">
        <v>132</v>
      </c>
      <c r="BV216" t="s">
        <v>355</v>
      </c>
    </row>
    <row r="217" spans="1:91" x14ac:dyDescent="0.2">
      <c r="A217" t="s">
        <v>111</v>
      </c>
      <c r="B217" t="b">
        <v>1</v>
      </c>
      <c r="E217">
        <v>272</v>
      </c>
      <c r="F217" t="str">
        <f>HYPERLINK("https://portal.dnb.de/opac.htm?method=simpleSearch&amp;cqlMode=true&amp;query=idn%3D995935467", "Portal")</f>
        <v>Portal</v>
      </c>
      <c r="G217" t="s">
        <v>112</v>
      </c>
      <c r="H217" t="s">
        <v>1096</v>
      </c>
      <c r="I217" t="s">
        <v>1097</v>
      </c>
      <c r="J217" t="s">
        <v>1098</v>
      </c>
      <c r="K217" t="s">
        <v>1098</v>
      </c>
      <c r="L217" t="s">
        <v>1098</v>
      </c>
      <c r="N217" t="s">
        <v>1099</v>
      </c>
      <c r="O217" t="s">
        <v>117</v>
      </c>
      <c r="R217" t="s">
        <v>257</v>
      </c>
      <c r="S217" t="s">
        <v>121</v>
      </c>
      <c r="T217" t="s">
        <v>122</v>
      </c>
      <c r="U217" t="s">
        <v>203</v>
      </c>
      <c r="X217" t="s">
        <v>168</v>
      </c>
      <c r="Y217">
        <v>0</v>
      </c>
      <c r="BN217">
        <v>0</v>
      </c>
    </row>
    <row r="218" spans="1:91" x14ac:dyDescent="0.2">
      <c r="A218" t="s">
        <v>111</v>
      </c>
      <c r="B218" t="b">
        <v>1</v>
      </c>
      <c r="E218">
        <v>235</v>
      </c>
      <c r="F218" t="str">
        <f>HYPERLINK("https://portal.dnb.de/opac.htm?method=simpleSearch&amp;cqlMode=true&amp;query=idn%3D1066963983", "Portal")</f>
        <v>Portal</v>
      </c>
      <c r="G218" t="s">
        <v>125</v>
      </c>
      <c r="H218" t="s">
        <v>1100</v>
      </c>
      <c r="I218" t="s">
        <v>1101</v>
      </c>
      <c r="J218" t="s">
        <v>1102</v>
      </c>
      <c r="K218" t="s">
        <v>1102</v>
      </c>
      <c r="L218" t="s">
        <v>1102</v>
      </c>
      <c r="N218" t="s">
        <v>1103</v>
      </c>
      <c r="O218" t="s">
        <v>117</v>
      </c>
      <c r="P218" t="s">
        <v>118</v>
      </c>
      <c r="R218" t="s">
        <v>157</v>
      </c>
      <c r="S218" t="s">
        <v>121</v>
      </c>
      <c r="T218" t="s">
        <v>130</v>
      </c>
      <c r="U218" t="s">
        <v>203</v>
      </c>
      <c r="W218" t="s">
        <v>67</v>
      </c>
      <c r="X218" t="s">
        <v>124</v>
      </c>
      <c r="Y218">
        <v>0</v>
      </c>
      <c r="BN218">
        <v>0</v>
      </c>
    </row>
    <row r="219" spans="1:91" x14ac:dyDescent="0.2">
      <c r="A219" t="s">
        <v>111</v>
      </c>
      <c r="B219" t="b">
        <v>1</v>
      </c>
      <c r="F219" t="str">
        <f>HYPERLINK("https://portal.dnb.de/opac.htm?method=simpleSearch&amp;cqlMode=true&amp;query=idn%3D1138379727", "Portal")</f>
        <v>Portal</v>
      </c>
      <c r="G219" t="s">
        <v>319</v>
      </c>
      <c r="H219" t="s">
        <v>1104</v>
      </c>
      <c r="I219" t="s">
        <v>1105</v>
      </c>
      <c r="J219" t="s">
        <v>1106</v>
      </c>
      <c r="K219" t="s">
        <v>1106</v>
      </c>
      <c r="L219" t="s">
        <v>1106</v>
      </c>
      <c r="N219" t="s">
        <v>1107</v>
      </c>
      <c r="O219" t="s">
        <v>117</v>
      </c>
      <c r="P219" t="s">
        <v>118</v>
      </c>
      <c r="R219" t="s">
        <v>480</v>
      </c>
      <c r="S219" t="s">
        <v>121</v>
      </c>
      <c r="T219" t="s">
        <v>130</v>
      </c>
      <c r="U219" t="s">
        <v>203</v>
      </c>
      <c r="Y219">
        <v>0</v>
      </c>
      <c r="AD219" t="s">
        <v>1108</v>
      </c>
      <c r="BN219">
        <v>0</v>
      </c>
    </row>
    <row r="220" spans="1:91" x14ac:dyDescent="0.2">
      <c r="A220" t="s">
        <v>111</v>
      </c>
      <c r="B220" t="b">
        <v>1</v>
      </c>
      <c r="C220" t="s">
        <v>132</v>
      </c>
      <c r="F220" t="str">
        <f>HYPERLINK("https://portal.dnb.de/opac.htm?method=simpleSearch&amp;cqlMode=true&amp;query=idn%3D1138311480", "Portal")</f>
        <v>Portal</v>
      </c>
      <c r="G220" t="s">
        <v>319</v>
      </c>
      <c r="H220" t="s">
        <v>1109</v>
      </c>
      <c r="I220" t="s">
        <v>1110</v>
      </c>
      <c r="J220" t="s">
        <v>1111</v>
      </c>
      <c r="K220" t="s">
        <v>1111</v>
      </c>
      <c r="L220" t="s">
        <v>1111</v>
      </c>
      <c r="N220" t="s">
        <v>1112</v>
      </c>
      <c r="O220" t="s">
        <v>117</v>
      </c>
      <c r="P220" t="s">
        <v>118</v>
      </c>
      <c r="Q220" t="s">
        <v>1113</v>
      </c>
      <c r="R220" t="s">
        <v>145</v>
      </c>
      <c r="S220" t="s">
        <v>146</v>
      </c>
      <c r="T220" t="s">
        <v>130</v>
      </c>
      <c r="U220" t="s">
        <v>740</v>
      </c>
      <c r="W220" t="s">
        <v>147</v>
      </c>
      <c r="X220" t="s">
        <v>124</v>
      </c>
      <c r="Y220">
        <v>1</v>
      </c>
      <c r="AI220" t="s">
        <v>149</v>
      </c>
      <c r="AK220" t="s">
        <v>132</v>
      </c>
      <c r="AM220" t="s">
        <v>179</v>
      </c>
      <c r="AS220" t="s">
        <v>135</v>
      </c>
      <c r="BG220">
        <v>45</v>
      </c>
      <c r="BM220" t="s">
        <v>180</v>
      </c>
      <c r="BN220">
        <v>1</v>
      </c>
      <c r="BR220" t="s">
        <v>132</v>
      </c>
      <c r="BZ220" t="s">
        <v>132</v>
      </c>
      <c r="CB220" t="s">
        <v>132</v>
      </c>
      <c r="CL220" t="s">
        <v>657</v>
      </c>
      <c r="CM220">
        <v>1</v>
      </c>
    </row>
    <row r="221" spans="1:91" x14ac:dyDescent="0.2">
      <c r="A221" t="s">
        <v>111</v>
      </c>
      <c r="B221" t="b">
        <v>1</v>
      </c>
      <c r="E221">
        <v>276</v>
      </c>
      <c r="F221" t="str">
        <f>HYPERLINK("https://portal.dnb.de/opac.htm?method=simpleSearch&amp;cqlMode=true&amp;query=idn%3D999011383", "Portal")</f>
        <v>Portal</v>
      </c>
      <c r="G221" t="s">
        <v>112</v>
      </c>
      <c r="H221" t="s">
        <v>1114</v>
      </c>
      <c r="I221" t="s">
        <v>1115</v>
      </c>
      <c r="J221" t="s">
        <v>1116</v>
      </c>
      <c r="K221" t="s">
        <v>1116</v>
      </c>
      <c r="L221" t="s">
        <v>1116</v>
      </c>
      <c r="N221" t="s">
        <v>1117</v>
      </c>
      <c r="O221" t="s">
        <v>117</v>
      </c>
      <c r="R221" t="s">
        <v>284</v>
      </c>
      <c r="S221" t="s">
        <v>121</v>
      </c>
      <c r="T221" t="s">
        <v>130</v>
      </c>
      <c r="U221" t="s">
        <v>173</v>
      </c>
      <c r="W221" t="s">
        <v>67</v>
      </c>
      <c r="X221" t="s">
        <v>124</v>
      </c>
      <c r="Y221">
        <v>0</v>
      </c>
      <c r="BN221">
        <v>0</v>
      </c>
    </row>
    <row r="222" spans="1:91" x14ac:dyDescent="0.2">
      <c r="A222" t="s">
        <v>111</v>
      </c>
      <c r="B222" t="b">
        <v>1</v>
      </c>
      <c r="E222">
        <v>238</v>
      </c>
      <c r="F222" t="str">
        <f>HYPERLINK("https://portal.dnb.de/opac.htm?method=simpleSearch&amp;cqlMode=true&amp;query=idn%3D1066957754", "Portal")</f>
        <v>Portal</v>
      </c>
      <c r="G222" t="s">
        <v>125</v>
      </c>
      <c r="H222" t="s">
        <v>1118</v>
      </c>
      <c r="I222" t="s">
        <v>1119</v>
      </c>
      <c r="J222" t="s">
        <v>1120</v>
      </c>
      <c r="K222" t="s">
        <v>1120</v>
      </c>
      <c r="L222" t="s">
        <v>1120</v>
      </c>
      <c r="N222" t="s">
        <v>1121</v>
      </c>
      <c r="O222" t="s">
        <v>117</v>
      </c>
      <c r="P222" t="s">
        <v>118</v>
      </c>
      <c r="R222" t="s">
        <v>238</v>
      </c>
      <c r="S222" t="s">
        <v>146</v>
      </c>
      <c r="T222" t="s">
        <v>122</v>
      </c>
      <c r="U222" t="s">
        <v>203</v>
      </c>
      <c r="W222" t="s">
        <v>147</v>
      </c>
      <c r="X222" t="s">
        <v>124</v>
      </c>
      <c r="Y222">
        <v>1</v>
      </c>
      <c r="BN222">
        <v>0</v>
      </c>
    </row>
    <row r="223" spans="1:91" x14ac:dyDescent="0.2">
      <c r="A223" t="s">
        <v>111</v>
      </c>
      <c r="B223" t="b">
        <v>1</v>
      </c>
      <c r="E223">
        <v>239</v>
      </c>
      <c r="F223" t="str">
        <f>HYPERLINK("https://portal.dnb.de/opac.htm?method=simpleSearch&amp;cqlMode=true&amp;query=idn%3D1066758786", "Portal")</f>
        <v>Portal</v>
      </c>
      <c r="G223" t="s">
        <v>125</v>
      </c>
      <c r="H223" t="s">
        <v>1122</v>
      </c>
      <c r="I223" t="s">
        <v>1123</v>
      </c>
      <c r="J223" t="s">
        <v>1124</v>
      </c>
      <c r="K223" t="s">
        <v>1124</v>
      </c>
      <c r="L223" t="s">
        <v>1124</v>
      </c>
      <c r="N223" t="s">
        <v>1125</v>
      </c>
      <c r="O223" t="s">
        <v>117</v>
      </c>
      <c r="P223" t="s">
        <v>118</v>
      </c>
      <c r="R223" t="s">
        <v>480</v>
      </c>
      <c r="S223" t="s">
        <v>146</v>
      </c>
      <c r="T223" t="s">
        <v>122</v>
      </c>
      <c r="U223" t="s">
        <v>203</v>
      </c>
      <c r="Y223">
        <v>1</v>
      </c>
      <c r="BN223">
        <v>0</v>
      </c>
    </row>
    <row r="224" spans="1:91" x14ac:dyDescent="0.2">
      <c r="A224" t="s">
        <v>111</v>
      </c>
      <c r="B224" t="b">
        <v>1</v>
      </c>
      <c r="E224">
        <v>240</v>
      </c>
      <c r="F224" t="str">
        <f>HYPERLINK("https://portal.dnb.de/opac.htm?method=simpleSearch&amp;cqlMode=true&amp;query=idn%3D993901212", "Portal")</f>
        <v>Portal</v>
      </c>
      <c r="G224" t="s">
        <v>112</v>
      </c>
      <c r="H224" t="s">
        <v>1126</v>
      </c>
      <c r="I224" t="s">
        <v>1127</v>
      </c>
      <c r="J224" t="s">
        <v>1128</v>
      </c>
      <c r="K224" t="s">
        <v>1128</v>
      </c>
      <c r="L224" t="s">
        <v>1128</v>
      </c>
      <c r="N224" t="s">
        <v>1129</v>
      </c>
      <c r="O224" t="s">
        <v>117</v>
      </c>
      <c r="P224" t="s">
        <v>118</v>
      </c>
      <c r="R224" t="s">
        <v>284</v>
      </c>
      <c r="S224" t="s">
        <v>121</v>
      </c>
      <c r="T224" t="s">
        <v>130</v>
      </c>
      <c r="W224" t="s">
        <v>67</v>
      </c>
      <c r="X224" t="s">
        <v>124</v>
      </c>
      <c r="Y224">
        <v>0</v>
      </c>
      <c r="BN224">
        <v>0</v>
      </c>
    </row>
    <row r="225" spans="1:111" x14ac:dyDescent="0.2">
      <c r="A225" t="s">
        <v>111</v>
      </c>
      <c r="B225" t="b">
        <v>1</v>
      </c>
      <c r="E225">
        <v>241</v>
      </c>
      <c r="F225" t="str">
        <f>HYPERLINK("https://portal.dnb.de/opac.htm?method=simpleSearch&amp;cqlMode=true&amp;query=idn%3D994000316", "Portal")</f>
        <v>Portal</v>
      </c>
      <c r="G225" t="s">
        <v>112</v>
      </c>
      <c r="H225" t="s">
        <v>1130</v>
      </c>
      <c r="I225" t="s">
        <v>1131</v>
      </c>
      <c r="J225" t="s">
        <v>1132</v>
      </c>
      <c r="K225" t="s">
        <v>1132</v>
      </c>
      <c r="L225" t="s">
        <v>1132</v>
      </c>
      <c r="N225" t="s">
        <v>1133</v>
      </c>
      <c r="O225" t="s">
        <v>117</v>
      </c>
      <c r="P225" t="s">
        <v>118</v>
      </c>
      <c r="R225" t="s">
        <v>480</v>
      </c>
      <c r="S225" t="s">
        <v>121</v>
      </c>
      <c r="T225" t="s">
        <v>130</v>
      </c>
      <c r="U225" t="s">
        <v>210</v>
      </c>
      <c r="Y225">
        <v>0</v>
      </c>
      <c r="BN225">
        <v>0</v>
      </c>
    </row>
    <row r="226" spans="1:111" x14ac:dyDescent="0.2">
      <c r="A226" t="s">
        <v>111</v>
      </c>
      <c r="B226" t="b">
        <v>1</v>
      </c>
      <c r="E226">
        <v>242</v>
      </c>
      <c r="F226" t="str">
        <f>HYPERLINK("https://portal.dnb.de/opac.htm?method=simpleSearch&amp;cqlMode=true&amp;query=idn%3D1066940754", "Portal")</f>
        <v>Portal</v>
      </c>
      <c r="G226" t="s">
        <v>125</v>
      </c>
      <c r="H226" t="s">
        <v>1134</v>
      </c>
      <c r="I226" t="s">
        <v>1135</v>
      </c>
      <c r="J226" t="s">
        <v>1136</v>
      </c>
      <c r="K226" t="s">
        <v>1136</v>
      </c>
      <c r="L226" t="s">
        <v>1136</v>
      </c>
      <c r="N226" t="s">
        <v>1137</v>
      </c>
      <c r="O226" t="s">
        <v>117</v>
      </c>
      <c r="P226" t="s">
        <v>118</v>
      </c>
      <c r="R226" t="s">
        <v>257</v>
      </c>
      <c r="S226" t="s">
        <v>121</v>
      </c>
      <c r="T226" t="s">
        <v>130</v>
      </c>
      <c r="U226" t="s">
        <v>203</v>
      </c>
      <c r="Y226">
        <v>1</v>
      </c>
      <c r="BN226">
        <v>0</v>
      </c>
    </row>
    <row r="227" spans="1:111" x14ac:dyDescent="0.2">
      <c r="A227" t="s">
        <v>111</v>
      </c>
      <c r="B227" t="b">
        <v>1</v>
      </c>
      <c r="E227">
        <v>243</v>
      </c>
      <c r="F227" t="str">
        <f>HYPERLINK("https://portal.dnb.de/opac.htm?method=simpleSearch&amp;cqlMode=true&amp;query=idn%3D1066957185", "Portal")</f>
        <v>Portal</v>
      </c>
      <c r="G227" t="s">
        <v>125</v>
      </c>
      <c r="H227" t="s">
        <v>1138</v>
      </c>
      <c r="I227" t="s">
        <v>1139</v>
      </c>
      <c r="J227" t="s">
        <v>1140</v>
      </c>
      <c r="K227" t="s">
        <v>1140</v>
      </c>
      <c r="L227" t="s">
        <v>1140</v>
      </c>
      <c r="N227" t="s">
        <v>1141</v>
      </c>
      <c r="O227" t="s">
        <v>117</v>
      </c>
      <c r="P227" t="s">
        <v>118</v>
      </c>
      <c r="R227" t="s">
        <v>480</v>
      </c>
      <c r="S227" t="s">
        <v>121</v>
      </c>
      <c r="T227" t="s">
        <v>130</v>
      </c>
      <c r="U227" t="s">
        <v>203</v>
      </c>
      <c r="Y227">
        <v>0</v>
      </c>
      <c r="BN227">
        <v>0</v>
      </c>
    </row>
    <row r="228" spans="1:111" x14ac:dyDescent="0.2">
      <c r="A228" t="s">
        <v>111</v>
      </c>
      <c r="B228" t="b">
        <v>1</v>
      </c>
      <c r="E228">
        <v>244</v>
      </c>
      <c r="F228" t="str">
        <f>HYPERLINK("https://portal.dnb.de/opac.htm?method=simpleSearch&amp;cqlMode=true&amp;query=idn%3D1066960682", "Portal")</f>
        <v>Portal</v>
      </c>
      <c r="G228" t="s">
        <v>125</v>
      </c>
      <c r="H228" t="s">
        <v>1142</v>
      </c>
      <c r="I228" t="s">
        <v>1143</v>
      </c>
      <c r="J228" t="s">
        <v>1144</v>
      </c>
      <c r="K228" t="s">
        <v>1144</v>
      </c>
      <c r="L228" t="s">
        <v>1144</v>
      </c>
      <c r="N228" t="s">
        <v>1145</v>
      </c>
      <c r="O228" t="s">
        <v>117</v>
      </c>
      <c r="P228" t="s">
        <v>118</v>
      </c>
      <c r="R228" t="s">
        <v>145</v>
      </c>
      <c r="S228" t="s">
        <v>121</v>
      </c>
      <c r="T228" t="s">
        <v>130</v>
      </c>
      <c r="U228" t="s">
        <v>123</v>
      </c>
      <c r="W228" t="s">
        <v>147</v>
      </c>
      <c r="X228" t="s">
        <v>124</v>
      </c>
      <c r="Y228">
        <v>2</v>
      </c>
      <c r="AI228" t="s">
        <v>133</v>
      </c>
      <c r="AK228" t="s">
        <v>132</v>
      </c>
      <c r="AM228" t="s">
        <v>150</v>
      </c>
      <c r="AS228" t="s">
        <v>135</v>
      </c>
      <c r="BG228">
        <v>110</v>
      </c>
      <c r="BM228" t="s">
        <v>137</v>
      </c>
      <c r="BN228">
        <v>0</v>
      </c>
      <c r="BR228" t="s">
        <v>132</v>
      </c>
      <c r="BV228" t="s">
        <v>355</v>
      </c>
      <c r="BW228" t="s">
        <v>152</v>
      </c>
      <c r="BX228" t="s">
        <v>1146</v>
      </c>
    </row>
    <row r="229" spans="1:111" x14ac:dyDescent="0.2">
      <c r="A229" t="s">
        <v>111</v>
      </c>
      <c r="B229" t="b">
        <v>1</v>
      </c>
      <c r="E229">
        <v>277</v>
      </c>
      <c r="F229" t="str">
        <f>HYPERLINK("https://portal.dnb.de/opac.htm?method=simpleSearch&amp;cqlMode=true&amp;query=idn%3D1000055183", "Portal")</f>
        <v>Portal</v>
      </c>
      <c r="G229" t="s">
        <v>112</v>
      </c>
      <c r="H229" t="s">
        <v>1147</v>
      </c>
      <c r="I229" t="s">
        <v>1148</v>
      </c>
      <c r="J229" t="s">
        <v>1149</v>
      </c>
      <c r="K229" t="s">
        <v>1149</v>
      </c>
      <c r="L229" t="s">
        <v>1149</v>
      </c>
      <c r="N229" t="s">
        <v>1150</v>
      </c>
      <c r="O229" t="s">
        <v>117</v>
      </c>
      <c r="R229" t="s">
        <v>157</v>
      </c>
      <c r="S229" t="s">
        <v>121</v>
      </c>
      <c r="T229" t="s">
        <v>130</v>
      </c>
      <c r="W229" t="s">
        <v>229</v>
      </c>
      <c r="X229" t="s">
        <v>302</v>
      </c>
      <c r="Y229">
        <v>1</v>
      </c>
      <c r="AI229" t="s">
        <v>646</v>
      </c>
      <c r="AJ229" t="s">
        <v>942</v>
      </c>
      <c r="AM229" t="s">
        <v>150</v>
      </c>
      <c r="AS229" t="s">
        <v>135</v>
      </c>
      <c r="BG229">
        <v>45</v>
      </c>
      <c r="BM229" t="s">
        <v>137</v>
      </c>
      <c r="BN229">
        <v>0</v>
      </c>
      <c r="BT229" t="s">
        <v>562</v>
      </c>
      <c r="BU229" t="s">
        <v>132</v>
      </c>
      <c r="BV229" t="s">
        <v>355</v>
      </c>
      <c r="BY229" t="s">
        <v>1151</v>
      </c>
    </row>
    <row r="230" spans="1:111" x14ac:dyDescent="0.2">
      <c r="A230" t="s">
        <v>111</v>
      </c>
      <c r="B230" t="b">
        <v>1</v>
      </c>
      <c r="E230">
        <v>245</v>
      </c>
      <c r="F230" t="str">
        <f>HYPERLINK("https://portal.dnb.de/opac.htm?method=simpleSearch&amp;cqlMode=true&amp;query=idn%3D1066778531", "Portal")</f>
        <v>Portal</v>
      </c>
      <c r="G230" t="s">
        <v>125</v>
      </c>
      <c r="H230" t="s">
        <v>1152</v>
      </c>
      <c r="I230" t="s">
        <v>1153</v>
      </c>
      <c r="J230" t="s">
        <v>1154</v>
      </c>
      <c r="K230" t="s">
        <v>1154</v>
      </c>
      <c r="L230" t="s">
        <v>1154</v>
      </c>
      <c r="N230" t="s">
        <v>1155</v>
      </c>
      <c r="O230" t="s">
        <v>117</v>
      </c>
      <c r="P230" t="s">
        <v>118</v>
      </c>
      <c r="R230" t="s">
        <v>145</v>
      </c>
      <c r="S230" t="s">
        <v>121</v>
      </c>
      <c r="T230" t="s">
        <v>130</v>
      </c>
      <c r="U230" t="s">
        <v>123</v>
      </c>
      <c r="W230" t="s">
        <v>147</v>
      </c>
      <c r="X230" t="s">
        <v>124</v>
      </c>
      <c r="Y230">
        <v>0</v>
      </c>
      <c r="BN230">
        <v>0</v>
      </c>
    </row>
    <row r="231" spans="1:111" x14ac:dyDescent="0.2">
      <c r="A231" t="s">
        <v>111</v>
      </c>
      <c r="B231" t="b">
        <v>1</v>
      </c>
      <c r="E231">
        <v>246</v>
      </c>
      <c r="F231" t="str">
        <f>HYPERLINK("https://portal.dnb.de/opac.htm?method=simpleSearch&amp;cqlMode=true&amp;query=idn%3D1066964254", "Portal")</f>
        <v>Portal</v>
      </c>
      <c r="G231" t="s">
        <v>125</v>
      </c>
      <c r="H231" t="s">
        <v>1156</v>
      </c>
      <c r="I231" t="s">
        <v>1157</v>
      </c>
      <c r="J231" t="s">
        <v>1158</v>
      </c>
      <c r="K231" t="s">
        <v>1158</v>
      </c>
      <c r="L231" t="s">
        <v>1158</v>
      </c>
      <c r="N231" t="s">
        <v>1159</v>
      </c>
      <c r="O231" t="s">
        <v>117</v>
      </c>
      <c r="P231" t="s">
        <v>118</v>
      </c>
      <c r="R231" t="s">
        <v>480</v>
      </c>
      <c r="S231" t="s">
        <v>146</v>
      </c>
      <c r="T231" t="s">
        <v>130</v>
      </c>
      <c r="U231" t="s">
        <v>203</v>
      </c>
      <c r="Y231">
        <v>1</v>
      </c>
      <c r="AI231" t="s">
        <v>325</v>
      </c>
      <c r="AK231" t="s">
        <v>132</v>
      </c>
      <c r="AM231" t="s">
        <v>134</v>
      </c>
      <c r="AS231" t="s">
        <v>135</v>
      </c>
      <c r="BG231">
        <v>45</v>
      </c>
      <c r="BM231" t="s">
        <v>137</v>
      </c>
      <c r="BN231">
        <v>0</v>
      </c>
      <c r="BV231" t="s">
        <v>355</v>
      </c>
      <c r="BW231" t="s">
        <v>139</v>
      </c>
      <c r="BX231" t="s">
        <v>1146</v>
      </c>
    </row>
    <row r="232" spans="1:111" x14ac:dyDescent="0.2">
      <c r="A232" t="s">
        <v>111</v>
      </c>
      <c r="B232" t="b">
        <v>1</v>
      </c>
      <c r="E232">
        <v>278</v>
      </c>
      <c r="F232" t="str">
        <f>HYPERLINK("https://portal.dnb.de/opac.htm?method=simpleSearch&amp;cqlMode=true&amp;query=idn%3D993972926", "Portal")</f>
        <v>Portal</v>
      </c>
      <c r="G232" t="s">
        <v>112</v>
      </c>
      <c r="H232" t="s">
        <v>1160</v>
      </c>
      <c r="I232" t="s">
        <v>1161</v>
      </c>
      <c r="J232" t="s">
        <v>1162</v>
      </c>
      <c r="K232" t="s">
        <v>1162</v>
      </c>
      <c r="L232" t="s">
        <v>1162</v>
      </c>
      <c r="N232" t="s">
        <v>1163</v>
      </c>
      <c r="O232" t="s">
        <v>117</v>
      </c>
      <c r="P232" t="s">
        <v>118</v>
      </c>
      <c r="R232" t="s">
        <v>163</v>
      </c>
      <c r="S232" t="s">
        <v>121</v>
      </c>
      <c r="T232" t="s">
        <v>130</v>
      </c>
      <c r="X232" t="s">
        <v>168</v>
      </c>
      <c r="Y232">
        <v>0</v>
      </c>
      <c r="BN232">
        <v>0</v>
      </c>
    </row>
    <row r="233" spans="1:111" x14ac:dyDescent="0.2">
      <c r="A233" t="s">
        <v>111</v>
      </c>
      <c r="B233" t="b">
        <v>1</v>
      </c>
      <c r="E233">
        <v>247</v>
      </c>
      <c r="F233" t="str">
        <f>HYPERLINK("https://portal.dnb.de/opac.htm?method=simpleSearch&amp;cqlMode=true&amp;query=idn%3D1066964149", "Portal")</f>
        <v>Portal</v>
      </c>
      <c r="G233" t="s">
        <v>125</v>
      </c>
      <c r="H233" t="s">
        <v>1164</v>
      </c>
      <c r="I233" t="s">
        <v>1165</v>
      </c>
      <c r="J233" t="s">
        <v>1166</v>
      </c>
      <c r="K233" t="s">
        <v>1166</v>
      </c>
      <c r="L233" t="s">
        <v>1166</v>
      </c>
      <c r="N233" t="s">
        <v>1167</v>
      </c>
      <c r="O233" t="s">
        <v>117</v>
      </c>
      <c r="P233" t="s">
        <v>118</v>
      </c>
      <c r="R233" t="s">
        <v>480</v>
      </c>
      <c r="S233" t="s">
        <v>121</v>
      </c>
      <c r="T233" t="s">
        <v>130</v>
      </c>
      <c r="U233" t="s">
        <v>210</v>
      </c>
      <c r="Y233">
        <v>0</v>
      </c>
      <c r="BN233">
        <v>0</v>
      </c>
    </row>
    <row r="234" spans="1:111" x14ac:dyDescent="0.2">
      <c r="A234" t="s">
        <v>111</v>
      </c>
      <c r="B234" t="b">
        <v>1</v>
      </c>
      <c r="E234">
        <v>248</v>
      </c>
      <c r="F234" t="str">
        <f>HYPERLINK("https://portal.dnb.de/opac.htm?method=simpleSearch&amp;cqlMode=true&amp;query=idn%3D1066865841", "Portal")</f>
        <v>Portal</v>
      </c>
      <c r="G234" t="s">
        <v>125</v>
      </c>
      <c r="H234" t="s">
        <v>1168</v>
      </c>
      <c r="I234" t="s">
        <v>1169</v>
      </c>
      <c r="J234" t="s">
        <v>1170</v>
      </c>
      <c r="K234" t="s">
        <v>1170</v>
      </c>
      <c r="L234" t="s">
        <v>1170</v>
      </c>
      <c r="N234" t="s">
        <v>1171</v>
      </c>
      <c r="O234" t="s">
        <v>117</v>
      </c>
      <c r="P234" t="s">
        <v>118</v>
      </c>
      <c r="R234" t="s">
        <v>480</v>
      </c>
      <c r="S234" t="s">
        <v>121</v>
      </c>
      <c r="T234" t="s">
        <v>130</v>
      </c>
      <c r="U234" t="s">
        <v>203</v>
      </c>
      <c r="Y234">
        <v>0</v>
      </c>
      <c r="BN234">
        <v>0</v>
      </c>
    </row>
    <row r="235" spans="1:111" x14ac:dyDescent="0.2">
      <c r="A235" t="s">
        <v>111</v>
      </c>
      <c r="B235" t="b">
        <v>1</v>
      </c>
      <c r="E235">
        <v>249</v>
      </c>
      <c r="F235" t="str">
        <f>HYPERLINK("https://portal.dnb.de/opac.htm?method=simpleSearch&amp;cqlMode=true&amp;query=idn%3D1066959803", "Portal")</f>
        <v>Portal</v>
      </c>
      <c r="G235" t="s">
        <v>125</v>
      </c>
      <c r="H235" t="s">
        <v>1172</v>
      </c>
      <c r="I235" t="s">
        <v>1173</v>
      </c>
      <c r="J235" t="s">
        <v>1174</v>
      </c>
      <c r="K235" t="s">
        <v>1174</v>
      </c>
      <c r="L235" t="s">
        <v>1174</v>
      </c>
      <c r="N235" t="s">
        <v>1175</v>
      </c>
      <c r="O235" t="s">
        <v>117</v>
      </c>
      <c r="P235" t="s">
        <v>118</v>
      </c>
      <c r="R235" t="s">
        <v>480</v>
      </c>
      <c r="S235" t="s">
        <v>121</v>
      </c>
      <c r="T235" t="s">
        <v>130</v>
      </c>
      <c r="U235" t="s">
        <v>203</v>
      </c>
      <c r="Y235">
        <v>1</v>
      </c>
      <c r="BN235">
        <v>0</v>
      </c>
    </row>
    <row r="236" spans="1:111" x14ac:dyDescent="0.2">
      <c r="A236" t="s">
        <v>111</v>
      </c>
      <c r="B236" t="b">
        <v>1</v>
      </c>
      <c r="E236">
        <v>250</v>
      </c>
      <c r="F236" t="str">
        <f>HYPERLINK("https://portal.dnb.de/opac.htm?method=simpleSearch&amp;cqlMode=true&amp;query=idn%3D1066956804", "Portal")</f>
        <v>Portal</v>
      </c>
      <c r="G236" t="s">
        <v>125</v>
      </c>
      <c r="H236" t="s">
        <v>1176</v>
      </c>
      <c r="I236" t="s">
        <v>1177</v>
      </c>
      <c r="J236" t="s">
        <v>1178</v>
      </c>
      <c r="K236" t="s">
        <v>1178</v>
      </c>
      <c r="L236" t="s">
        <v>1178</v>
      </c>
      <c r="N236" t="s">
        <v>1179</v>
      </c>
      <c r="O236" t="s">
        <v>117</v>
      </c>
      <c r="P236" t="s">
        <v>118</v>
      </c>
      <c r="R236" t="s">
        <v>480</v>
      </c>
      <c r="S236" t="s">
        <v>146</v>
      </c>
      <c r="T236" t="s">
        <v>130</v>
      </c>
      <c r="U236" t="s">
        <v>203</v>
      </c>
      <c r="Y236">
        <v>0</v>
      </c>
      <c r="BN236">
        <v>0</v>
      </c>
    </row>
    <row r="237" spans="1:111" x14ac:dyDescent="0.2">
      <c r="A237" t="s">
        <v>111</v>
      </c>
      <c r="B237" t="b">
        <v>1</v>
      </c>
      <c r="E237">
        <v>251</v>
      </c>
      <c r="F237" t="str">
        <f>HYPERLINK("https://portal.dnb.de/opac.htm?method=simpleSearch&amp;cqlMode=true&amp;query=idn%3D994422881", "Portal")</f>
        <v>Portal</v>
      </c>
      <c r="G237" t="s">
        <v>112</v>
      </c>
      <c r="H237" t="s">
        <v>1180</v>
      </c>
      <c r="I237" t="s">
        <v>1181</v>
      </c>
      <c r="J237" t="s">
        <v>1182</v>
      </c>
      <c r="K237" t="s">
        <v>1182</v>
      </c>
      <c r="L237" t="s">
        <v>1182</v>
      </c>
      <c r="N237" t="s">
        <v>1183</v>
      </c>
      <c r="O237" t="s">
        <v>117</v>
      </c>
      <c r="R237" t="s">
        <v>157</v>
      </c>
      <c r="S237" t="s">
        <v>121</v>
      </c>
      <c r="T237" t="s">
        <v>130</v>
      </c>
      <c r="U237" t="s">
        <v>458</v>
      </c>
      <c r="W237" t="s">
        <v>67</v>
      </c>
      <c r="X237" t="s">
        <v>124</v>
      </c>
      <c r="Y237">
        <v>0</v>
      </c>
      <c r="BN237">
        <v>0</v>
      </c>
    </row>
    <row r="238" spans="1:111" x14ac:dyDescent="0.2">
      <c r="A238" t="s">
        <v>111</v>
      </c>
      <c r="B238" t="b">
        <v>1</v>
      </c>
      <c r="F238" t="str">
        <f>HYPERLINK("https://portal.dnb.de/opac.htm?method=simpleSearch&amp;cqlMode=true&amp;query=idn%3D1138320404", "Portal")</f>
        <v>Portal</v>
      </c>
      <c r="G238" t="s">
        <v>319</v>
      </c>
      <c r="H238" t="s">
        <v>1184</v>
      </c>
      <c r="I238" t="s">
        <v>1185</v>
      </c>
      <c r="J238" t="s">
        <v>1186</v>
      </c>
      <c r="K238" t="s">
        <v>1186</v>
      </c>
      <c r="L238" t="s">
        <v>1186</v>
      </c>
      <c r="N238" t="s">
        <v>338</v>
      </c>
      <c r="O238" t="s">
        <v>117</v>
      </c>
      <c r="R238" t="s">
        <v>157</v>
      </c>
      <c r="S238" t="s">
        <v>121</v>
      </c>
      <c r="T238" t="s">
        <v>130</v>
      </c>
      <c r="W238" t="s">
        <v>67</v>
      </c>
      <c r="X238" t="s">
        <v>124</v>
      </c>
      <c r="Y238">
        <v>2</v>
      </c>
      <c r="BN238">
        <v>0</v>
      </c>
    </row>
    <row r="239" spans="1:111" x14ac:dyDescent="0.2">
      <c r="A239" t="s">
        <v>111</v>
      </c>
      <c r="B239" t="b">
        <v>1</v>
      </c>
      <c r="C239" t="s">
        <v>132</v>
      </c>
      <c r="E239">
        <v>253</v>
      </c>
      <c r="F239" t="str">
        <f>HYPERLINK("https://portal.dnb.de/opac.htm?method=simpleSearch&amp;cqlMode=true&amp;query=idn%3D1194269303", "Portal")</f>
        <v>Portal</v>
      </c>
      <c r="G239" t="s">
        <v>415</v>
      </c>
      <c r="H239" t="s">
        <v>1187</v>
      </c>
      <c r="I239" t="s">
        <v>1188</v>
      </c>
      <c r="J239" t="s">
        <v>1189</v>
      </c>
      <c r="K239" t="s">
        <v>1189</v>
      </c>
      <c r="L239" t="s">
        <v>1189</v>
      </c>
      <c r="M239" t="s">
        <v>1190</v>
      </c>
      <c r="N239" t="s">
        <v>1191</v>
      </c>
      <c r="O239" t="s">
        <v>117</v>
      </c>
      <c r="Q239" t="s">
        <v>1192</v>
      </c>
      <c r="S239" t="s">
        <v>1193</v>
      </c>
      <c r="AI239" t="s">
        <v>149</v>
      </c>
      <c r="AM239" t="s">
        <v>196</v>
      </c>
      <c r="AS239" t="s">
        <v>135</v>
      </c>
      <c r="BG239">
        <v>110</v>
      </c>
      <c r="BM239" t="s">
        <v>180</v>
      </c>
      <c r="BN239">
        <v>64</v>
      </c>
      <c r="BP239" t="s">
        <v>1194</v>
      </c>
      <c r="CB239" t="s">
        <v>132</v>
      </c>
      <c r="CJ239" t="s">
        <v>1195</v>
      </c>
      <c r="CM239">
        <v>4</v>
      </c>
      <c r="CP239" t="s">
        <v>132</v>
      </c>
      <c r="CT239" t="s">
        <v>132</v>
      </c>
      <c r="CW239" t="s">
        <v>132</v>
      </c>
      <c r="CX239" t="s">
        <v>132</v>
      </c>
      <c r="CY239" t="s">
        <v>132</v>
      </c>
      <c r="DF239">
        <v>60</v>
      </c>
      <c r="DG239" t="s">
        <v>1196</v>
      </c>
    </row>
    <row r="240" spans="1:111" x14ac:dyDescent="0.2">
      <c r="A240" t="s">
        <v>111</v>
      </c>
      <c r="B240" t="b">
        <v>0</v>
      </c>
      <c r="E240">
        <v>283</v>
      </c>
      <c r="F240" t="str">
        <f>HYPERLINK("https://portal.dnb.de/opac.htm?method=simpleSearch&amp;cqlMode=true&amp;query=idn%3D1066938423", "Portal")</f>
        <v>Portal</v>
      </c>
      <c r="H240" t="s">
        <v>1197</v>
      </c>
      <c r="I240" t="s">
        <v>1198</v>
      </c>
      <c r="L240" t="s">
        <v>1199</v>
      </c>
      <c r="AD240" t="s">
        <v>489</v>
      </c>
      <c r="BN240">
        <v>0</v>
      </c>
    </row>
    <row r="241" spans="1:74" x14ac:dyDescent="0.2">
      <c r="A241" t="s">
        <v>111</v>
      </c>
      <c r="B241" t="b">
        <v>1</v>
      </c>
      <c r="E241">
        <v>284</v>
      </c>
      <c r="F241" t="str">
        <f>HYPERLINK("https://portal.dnb.de/opac.htm?method=simpleSearch&amp;cqlMode=true&amp;query=idn%3D1066796890", "Portal")</f>
        <v>Portal</v>
      </c>
      <c r="G241" t="s">
        <v>125</v>
      </c>
      <c r="H241" t="s">
        <v>1200</v>
      </c>
      <c r="I241" t="s">
        <v>1201</v>
      </c>
      <c r="J241" t="s">
        <v>1202</v>
      </c>
      <c r="K241" t="s">
        <v>1202</v>
      </c>
      <c r="L241" t="s">
        <v>1202</v>
      </c>
      <c r="N241" t="s">
        <v>1203</v>
      </c>
      <c r="O241" t="s">
        <v>117</v>
      </c>
      <c r="R241" t="s">
        <v>157</v>
      </c>
      <c r="S241" t="s">
        <v>121</v>
      </c>
      <c r="T241" t="s">
        <v>130</v>
      </c>
      <c r="W241" t="s">
        <v>67</v>
      </c>
      <c r="X241" t="s">
        <v>124</v>
      </c>
      <c r="Y241">
        <v>0</v>
      </c>
      <c r="BN241">
        <v>0</v>
      </c>
    </row>
    <row r="242" spans="1:74" x14ac:dyDescent="0.2">
      <c r="A242" t="s">
        <v>111</v>
      </c>
      <c r="B242" t="b">
        <v>1</v>
      </c>
      <c r="E242">
        <v>285</v>
      </c>
      <c r="F242" t="str">
        <f>HYPERLINK("https://portal.dnb.de/opac.htm?method=simpleSearch&amp;cqlMode=true&amp;query=idn%3D1066871019", "Portal")</f>
        <v>Portal</v>
      </c>
      <c r="G242" t="s">
        <v>125</v>
      </c>
      <c r="H242" t="s">
        <v>1204</v>
      </c>
      <c r="I242" t="s">
        <v>1205</v>
      </c>
      <c r="J242" t="s">
        <v>1206</v>
      </c>
      <c r="K242" t="s">
        <v>1206</v>
      </c>
      <c r="L242" t="s">
        <v>1206</v>
      </c>
      <c r="N242" t="s">
        <v>1207</v>
      </c>
      <c r="O242" t="s">
        <v>117</v>
      </c>
      <c r="P242" t="s">
        <v>118</v>
      </c>
      <c r="R242" t="s">
        <v>190</v>
      </c>
      <c r="S242" t="s">
        <v>121</v>
      </c>
      <c r="T242" t="s">
        <v>122</v>
      </c>
      <c r="Y242">
        <v>0</v>
      </c>
      <c r="BN242">
        <v>0</v>
      </c>
    </row>
    <row r="243" spans="1:74" x14ac:dyDescent="0.2">
      <c r="A243" t="s">
        <v>111</v>
      </c>
      <c r="B243" t="b">
        <v>1</v>
      </c>
      <c r="E243">
        <v>286</v>
      </c>
      <c r="F243" t="str">
        <f>HYPERLINK("https://portal.dnb.de/opac.htm?method=simpleSearch&amp;cqlMode=true&amp;query=idn%3D1066873984", "Portal")</f>
        <v>Portal</v>
      </c>
      <c r="G243" t="s">
        <v>125</v>
      </c>
      <c r="H243" t="s">
        <v>1208</v>
      </c>
      <c r="I243" t="s">
        <v>1209</v>
      </c>
      <c r="J243" t="s">
        <v>1210</v>
      </c>
      <c r="K243" t="s">
        <v>1210</v>
      </c>
      <c r="L243" t="s">
        <v>1210</v>
      </c>
      <c r="N243" t="s">
        <v>1211</v>
      </c>
      <c r="O243" t="s">
        <v>117</v>
      </c>
      <c r="P243" t="s">
        <v>118</v>
      </c>
      <c r="R243" t="s">
        <v>157</v>
      </c>
      <c r="S243" t="s">
        <v>121</v>
      </c>
      <c r="T243" t="s">
        <v>130</v>
      </c>
      <c r="Y243">
        <v>0</v>
      </c>
      <c r="BN243">
        <v>0</v>
      </c>
    </row>
    <row r="244" spans="1:74" x14ac:dyDescent="0.2">
      <c r="A244" t="s">
        <v>111</v>
      </c>
      <c r="B244" t="b">
        <v>1</v>
      </c>
      <c r="E244">
        <v>290</v>
      </c>
      <c r="F244" t="str">
        <f>HYPERLINK("https://portal.dnb.de/opac.htm?method=simpleSearch&amp;cqlMode=true&amp;query=idn%3D996193081", "Portal")</f>
        <v>Portal</v>
      </c>
      <c r="G244" t="s">
        <v>112</v>
      </c>
      <c r="H244" t="s">
        <v>1212</v>
      </c>
      <c r="I244" t="s">
        <v>1213</v>
      </c>
      <c r="J244" t="s">
        <v>1214</v>
      </c>
      <c r="K244" t="s">
        <v>1214</v>
      </c>
      <c r="L244" t="s">
        <v>1214</v>
      </c>
      <c r="N244" t="s">
        <v>1215</v>
      </c>
      <c r="O244" t="s">
        <v>117</v>
      </c>
      <c r="R244" t="s">
        <v>157</v>
      </c>
      <c r="S244" t="s">
        <v>121</v>
      </c>
      <c r="T244" t="s">
        <v>130</v>
      </c>
      <c r="U244" t="s">
        <v>458</v>
      </c>
      <c r="Y244">
        <v>2</v>
      </c>
      <c r="BN244">
        <v>0</v>
      </c>
    </row>
    <row r="245" spans="1:74" x14ac:dyDescent="0.2">
      <c r="A245" t="s">
        <v>111</v>
      </c>
      <c r="B245" t="b">
        <v>1</v>
      </c>
      <c r="E245">
        <v>287</v>
      </c>
      <c r="F245" t="str">
        <f>HYPERLINK("https://portal.dnb.de/opac.htm?method=simpleSearch&amp;cqlMode=true&amp;query=idn%3D1066960127", "Portal")</f>
        <v>Portal</v>
      </c>
      <c r="G245" t="s">
        <v>125</v>
      </c>
      <c r="H245" t="s">
        <v>1216</v>
      </c>
      <c r="I245" t="s">
        <v>1217</v>
      </c>
      <c r="J245" t="s">
        <v>1218</v>
      </c>
      <c r="K245" t="s">
        <v>1218</v>
      </c>
      <c r="L245" t="s">
        <v>1218</v>
      </c>
      <c r="N245" t="s">
        <v>1219</v>
      </c>
      <c r="O245" t="s">
        <v>117</v>
      </c>
      <c r="P245" t="s">
        <v>118</v>
      </c>
      <c r="R245" t="s">
        <v>284</v>
      </c>
      <c r="S245" t="s">
        <v>470</v>
      </c>
      <c r="T245" t="s">
        <v>130</v>
      </c>
      <c r="U245" t="s">
        <v>1220</v>
      </c>
      <c r="W245" t="s">
        <v>147</v>
      </c>
      <c r="X245" t="s">
        <v>124</v>
      </c>
      <c r="Y245">
        <v>0</v>
      </c>
      <c r="AI245" t="s">
        <v>646</v>
      </c>
      <c r="AL245" t="s">
        <v>132</v>
      </c>
      <c r="AM245" t="s">
        <v>134</v>
      </c>
      <c r="AN245" t="s">
        <v>132</v>
      </c>
      <c r="AS245" t="s">
        <v>1221</v>
      </c>
      <c r="BC245" t="s">
        <v>471</v>
      </c>
      <c r="BD245" t="s">
        <v>1222</v>
      </c>
      <c r="BG245" t="s">
        <v>1223</v>
      </c>
      <c r="BM245" t="s">
        <v>137</v>
      </c>
      <c r="BN245">
        <v>0</v>
      </c>
      <c r="BR245" t="s">
        <v>132</v>
      </c>
      <c r="BV245" t="s">
        <v>1224</v>
      </c>
    </row>
    <row r="246" spans="1:74" x14ac:dyDescent="0.2">
      <c r="A246" t="s">
        <v>111</v>
      </c>
      <c r="B246" t="b">
        <v>1</v>
      </c>
      <c r="E246">
        <v>288</v>
      </c>
      <c r="F246" t="str">
        <f>HYPERLINK("https://portal.dnb.de/opac.htm?method=simpleSearch&amp;cqlMode=true&amp;query=idn%3D993903541", "Portal")</f>
        <v>Portal</v>
      </c>
      <c r="G246" t="s">
        <v>112</v>
      </c>
      <c r="H246" t="s">
        <v>1225</v>
      </c>
      <c r="I246" t="s">
        <v>1226</v>
      </c>
      <c r="J246" t="s">
        <v>1227</v>
      </c>
      <c r="K246" t="s">
        <v>1227</v>
      </c>
      <c r="L246" t="s">
        <v>1227</v>
      </c>
      <c r="N246" t="s">
        <v>1228</v>
      </c>
      <c r="O246" t="s">
        <v>117</v>
      </c>
      <c r="P246" t="s">
        <v>118</v>
      </c>
      <c r="R246" t="s">
        <v>238</v>
      </c>
      <c r="S246" t="s">
        <v>121</v>
      </c>
      <c r="T246" t="s">
        <v>130</v>
      </c>
      <c r="U246" t="s">
        <v>203</v>
      </c>
      <c r="W246" t="s">
        <v>147</v>
      </c>
      <c r="X246" t="s">
        <v>124</v>
      </c>
      <c r="Y246">
        <v>0</v>
      </c>
      <c r="BN246">
        <v>0</v>
      </c>
    </row>
    <row r="247" spans="1:74" x14ac:dyDescent="0.2">
      <c r="A247" t="s">
        <v>111</v>
      </c>
      <c r="B247" t="b">
        <v>1</v>
      </c>
      <c r="F247" t="str">
        <f>HYPERLINK("https://portal.dnb.de/opac.htm?method=simpleSearch&amp;cqlMode=true&amp;query=idn%3D1138060658", "Portal")</f>
        <v>Portal</v>
      </c>
      <c r="G247" t="s">
        <v>319</v>
      </c>
      <c r="H247" t="s">
        <v>1229</v>
      </c>
      <c r="I247" t="s">
        <v>1230</v>
      </c>
      <c r="J247" t="s">
        <v>1231</v>
      </c>
      <c r="K247" t="s">
        <v>1231</v>
      </c>
      <c r="L247" t="s">
        <v>1231</v>
      </c>
      <c r="N247" t="s">
        <v>338</v>
      </c>
      <c r="O247" t="s">
        <v>117</v>
      </c>
      <c r="P247" t="s">
        <v>118</v>
      </c>
      <c r="R247" t="s">
        <v>120</v>
      </c>
      <c r="S247" t="s">
        <v>121</v>
      </c>
      <c r="T247" t="s">
        <v>130</v>
      </c>
      <c r="U247" t="s">
        <v>203</v>
      </c>
      <c r="W247" t="s">
        <v>147</v>
      </c>
      <c r="X247" t="s">
        <v>124</v>
      </c>
      <c r="Y247">
        <v>1</v>
      </c>
      <c r="AI247" t="s">
        <v>149</v>
      </c>
      <c r="AK247" t="s">
        <v>132</v>
      </c>
      <c r="AM247" t="s">
        <v>196</v>
      </c>
      <c r="AR247" t="s">
        <v>132</v>
      </c>
      <c r="AS247" t="s">
        <v>135</v>
      </c>
      <c r="BG247">
        <v>45</v>
      </c>
      <c r="BM247" t="s">
        <v>137</v>
      </c>
      <c r="BN247">
        <v>0</v>
      </c>
      <c r="BR247" t="s">
        <v>132</v>
      </c>
      <c r="BV247" t="s">
        <v>1232</v>
      </c>
    </row>
    <row r="248" spans="1:74" x14ac:dyDescent="0.2">
      <c r="A248" t="s">
        <v>111</v>
      </c>
      <c r="B248" t="b">
        <v>1</v>
      </c>
      <c r="E248">
        <v>292</v>
      </c>
      <c r="F248" t="str">
        <f>HYPERLINK("https://portal.dnb.de/opac.htm?method=simpleSearch&amp;cqlMode=true&amp;query=idn%3D1066871884", "Portal")</f>
        <v>Portal</v>
      </c>
      <c r="G248" t="s">
        <v>125</v>
      </c>
      <c r="H248" t="s">
        <v>1233</v>
      </c>
      <c r="I248" t="s">
        <v>1234</v>
      </c>
      <c r="J248" t="s">
        <v>1235</v>
      </c>
      <c r="K248" t="s">
        <v>1235</v>
      </c>
      <c r="L248" t="s">
        <v>1235</v>
      </c>
      <c r="N248" t="s">
        <v>1236</v>
      </c>
      <c r="O248" t="s">
        <v>117</v>
      </c>
      <c r="P248" t="s">
        <v>118</v>
      </c>
      <c r="R248" t="s">
        <v>157</v>
      </c>
      <c r="S248" t="s">
        <v>121</v>
      </c>
      <c r="T248" t="s">
        <v>130</v>
      </c>
      <c r="U248" t="s">
        <v>203</v>
      </c>
      <c r="Y248">
        <v>1</v>
      </c>
      <c r="BN248">
        <v>0</v>
      </c>
    </row>
    <row r="249" spans="1:74" x14ac:dyDescent="0.2">
      <c r="A249" t="s">
        <v>111</v>
      </c>
      <c r="B249" t="b">
        <v>1</v>
      </c>
      <c r="E249">
        <v>293</v>
      </c>
      <c r="F249" t="str">
        <f>HYPERLINK("https://portal.dnb.de/opac.htm?method=simpleSearch&amp;cqlMode=true&amp;query=idn%3D1066871523", "Portal")</f>
        <v>Portal</v>
      </c>
      <c r="G249" t="s">
        <v>125</v>
      </c>
      <c r="H249" t="s">
        <v>1237</v>
      </c>
      <c r="I249" t="s">
        <v>1238</v>
      </c>
      <c r="J249" t="s">
        <v>1239</v>
      </c>
      <c r="K249" t="s">
        <v>1239</v>
      </c>
      <c r="L249" t="s">
        <v>1239</v>
      </c>
      <c r="N249" t="s">
        <v>1240</v>
      </c>
      <c r="O249" t="s">
        <v>117</v>
      </c>
      <c r="P249" t="s">
        <v>118</v>
      </c>
      <c r="R249" t="s">
        <v>157</v>
      </c>
      <c r="S249" t="s">
        <v>121</v>
      </c>
      <c r="T249" t="s">
        <v>122</v>
      </c>
      <c r="Y249">
        <v>1</v>
      </c>
      <c r="BN249">
        <v>0</v>
      </c>
    </row>
    <row r="250" spans="1:74" x14ac:dyDescent="0.2">
      <c r="A250" t="s">
        <v>111</v>
      </c>
      <c r="B250" t="b">
        <v>1</v>
      </c>
      <c r="E250">
        <v>294</v>
      </c>
      <c r="F250" t="str">
        <f>HYPERLINK("https://portal.dnb.de/opac.htm?method=simpleSearch&amp;cqlMode=true&amp;query=idn%3D1132614945", "Portal")</f>
        <v>Portal</v>
      </c>
      <c r="G250" t="s">
        <v>125</v>
      </c>
      <c r="H250" t="s">
        <v>1241</v>
      </c>
      <c r="I250" t="s">
        <v>1242</v>
      </c>
      <c r="J250" t="s">
        <v>1243</v>
      </c>
      <c r="K250" t="s">
        <v>1243</v>
      </c>
      <c r="L250" t="s">
        <v>1243</v>
      </c>
      <c r="N250" t="s">
        <v>1244</v>
      </c>
      <c r="O250" t="s">
        <v>117</v>
      </c>
      <c r="R250" t="s">
        <v>145</v>
      </c>
      <c r="S250" t="s">
        <v>146</v>
      </c>
      <c r="T250" t="s">
        <v>130</v>
      </c>
      <c r="U250" t="s">
        <v>458</v>
      </c>
      <c r="W250" t="s">
        <v>67</v>
      </c>
      <c r="X250" t="s">
        <v>124</v>
      </c>
      <c r="Y250">
        <v>0</v>
      </c>
      <c r="BN250">
        <v>0</v>
      </c>
    </row>
    <row r="251" spans="1:74" x14ac:dyDescent="0.2">
      <c r="A251" t="s">
        <v>111</v>
      </c>
      <c r="B251" t="b">
        <v>1</v>
      </c>
      <c r="F251" t="str">
        <f>HYPERLINK("https://portal.dnb.de/opac.htm?method=simpleSearch&amp;cqlMode=true&amp;query=idn%3D1211119106", "Portal")</f>
        <v>Portal</v>
      </c>
      <c r="G251" t="s">
        <v>319</v>
      </c>
      <c r="H251" t="s">
        <v>1245</v>
      </c>
      <c r="I251" t="s">
        <v>1246</v>
      </c>
      <c r="J251" t="s">
        <v>1247</v>
      </c>
      <c r="K251" t="s">
        <v>1247</v>
      </c>
      <c r="L251" t="s">
        <v>1247</v>
      </c>
      <c r="N251" t="s">
        <v>323</v>
      </c>
      <c r="O251" t="s">
        <v>117</v>
      </c>
      <c r="P251" t="s">
        <v>118</v>
      </c>
      <c r="R251" t="s">
        <v>238</v>
      </c>
      <c r="S251" t="s">
        <v>121</v>
      </c>
      <c r="T251" t="s">
        <v>130</v>
      </c>
      <c r="U251" t="s">
        <v>203</v>
      </c>
      <c r="W251" t="s">
        <v>147</v>
      </c>
      <c r="X251" t="s">
        <v>124</v>
      </c>
      <c r="Y251">
        <v>0</v>
      </c>
      <c r="BN251">
        <v>0</v>
      </c>
    </row>
    <row r="252" spans="1:74" x14ac:dyDescent="0.2">
      <c r="A252" t="s">
        <v>111</v>
      </c>
      <c r="B252" t="b">
        <v>1</v>
      </c>
      <c r="F252" t="str">
        <f>HYPERLINK("https://portal.dnb.de/opac.htm?method=simpleSearch&amp;cqlMode=true&amp;query=idn%3D026289377", "Portal")</f>
        <v>Portal</v>
      </c>
      <c r="H252" t="s">
        <v>1248</v>
      </c>
      <c r="I252" t="s">
        <v>1249</v>
      </c>
      <c r="K252" t="s">
        <v>1250</v>
      </c>
      <c r="L252" t="s">
        <v>1250</v>
      </c>
      <c r="N252" t="s">
        <v>1251</v>
      </c>
      <c r="O252" t="s">
        <v>117</v>
      </c>
    </row>
    <row r="253" spans="1:74" x14ac:dyDescent="0.2">
      <c r="A253" t="s">
        <v>111</v>
      </c>
      <c r="B253" t="b">
        <v>1</v>
      </c>
      <c r="F253" t="str">
        <f>HYPERLINK("https://portal.dnb.de/opac.htm?method=simpleSearch&amp;cqlMode=true&amp;query=idn%3D1138314196", "Portal")</f>
        <v>Portal</v>
      </c>
      <c r="G253" t="s">
        <v>319</v>
      </c>
      <c r="H253" t="s">
        <v>1252</v>
      </c>
      <c r="I253" t="s">
        <v>1253</v>
      </c>
      <c r="J253" t="s">
        <v>1254</v>
      </c>
      <c r="K253" t="s">
        <v>1254</v>
      </c>
      <c r="L253" t="s">
        <v>1254</v>
      </c>
      <c r="N253" t="s">
        <v>323</v>
      </c>
      <c r="O253" t="s">
        <v>117</v>
      </c>
      <c r="P253" t="s">
        <v>118</v>
      </c>
      <c r="R253" t="s">
        <v>223</v>
      </c>
      <c r="S253" t="s">
        <v>121</v>
      </c>
      <c r="T253" t="s">
        <v>130</v>
      </c>
      <c r="U253" t="s">
        <v>203</v>
      </c>
      <c r="W253" t="s">
        <v>147</v>
      </c>
      <c r="X253" t="s">
        <v>124</v>
      </c>
      <c r="Y253">
        <v>1</v>
      </c>
      <c r="BN253">
        <v>0</v>
      </c>
    </row>
    <row r="254" spans="1:74" x14ac:dyDescent="0.2">
      <c r="A254" t="s">
        <v>111</v>
      </c>
      <c r="B254" t="b">
        <v>1</v>
      </c>
      <c r="E254">
        <v>302</v>
      </c>
      <c r="F254" t="str">
        <f>HYPERLINK("https://portal.dnb.de/opac.htm?method=simpleSearch&amp;cqlMode=true&amp;query=idn%3D106696050X", "Portal")</f>
        <v>Portal</v>
      </c>
      <c r="G254" t="s">
        <v>125</v>
      </c>
      <c r="H254" t="s">
        <v>1255</v>
      </c>
      <c r="I254" t="s">
        <v>1256</v>
      </c>
      <c r="J254" t="s">
        <v>1257</v>
      </c>
      <c r="K254" t="s">
        <v>1257</v>
      </c>
      <c r="L254" t="s">
        <v>1257</v>
      </c>
      <c r="N254" t="s">
        <v>1258</v>
      </c>
      <c r="O254" t="s">
        <v>117</v>
      </c>
      <c r="P254" t="s">
        <v>118</v>
      </c>
      <c r="R254" t="s">
        <v>120</v>
      </c>
      <c r="S254" t="s">
        <v>121</v>
      </c>
      <c r="T254" t="s">
        <v>122</v>
      </c>
      <c r="U254" t="s">
        <v>203</v>
      </c>
      <c r="Y254">
        <v>0</v>
      </c>
      <c r="BN254">
        <v>0</v>
      </c>
    </row>
    <row r="255" spans="1:74" x14ac:dyDescent="0.2">
      <c r="A255" t="s">
        <v>111</v>
      </c>
      <c r="B255" t="b">
        <v>1</v>
      </c>
      <c r="E255">
        <v>303</v>
      </c>
      <c r="F255" t="str">
        <f>HYPERLINK("https://portal.dnb.de/opac.htm?method=simpleSearch&amp;cqlMode=true&amp;query=idn%3D1066961581", "Portal")</f>
        <v>Portal</v>
      </c>
      <c r="G255" t="s">
        <v>125</v>
      </c>
      <c r="H255" t="s">
        <v>1259</v>
      </c>
      <c r="I255" t="s">
        <v>1260</v>
      </c>
      <c r="J255" t="s">
        <v>1261</v>
      </c>
      <c r="K255" t="s">
        <v>1261</v>
      </c>
      <c r="L255" t="s">
        <v>1261</v>
      </c>
      <c r="N255" t="s">
        <v>1262</v>
      </c>
      <c r="O255" t="s">
        <v>117</v>
      </c>
      <c r="P255" t="s">
        <v>118</v>
      </c>
      <c r="R255" t="s">
        <v>223</v>
      </c>
      <c r="S255" t="s">
        <v>121</v>
      </c>
      <c r="T255" t="s">
        <v>130</v>
      </c>
      <c r="W255" t="s">
        <v>421</v>
      </c>
      <c r="X255" t="s">
        <v>124</v>
      </c>
      <c r="Y255">
        <v>3</v>
      </c>
      <c r="BN255">
        <v>0</v>
      </c>
    </row>
    <row r="256" spans="1:74" x14ac:dyDescent="0.2">
      <c r="A256" t="s">
        <v>111</v>
      </c>
      <c r="B256" t="b">
        <v>1</v>
      </c>
      <c r="E256">
        <v>309</v>
      </c>
      <c r="F256" t="str">
        <f>HYPERLINK("https://portal.dnb.de/opac.htm?method=simpleSearch&amp;cqlMode=true&amp;query=idn%3D1066957673", "Portal")</f>
        <v>Portal</v>
      </c>
      <c r="G256" t="s">
        <v>125</v>
      </c>
      <c r="H256" t="s">
        <v>1263</v>
      </c>
      <c r="I256" t="s">
        <v>1264</v>
      </c>
      <c r="J256" t="s">
        <v>1265</v>
      </c>
      <c r="K256" t="s">
        <v>1265</v>
      </c>
      <c r="L256" t="s">
        <v>1265</v>
      </c>
      <c r="N256" t="s">
        <v>1266</v>
      </c>
      <c r="O256" t="s">
        <v>117</v>
      </c>
      <c r="P256" t="s">
        <v>118</v>
      </c>
      <c r="R256" t="s">
        <v>257</v>
      </c>
      <c r="S256" t="s">
        <v>121</v>
      </c>
      <c r="T256" t="s">
        <v>122</v>
      </c>
      <c r="W256" t="s">
        <v>421</v>
      </c>
      <c r="X256" t="s">
        <v>302</v>
      </c>
      <c r="Y256">
        <v>0</v>
      </c>
      <c r="BN256">
        <v>0</v>
      </c>
    </row>
    <row r="257" spans="1:77" x14ac:dyDescent="0.2">
      <c r="A257" t="s">
        <v>111</v>
      </c>
      <c r="B257" t="b">
        <v>1</v>
      </c>
      <c r="E257">
        <v>310</v>
      </c>
      <c r="F257" t="str">
        <f>HYPERLINK("https://portal.dnb.de/opac.htm?method=simpleSearch&amp;cqlMode=true&amp;query=idn%3D1066962367", "Portal")</f>
        <v>Portal</v>
      </c>
      <c r="G257" t="s">
        <v>125</v>
      </c>
      <c r="H257" t="s">
        <v>1267</v>
      </c>
      <c r="I257" t="s">
        <v>1268</v>
      </c>
      <c r="J257" t="s">
        <v>1269</v>
      </c>
      <c r="K257" t="s">
        <v>1269</v>
      </c>
      <c r="L257" t="s">
        <v>1269</v>
      </c>
      <c r="N257" t="s">
        <v>1270</v>
      </c>
      <c r="O257" t="s">
        <v>117</v>
      </c>
      <c r="P257" t="s">
        <v>118</v>
      </c>
      <c r="R257" t="s">
        <v>297</v>
      </c>
      <c r="S257" t="s">
        <v>121</v>
      </c>
      <c r="T257" t="s">
        <v>122</v>
      </c>
      <c r="U257" t="s">
        <v>1271</v>
      </c>
      <c r="W257" t="s">
        <v>147</v>
      </c>
      <c r="X257" t="s">
        <v>124</v>
      </c>
      <c r="Y257">
        <v>1</v>
      </c>
      <c r="AI257" t="s">
        <v>720</v>
      </c>
      <c r="AK257" t="s">
        <v>132</v>
      </c>
      <c r="AM257" t="s">
        <v>150</v>
      </c>
      <c r="AS257" t="s">
        <v>135</v>
      </c>
      <c r="BG257">
        <v>110</v>
      </c>
      <c r="BM257" t="s">
        <v>137</v>
      </c>
      <c r="BN257">
        <v>0</v>
      </c>
      <c r="BR257" t="s">
        <v>132</v>
      </c>
      <c r="BV257" t="s">
        <v>138</v>
      </c>
    </row>
    <row r="258" spans="1:77" x14ac:dyDescent="0.2">
      <c r="A258" t="s">
        <v>111</v>
      </c>
      <c r="B258" t="b">
        <v>1</v>
      </c>
      <c r="E258">
        <v>311</v>
      </c>
      <c r="F258" t="str">
        <f>HYPERLINK("https://portal.dnb.de/opac.htm?method=simpleSearch&amp;cqlMode=true&amp;query=idn%3D1000941396", "Portal")</f>
        <v>Portal</v>
      </c>
      <c r="G258" t="s">
        <v>112</v>
      </c>
      <c r="H258" t="s">
        <v>1272</v>
      </c>
      <c r="I258" t="s">
        <v>1273</v>
      </c>
      <c r="J258" t="s">
        <v>1274</v>
      </c>
      <c r="K258" t="s">
        <v>1274</v>
      </c>
      <c r="L258" t="s">
        <v>1274</v>
      </c>
      <c r="N258" t="s">
        <v>1275</v>
      </c>
      <c r="O258" t="s">
        <v>117</v>
      </c>
      <c r="R258" t="s">
        <v>163</v>
      </c>
      <c r="S258" t="s">
        <v>121</v>
      </c>
      <c r="T258" t="s">
        <v>122</v>
      </c>
      <c r="U258" t="s">
        <v>203</v>
      </c>
      <c r="Y258">
        <v>0</v>
      </c>
      <c r="BN258">
        <v>0</v>
      </c>
    </row>
    <row r="259" spans="1:77" x14ac:dyDescent="0.2">
      <c r="A259" t="s">
        <v>111</v>
      </c>
      <c r="B259" t="b">
        <v>1</v>
      </c>
      <c r="E259">
        <v>312</v>
      </c>
      <c r="F259" t="str">
        <f>HYPERLINK("https://portal.dnb.de/opac.htm?method=simpleSearch&amp;cqlMode=true&amp;query=idn%3D994116683", "Portal")</f>
        <v>Portal</v>
      </c>
      <c r="G259" t="s">
        <v>112</v>
      </c>
      <c r="H259" t="s">
        <v>1276</v>
      </c>
      <c r="I259" t="s">
        <v>1277</v>
      </c>
      <c r="J259" t="s">
        <v>1278</v>
      </c>
      <c r="K259" t="s">
        <v>1278</v>
      </c>
      <c r="L259" t="s">
        <v>1278</v>
      </c>
      <c r="N259" t="s">
        <v>1279</v>
      </c>
      <c r="O259" t="s">
        <v>117</v>
      </c>
      <c r="R259" t="s">
        <v>145</v>
      </c>
      <c r="S259" t="s">
        <v>121</v>
      </c>
      <c r="T259" t="s">
        <v>130</v>
      </c>
      <c r="U259" t="s">
        <v>719</v>
      </c>
      <c r="Y259">
        <v>2</v>
      </c>
      <c r="AI259" t="s">
        <v>149</v>
      </c>
      <c r="AM259" t="s">
        <v>196</v>
      </c>
      <c r="AS259" t="s">
        <v>135</v>
      </c>
      <c r="BG259">
        <v>45</v>
      </c>
      <c r="BM259" t="s">
        <v>137</v>
      </c>
      <c r="BN259">
        <v>0</v>
      </c>
      <c r="BV259" t="s">
        <v>138</v>
      </c>
    </row>
    <row r="260" spans="1:77" x14ac:dyDescent="0.2">
      <c r="A260" t="s">
        <v>111</v>
      </c>
      <c r="B260" t="b">
        <v>1</v>
      </c>
      <c r="E260">
        <v>313</v>
      </c>
      <c r="F260" t="str">
        <f>HYPERLINK("https://portal.dnb.de/opac.htm?method=simpleSearch&amp;cqlMode=true&amp;query=idn%3D1066962855", "Portal")</f>
        <v>Portal</v>
      </c>
      <c r="G260" t="s">
        <v>125</v>
      </c>
      <c r="H260" t="s">
        <v>1280</v>
      </c>
      <c r="I260" t="s">
        <v>1281</v>
      </c>
      <c r="J260" t="s">
        <v>1282</v>
      </c>
      <c r="K260" t="s">
        <v>1282</v>
      </c>
      <c r="L260" t="s">
        <v>1282</v>
      </c>
      <c r="N260" t="s">
        <v>1283</v>
      </c>
      <c r="O260" t="s">
        <v>117</v>
      </c>
      <c r="P260" t="s">
        <v>118</v>
      </c>
      <c r="R260" t="s">
        <v>157</v>
      </c>
      <c r="S260" t="s">
        <v>121</v>
      </c>
      <c r="T260" t="s">
        <v>130</v>
      </c>
      <c r="U260" t="s">
        <v>203</v>
      </c>
      <c r="Y260">
        <v>0</v>
      </c>
      <c r="BN260">
        <v>0</v>
      </c>
    </row>
    <row r="261" spans="1:77" x14ac:dyDescent="0.2">
      <c r="A261" t="s">
        <v>111</v>
      </c>
      <c r="B261" t="b">
        <v>1</v>
      </c>
      <c r="E261">
        <v>317</v>
      </c>
      <c r="F261" t="str">
        <f>HYPERLINK("https://portal.dnb.de/opac.htm?method=simpleSearch&amp;cqlMode=true&amp;query=idn%3D995212651", "Portal")</f>
        <v>Portal</v>
      </c>
      <c r="G261" t="s">
        <v>112</v>
      </c>
      <c r="H261" t="s">
        <v>1284</v>
      </c>
      <c r="I261" t="s">
        <v>1285</v>
      </c>
      <c r="J261" t="s">
        <v>1286</v>
      </c>
      <c r="K261" t="s">
        <v>1286</v>
      </c>
      <c r="L261" t="s">
        <v>1286</v>
      </c>
      <c r="N261" t="s">
        <v>1287</v>
      </c>
      <c r="O261" t="s">
        <v>117</v>
      </c>
      <c r="R261" t="s">
        <v>1288</v>
      </c>
      <c r="S261" t="s">
        <v>121</v>
      </c>
      <c r="T261" t="s">
        <v>130</v>
      </c>
      <c r="W261" t="s">
        <v>67</v>
      </c>
      <c r="X261" t="s">
        <v>124</v>
      </c>
      <c r="Y261">
        <v>1</v>
      </c>
      <c r="BN261">
        <v>0</v>
      </c>
    </row>
    <row r="262" spans="1:77" x14ac:dyDescent="0.2">
      <c r="A262" t="s">
        <v>111</v>
      </c>
      <c r="B262" t="b">
        <v>1</v>
      </c>
      <c r="E262">
        <v>318</v>
      </c>
      <c r="F262" t="str">
        <f>HYPERLINK("https://portal.dnb.de/opac.htm?method=simpleSearch&amp;cqlMode=true&amp;query=idn%3D995212384", "Portal")</f>
        <v>Portal</v>
      </c>
      <c r="G262" t="s">
        <v>112</v>
      </c>
      <c r="H262" t="s">
        <v>1289</v>
      </c>
      <c r="I262" t="s">
        <v>1290</v>
      </c>
      <c r="J262" t="s">
        <v>1291</v>
      </c>
      <c r="K262" t="s">
        <v>1291</v>
      </c>
      <c r="L262" t="s">
        <v>1291</v>
      </c>
      <c r="N262" t="s">
        <v>1292</v>
      </c>
      <c r="O262" t="s">
        <v>117</v>
      </c>
      <c r="P262" t="s">
        <v>118</v>
      </c>
      <c r="R262" t="s">
        <v>190</v>
      </c>
      <c r="S262" t="s">
        <v>121</v>
      </c>
      <c r="T262" t="s">
        <v>130</v>
      </c>
      <c r="U262" t="s">
        <v>247</v>
      </c>
      <c r="Y262">
        <v>3</v>
      </c>
      <c r="AI262" t="s">
        <v>365</v>
      </c>
      <c r="AM262" t="s">
        <v>134</v>
      </c>
      <c r="AO262" t="s">
        <v>132</v>
      </c>
      <c r="AS262" t="s">
        <v>135</v>
      </c>
      <c r="AT262" t="s">
        <v>132</v>
      </c>
      <c r="BG262">
        <v>110</v>
      </c>
      <c r="BL262" t="s">
        <v>132</v>
      </c>
      <c r="BM262" t="s">
        <v>137</v>
      </c>
      <c r="BN262">
        <v>0</v>
      </c>
      <c r="BY262" t="s">
        <v>198</v>
      </c>
    </row>
    <row r="263" spans="1:77" x14ac:dyDescent="0.2">
      <c r="A263" t="s">
        <v>111</v>
      </c>
      <c r="B263" t="b">
        <v>1</v>
      </c>
      <c r="F263" t="str">
        <f>HYPERLINK("https://portal.dnb.de/opac.htm?method=simpleSearch&amp;cqlMode=true&amp;query=idn%3D1138242128", "Portal")</f>
        <v>Portal</v>
      </c>
      <c r="G263" t="s">
        <v>319</v>
      </c>
      <c r="H263" t="s">
        <v>1293</v>
      </c>
      <c r="I263" t="s">
        <v>1294</v>
      </c>
      <c r="J263" t="s">
        <v>1295</v>
      </c>
      <c r="K263" t="s">
        <v>1295</v>
      </c>
      <c r="L263" t="s">
        <v>1295</v>
      </c>
      <c r="N263" t="s">
        <v>323</v>
      </c>
      <c r="O263" t="s">
        <v>117</v>
      </c>
      <c r="BN263">
        <v>0</v>
      </c>
    </row>
    <row r="264" spans="1:77" x14ac:dyDescent="0.2">
      <c r="A264" t="s">
        <v>111</v>
      </c>
      <c r="B264" t="b">
        <v>1</v>
      </c>
      <c r="E264">
        <v>322</v>
      </c>
      <c r="F264" t="str">
        <f>HYPERLINK("https://portal.dnb.de/opac.htm?method=simpleSearch&amp;cqlMode=true&amp;query=idn%3D996820817", "Portal")</f>
        <v>Portal</v>
      </c>
      <c r="G264" t="s">
        <v>112</v>
      </c>
      <c r="H264" t="s">
        <v>1296</v>
      </c>
      <c r="I264" t="s">
        <v>1297</v>
      </c>
      <c r="J264" t="s">
        <v>1298</v>
      </c>
      <c r="K264" t="s">
        <v>1298</v>
      </c>
      <c r="L264" t="s">
        <v>1298</v>
      </c>
      <c r="N264" t="s">
        <v>1299</v>
      </c>
      <c r="O264" t="s">
        <v>117</v>
      </c>
      <c r="R264" t="s">
        <v>163</v>
      </c>
      <c r="S264" t="s">
        <v>121</v>
      </c>
      <c r="T264" t="s">
        <v>122</v>
      </c>
      <c r="U264" t="s">
        <v>203</v>
      </c>
      <c r="Y264">
        <v>0</v>
      </c>
      <c r="BN264">
        <v>0</v>
      </c>
    </row>
    <row r="265" spans="1:77" x14ac:dyDescent="0.2">
      <c r="A265" t="s">
        <v>111</v>
      </c>
      <c r="B265" t="b">
        <v>1</v>
      </c>
      <c r="E265">
        <v>315</v>
      </c>
      <c r="F265" t="str">
        <f>HYPERLINK("https://portal.dnb.de/opac.htm?method=simpleSearch&amp;cqlMode=true&amp;query=idn%3D1066936013", "Portal")</f>
        <v>Portal</v>
      </c>
      <c r="G265" t="s">
        <v>125</v>
      </c>
      <c r="H265" t="s">
        <v>1300</v>
      </c>
      <c r="I265" t="s">
        <v>1301</v>
      </c>
      <c r="J265" t="s">
        <v>1302</v>
      </c>
      <c r="K265" t="s">
        <v>1302</v>
      </c>
      <c r="L265" t="s">
        <v>1302</v>
      </c>
      <c r="N265" t="s">
        <v>1303</v>
      </c>
      <c r="O265" t="s">
        <v>117</v>
      </c>
      <c r="P265" t="s">
        <v>118</v>
      </c>
      <c r="R265" t="s">
        <v>480</v>
      </c>
      <c r="S265" t="s">
        <v>121</v>
      </c>
      <c r="T265" t="s">
        <v>122</v>
      </c>
      <c r="U265" t="s">
        <v>203</v>
      </c>
      <c r="Y265">
        <v>0</v>
      </c>
      <c r="BN265">
        <v>0</v>
      </c>
    </row>
    <row r="266" spans="1:77" x14ac:dyDescent="0.2">
      <c r="A266" t="s">
        <v>111</v>
      </c>
      <c r="B266" t="b">
        <v>1</v>
      </c>
      <c r="E266">
        <v>316</v>
      </c>
      <c r="F266" t="str">
        <f>HYPERLINK("https://portal.dnb.de/opac.htm?method=simpleSearch&amp;cqlMode=true&amp;query=idn%3D997856971", "Portal")</f>
        <v>Portal</v>
      </c>
      <c r="G266" t="s">
        <v>112</v>
      </c>
      <c r="H266" t="s">
        <v>1304</v>
      </c>
      <c r="I266" t="s">
        <v>1305</v>
      </c>
      <c r="J266" t="s">
        <v>1306</v>
      </c>
      <c r="K266" t="s">
        <v>1306</v>
      </c>
      <c r="L266" t="s">
        <v>1306</v>
      </c>
      <c r="N266" t="s">
        <v>1307</v>
      </c>
      <c r="O266" t="s">
        <v>117</v>
      </c>
      <c r="R266" t="s">
        <v>257</v>
      </c>
      <c r="S266" t="s">
        <v>121</v>
      </c>
      <c r="T266" t="s">
        <v>130</v>
      </c>
      <c r="U266" t="s">
        <v>203</v>
      </c>
      <c r="Y266">
        <v>0</v>
      </c>
      <c r="BN266">
        <v>0</v>
      </c>
    </row>
    <row r="267" spans="1:77" x14ac:dyDescent="0.2">
      <c r="A267" t="s">
        <v>111</v>
      </c>
      <c r="B267" t="b">
        <v>1</v>
      </c>
      <c r="E267">
        <v>323</v>
      </c>
      <c r="F267" t="str">
        <f>HYPERLINK("https://portal.dnb.de/opac.htm?method=simpleSearch&amp;cqlMode=true&amp;query=idn%3D1066962987", "Portal")</f>
        <v>Portal</v>
      </c>
      <c r="G267" t="s">
        <v>125</v>
      </c>
      <c r="H267" t="s">
        <v>1308</v>
      </c>
      <c r="I267" t="s">
        <v>1309</v>
      </c>
      <c r="J267" t="s">
        <v>1310</v>
      </c>
      <c r="K267" t="s">
        <v>1310</v>
      </c>
      <c r="L267" t="s">
        <v>1310</v>
      </c>
      <c r="N267" t="s">
        <v>1311</v>
      </c>
      <c r="O267" t="s">
        <v>117</v>
      </c>
      <c r="P267" t="s">
        <v>118</v>
      </c>
      <c r="R267" t="s">
        <v>223</v>
      </c>
      <c r="S267" t="s">
        <v>121</v>
      </c>
      <c r="T267" t="s">
        <v>122</v>
      </c>
      <c r="U267" t="s">
        <v>1312</v>
      </c>
      <c r="W267" t="s">
        <v>147</v>
      </c>
      <c r="X267" t="s">
        <v>124</v>
      </c>
      <c r="Y267">
        <v>3</v>
      </c>
      <c r="AI267" t="s">
        <v>365</v>
      </c>
      <c r="AK267" t="s">
        <v>132</v>
      </c>
      <c r="AM267" t="s">
        <v>134</v>
      </c>
      <c r="AO267" t="s">
        <v>132</v>
      </c>
      <c r="AS267" t="s">
        <v>135</v>
      </c>
      <c r="BG267">
        <v>110</v>
      </c>
      <c r="BM267" t="s">
        <v>137</v>
      </c>
      <c r="BN267">
        <v>0</v>
      </c>
      <c r="BR267" t="s">
        <v>132</v>
      </c>
      <c r="BY267" t="s">
        <v>1313</v>
      </c>
    </row>
    <row r="268" spans="1:77" x14ac:dyDescent="0.2">
      <c r="A268" t="s">
        <v>111</v>
      </c>
      <c r="B268" t="b">
        <v>1</v>
      </c>
      <c r="F268" t="str">
        <f>HYPERLINK("https://portal.dnb.de/opac.htm?method=simpleSearch&amp;cqlMode=true&amp;query=idn%3D1137649518", "Portal")</f>
        <v>Portal</v>
      </c>
      <c r="G268" t="s">
        <v>319</v>
      </c>
      <c r="H268" t="s">
        <v>1314</v>
      </c>
      <c r="I268" t="s">
        <v>1315</v>
      </c>
      <c r="J268" t="s">
        <v>1316</v>
      </c>
      <c r="K268" t="s">
        <v>1316</v>
      </c>
      <c r="L268" t="s">
        <v>1316</v>
      </c>
      <c r="N268" t="s">
        <v>323</v>
      </c>
      <c r="O268" t="s">
        <v>117</v>
      </c>
      <c r="P268" t="s">
        <v>118</v>
      </c>
      <c r="R268" t="s">
        <v>238</v>
      </c>
      <c r="S268" t="s">
        <v>121</v>
      </c>
      <c r="T268" t="s">
        <v>130</v>
      </c>
      <c r="U268" t="s">
        <v>203</v>
      </c>
      <c r="W268" t="s">
        <v>147</v>
      </c>
      <c r="X268" t="s">
        <v>124</v>
      </c>
      <c r="Y268">
        <v>0</v>
      </c>
      <c r="BN268">
        <v>0</v>
      </c>
    </row>
    <row r="269" spans="1:77" x14ac:dyDescent="0.2">
      <c r="A269" t="s">
        <v>111</v>
      </c>
      <c r="B269" t="b">
        <v>1</v>
      </c>
      <c r="E269">
        <v>325</v>
      </c>
      <c r="F269" t="str">
        <f>HYPERLINK("https://portal.dnb.de/opac.htm?method=simpleSearch&amp;cqlMode=true&amp;query=idn%3D1066940819", "Portal")</f>
        <v>Portal</v>
      </c>
      <c r="G269" t="s">
        <v>125</v>
      </c>
      <c r="H269" t="s">
        <v>1317</v>
      </c>
      <c r="I269" t="s">
        <v>1318</v>
      </c>
      <c r="J269" t="s">
        <v>1319</v>
      </c>
      <c r="K269" t="s">
        <v>1319</v>
      </c>
      <c r="L269" t="s">
        <v>1319</v>
      </c>
      <c r="N269" t="s">
        <v>1320</v>
      </c>
      <c r="O269" t="s">
        <v>117</v>
      </c>
      <c r="R269" t="s">
        <v>223</v>
      </c>
      <c r="S269" t="s">
        <v>146</v>
      </c>
      <c r="T269" t="s">
        <v>130</v>
      </c>
      <c r="U269" t="s">
        <v>740</v>
      </c>
      <c r="W269" t="s">
        <v>147</v>
      </c>
      <c r="X269" t="s">
        <v>124</v>
      </c>
      <c r="Y269">
        <v>0</v>
      </c>
      <c r="BN269">
        <v>0</v>
      </c>
      <c r="BR269" t="s">
        <v>132</v>
      </c>
    </row>
    <row r="270" spans="1:77" x14ac:dyDescent="0.2">
      <c r="A270" t="s">
        <v>111</v>
      </c>
      <c r="B270" t="b">
        <v>1</v>
      </c>
      <c r="E270">
        <v>327</v>
      </c>
      <c r="F270" t="str">
        <f>HYPERLINK("https://portal.dnb.de/opac.htm?method=simpleSearch&amp;cqlMode=true&amp;query=idn%3D1066874026", "Portal")</f>
        <v>Portal</v>
      </c>
      <c r="G270" t="s">
        <v>125</v>
      </c>
      <c r="H270" t="s">
        <v>1321</v>
      </c>
      <c r="I270" t="s">
        <v>1322</v>
      </c>
      <c r="J270" t="s">
        <v>1323</v>
      </c>
      <c r="K270" t="s">
        <v>1323</v>
      </c>
      <c r="L270" t="s">
        <v>1323</v>
      </c>
      <c r="N270" t="s">
        <v>1324</v>
      </c>
      <c r="O270" t="s">
        <v>117</v>
      </c>
      <c r="P270" t="s">
        <v>118</v>
      </c>
      <c r="R270" t="s">
        <v>480</v>
      </c>
      <c r="S270" t="s">
        <v>121</v>
      </c>
      <c r="T270" t="s">
        <v>130</v>
      </c>
      <c r="U270" t="s">
        <v>203</v>
      </c>
      <c r="Y270">
        <v>1</v>
      </c>
      <c r="AI270" t="s">
        <v>325</v>
      </c>
      <c r="AK270" t="s">
        <v>132</v>
      </c>
      <c r="AM270" t="s">
        <v>134</v>
      </c>
      <c r="AS270" t="s">
        <v>135</v>
      </c>
      <c r="BG270">
        <v>110</v>
      </c>
      <c r="BM270" t="s">
        <v>137</v>
      </c>
      <c r="BN270">
        <v>0</v>
      </c>
      <c r="BV270" t="s">
        <v>355</v>
      </c>
    </row>
    <row r="271" spans="1:77" x14ac:dyDescent="0.2">
      <c r="A271" t="s">
        <v>111</v>
      </c>
      <c r="B271" t="b">
        <v>1</v>
      </c>
      <c r="E271">
        <v>328</v>
      </c>
      <c r="F271" t="str">
        <f>HYPERLINK("https://portal.dnb.de/opac.htm?method=simpleSearch&amp;cqlMode=true&amp;query=idn%3D106694072X", "Portal")</f>
        <v>Portal</v>
      </c>
      <c r="G271" t="s">
        <v>125</v>
      </c>
      <c r="H271" t="s">
        <v>1325</v>
      </c>
      <c r="I271" t="s">
        <v>1326</v>
      </c>
      <c r="J271" t="s">
        <v>1327</v>
      </c>
      <c r="K271" t="s">
        <v>1327</v>
      </c>
      <c r="L271" t="s">
        <v>1327</v>
      </c>
      <c r="N271" t="s">
        <v>1328</v>
      </c>
      <c r="O271" t="s">
        <v>117</v>
      </c>
      <c r="S271" t="s">
        <v>146</v>
      </c>
      <c r="AI271" t="s">
        <v>135</v>
      </c>
      <c r="AM271" t="s">
        <v>134</v>
      </c>
      <c r="AS271" t="s">
        <v>135</v>
      </c>
      <c r="BG271">
        <v>110</v>
      </c>
      <c r="BM271" t="s">
        <v>137</v>
      </c>
      <c r="BN271">
        <v>0</v>
      </c>
      <c r="BV271" t="s">
        <v>355</v>
      </c>
    </row>
    <row r="272" spans="1:77" x14ac:dyDescent="0.2">
      <c r="A272" t="s">
        <v>111</v>
      </c>
      <c r="B272" t="b">
        <v>1</v>
      </c>
      <c r="E272">
        <v>334</v>
      </c>
      <c r="F272" t="str">
        <f>HYPERLINK("https://portal.dnb.de/opac.htm?method=simpleSearch&amp;cqlMode=true&amp;query=idn%3D1000120279", "Portal")</f>
        <v>Portal</v>
      </c>
      <c r="G272" t="s">
        <v>542</v>
      </c>
      <c r="H272" t="s">
        <v>1329</v>
      </c>
      <c r="I272" t="s">
        <v>1330</v>
      </c>
      <c r="J272" t="s">
        <v>1331</v>
      </c>
      <c r="K272" t="s">
        <v>1331</v>
      </c>
      <c r="L272" t="s">
        <v>1331</v>
      </c>
      <c r="N272" t="s">
        <v>1332</v>
      </c>
      <c r="O272" t="s">
        <v>1333</v>
      </c>
      <c r="BN272">
        <v>0</v>
      </c>
    </row>
    <row r="273" spans="1:74" x14ac:dyDescent="0.2">
      <c r="A273" t="s">
        <v>111</v>
      </c>
      <c r="B273" t="b">
        <v>1</v>
      </c>
      <c r="E273">
        <v>336</v>
      </c>
      <c r="F273" t="str">
        <f>HYPERLINK("https://portal.dnb.de/opac.htm?method=simpleSearch&amp;cqlMode=true&amp;query=idn%3D1002646235", "Portal")</f>
        <v>Portal</v>
      </c>
      <c r="G273" t="s">
        <v>112</v>
      </c>
      <c r="H273" t="s">
        <v>1334</v>
      </c>
      <c r="I273" t="s">
        <v>1335</v>
      </c>
      <c r="J273" t="s">
        <v>1336</v>
      </c>
      <c r="K273" t="s">
        <v>1336</v>
      </c>
      <c r="L273" t="s">
        <v>1336</v>
      </c>
      <c r="N273" t="s">
        <v>1337</v>
      </c>
      <c r="O273" t="s">
        <v>117</v>
      </c>
      <c r="BN273">
        <v>0</v>
      </c>
    </row>
    <row r="274" spans="1:74" x14ac:dyDescent="0.2">
      <c r="A274" t="s">
        <v>111</v>
      </c>
      <c r="B274" t="b">
        <v>1</v>
      </c>
      <c r="E274">
        <v>329</v>
      </c>
      <c r="F274" t="str">
        <f>HYPERLINK("https://portal.dnb.de/opac.htm?method=simpleSearch&amp;cqlMode=true&amp;query=idn%3D1066940517", "Portal")</f>
        <v>Portal</v>
      </c>
      <c r="G274" t="s">
        <v>125</v>
      </c>
      <c r="H274" t="s">
        <v>1338</v>
      </c>
      <c r="I274" t="s">
        <v>1339</v>
      </c>
      <c r="J274" t="s">
        <v>1340</v>
      </c>
      <c r="K274" t="s">
        <v>1340</v>
      </c>
      <c r="L274" t="s">
        <v>1340</v>
      </c>
      <c r="N274" t="s">
        <v>1341</v>
      </c>
      <c r="O274" t="s">
        <v>117</v>
      </c>
      <c r="S274" t="s">
        <v>121</v>
      </c>
      <c r="AI274" t="s">
        <v>325</v>
      </c>
      <c r="AK274" t="s">
        <v>132</v>
      </c>
      <c r="AM274" t="s">
        <v>134</v>
      </c>
      <c r="AS274" t="s">
        <v>135</v>
      </c>
      <c r="BG274">
        <v>110</v>
      </c>
      <c r="BM274" t="s">
        <v>137</v>
      </c>
      <c r="BN274">
        <v>0</v>
      </c>
      <c r="BV274" t="s">
        <v>355</v>
      </c>
    </row>
    <row r="275" spans="1:74" x14ac:dyDescent="0.2">
      <c r="A275" t="s">
        <v>111</v>
      </c>
      <c r="B275" t="b">
        <v>1</v>
      </c>
      <c r="E275">
        <v>330</v>
      </c>
      <c r="F275" t="str">
        <f>HYPERLINK("https://portal.dnb.de/opac.htm?method=simpleSearch&amp;cqlMode=true&amp;query=idn%3D1132655722", "Portal")</f>
        <v>Portal</v>
      </c>
      <c r="G275" t="s">
        <v>970</v>
      </c>
      <c r="H275" t="s">
        <v>1342</v>
      </c>
      <c r="I275" t="s">
        <v>1343</v>
      </c>
      <c r="J275" t="s">
        <v>1344</v>
      </c>
      <c r="K275" t="s">
        <v>1344</v>
      </c>
      <c r="L275" t="s">
        <v>1344</v>
      </c>
      <c r="N275" t="s">
        <v>1345</v>
      </c>
      <c r="O275" t="s">
        <v>1346</v>
      </c>
      <c r="BN275">
        <v>0</v>
      </c>
    </row>
    <row r="276" spans="1:74" x14ac:dyDescent="0.2">
      <c r="A276" t="s">
        <v>111</v>
      </c>
      <c r="B276" t="b">
        <v>1</v>
      </c>
      <c r="E276">
        <v>331</v>
      </c>
      <c r="F276" t="str">
        <f>HYPERLINK("https://portal.dnb.de/opac.htm?method=simpleSearch&amp;cqlMode=true&amp;query=idn%3D1132655730", "Portal")</f>
        <v>Portal</v>
      </c>
      <c r="G276" t="s">
        <v>970</v>
      </c>
      <c r="H276" t="s">
        <v>1347</v>
      </c>
      <c r="I276" t="s">
        <v>1348</v>
      </c>
      <c r="J276" t="s">
        <v>1344</v>
      </c>
      <c r="K276" t="s">
        <v>1344</v>
      </c>
      <c r="L276" t="s">
        <v>1344</v>
      </c>
      <c r="N276" t="s">
        <v>1345</v>
      </c>
      <c r="O276" t="s">
        <v>1349</v>
      </c>
      <c r="BN276">
        <v>0</v>
      </c>
    </row>
    <row r="277" spans="1:74" x14ac:dyDescent="0.2">
      <c r="A277" t="s">
        <v>111</v>
      </c>
      <c r="B277" t="b">
        <v>1</v>
      </c>
      <c r="E277">
        <v>332</v>
      </c>
      <c r="F277" t="str">
        <f>HYPERLINK("https://portal.dnb.de/opac.htm?method=simpleSearch&amp;cqlMode=true&amp;query=idn%3D1066937877", "Portal")</f>
        <v>Portal</v>
      </c>
      <c r="G277" t="s">
        <v>125</v>
      </c>
      <c r="H277" t="s">
        <v>1350</v>
      </c>
      <c r="I277" t="s">
        <v>1351</v>
      </c>
      <c r="J277" t="s">
        <v>1352</v>
      </c>
      <c r="K277" t="s">
        <v>1352</v>
      </c>
      <c r="L277" t="s">
        <v>1352</v>
      </c>
      <c r="N277" t="s">
        <v>1353</v>
      </c>
      <c r="O277" t="s">
        <v>117</v>
      </c>
      <c r="P277" t="s">
        <v>118</v>
      </c>
      <c r="R277" t="s">
        <v>1354</v>
      </c>
      <c r="S277" t="s">
        <v>121</v>
      </c>
      <c r="T277" t="s">
        <v>122</v>
      </c>
      <c r="U277" t="s">
        <v>131</v>
      </c>
      <c r="W277" t="s">
        <v>147</v>
      </c>
      <c r="X277" t="s">
        <v>124</v>
      </c>
      <c r="Y277">
        <v>0</v>
      </c>
      <c r="BN277">
        <v>0</v>
      </c>
    </row>
    <row r="278" spans="1:74" x14ac:dyDescent="0.2">
      <c r="A278" t="s">
        <v>111</v>
      </c>
      <c r="B278" t="b">
        <v>1</v>
      </c>
      <c r="E278">
        <v>333</v>
      </c>
      <c r="F278" t="str">
        <f>HYPERLINK("https://portal.dnb.de/opac.htm?method=simpleSearch&amp;cqlMode=true&amp;query=idn%3D1002893801", "Portal")</f>
        <v>Portal</v>
      </c>
      <c r="G278" t="s">
        <v>112</v>
      </c>
      <c r="H278" t="s">
        <v>1355</v>
      </c>
      <c r="I278" t="s">
        <v>1356</v>
      </c>
      <c r="J278" t="s">
        <v>1357</v>
      </c>
      <c r="K278" t="s">
        <v>1357</v>
      </c>
      <c r="L278" t="s">
        <v>1357</v>
      </c>
      <c r="N278" t="s">
        <v>1358</v>
      </c>
      <c r="O278" t="s">
        <v>117</v>
      </c>
      <c r="Q278" t="s">
        <v>1359</v>
      </c>
      <c r="BN278">
        <v>0</v>
      </c>
    </row>
    <row r="279" spans="1:74" x14ac:dyDescent="0.2">
      <c r="A279" t="s">
        <v>111</v>
      </c>
      <c r="B279" t="b">
        <v>1</v>
      </c>
      <c r="E279">
        <v>337</v>
      </c>
      <c r="F279" t="str">
        <f>HYPERLINK("https://portal.dnb.de/opac.htm?method=simpleSearch&amp;cqlMode=true&amp;query=idn%3D1066871000", "Portal")</f>
        <v>Portal</v>
      </c>
      <c r="G279" t="s">
        <v>125</v>
      </c>
      <c r="H279" t="s">
        <v>1360</v>
      </c>
      <c r="I279" t="s">
        <v>1361</v>
      </c>
      <c r="J279" t="s">
        <v>1362</v>
      </c>
      <c r="K279" t="s">
        <v>1362</v>
      </c>
      <c r="L279" t="s">
        <v>1362</v>
      </c>
      <c r="N279" t="s">
        <v>1363</v>
      </c>
      <c r="O279" t="s">
        <v>117</v>
      </c>
      <c r="P279" t="s">
        <v>118</v>
      </c>
      <c r="R279" t="s">
        <v>223</v>
      </c>
      <c r="S279" t="s">
        <v>146</v>
      </c>
      <c r="T279" t="s">
        <v>122</v>
      </c>
      <c r="U279" t="s">
        <v>203</v>
      </c>
      <c r="Y279">
        <v>0</v>
      </c>
      <c r="AI279" t="s">
        <v>365</v>
      </c>
      <c r="AK279" t="s">
        <v>132</v>
      </c>
      <c r="AM279" t="s">
        <v>134</v>
      </c>
      <c r="AS279" t="s">
        <v>135</v>
      </c>
      <c r="BC279" t="s">
        <v>136</v>
      </c>
      <c r="BD279" t="s">
        <v>132</v>
      </c>
      <c r="BG279">
        <v>110</v>
      </c>
      <c r="BM279" t="s">
        <v>137</v>
      </c>
      <c r="BN279">
        <v>0</v>
      </c>
    </row>
    <row r="280" spans="1:74" x14ac:dyDescent="0.2">
      <c r="A280" t="s">
        <v>111</v>
      </c>
      <c r="B280" t="b">
        <v>1</v>
      </c>
      <c r="F280" t="str">
        <f>HYPERLINK("https://portal.dnb.de/opac.htm?method=simpleSearch&amp;cqlMode=true&amp;query=idn%3D1138244880", "Portal")</f>
        <v>Portal</v>
      </c>
      <c r="G280" t="s">
        <v>319</v>
      </c>
      <c r="H280" t="s">
        <v>1364</v>
      </c>
      <c r="I280" t="s">
        <v>1365</v>
      </c>
      <c r="J280" t="s">
        <v>1366</v>
      </c>
      <c r="K280" t="s">
        <v>1366</v>
      </c>
      <c r="L280" t="s">
        <v>1366</v>
      </c>
      <c r="N280" t="s">
        <v>1367</v>
      </c>
      <c r="O280" t="s">
        <v>117</v>
      </c>
      <c r="P280" t="s">
        <v>118</v>
      </c>
      <c r="R280" t="s">
        <v>145</v>
      </c>
      <c r="S280" t="s">
        <v>121</v>
      </c>
      <c r="T280" t="s">
        <v>122</v>
      </c>
      <c r="U280" t="s">
        <v>203</v>
      </c>
      <c r="W280" t="s">
        <v>147</v>
      </c>
      <c r="X280" t="s">
        <v>124</v>
      </c>
      <c r="Y280">
        <v>1</v>
      </c>
      <c r="BN280">
        <v>0</v>
      </c>
    </row>
    <row r="281" spans="1:74" x14ac:dyDescent="0.2">
      <c r="A281" t="s">
        <v>111</v>
      </c>
      <c r="B281" t="b">
        <v>1</v>
      </c>
      <c r="E281">
        <v>339</v>
      </c>
      <c r="F281" t="str">
        <f>HYPERLINK("https://portal.dnb.de/opac.htm?method=simpleSearch&amp;cqlMode=true&amp;query=idn%3D1066934975", "Portal")</f>
        <v>Portal</v>
      </c>
      <c r="G281" t="s">
        <v>125</v>
      </c>
      <c r="H281" t="s">
        <v>1368</v>
      </c>
      <c r="I281" t="s">
        <v>1369</v>
      </c>
      <c r="J281" t="s">
        <v>1370</v>
      </c>
      <c r="K281" t="s">
        <v>1370</v>
      </c>
      <c r="L281" t="s">
        <v>1370</v>
      </c>
      <c r="N281" t="s">
        <v>1371</v>
      </c>
      <c r="O281" t="s">
        <v>117</v>
      </c>
      <c r="P281" t="s">
        <v>118</v>
      </c>
      <c r="R281" t="s">
        <v>145</v>
      </c>
      <c r="S281" t="s">
        <v>121</v>
      </c>
      <c r="T281" t="s">
        <v>122</v>
      </c>
      <c r="U281" t="s">
        <v>203</v>
      </c>
      <c r="W281" t="s">
        <v>147</v>
      </c>
      <c r="X281" t="s">
        <v>124</v>
      </c>
      <c r="Y281">
        <v>0</v>
      </c>
      <c r="BN281">
        <v>0</v>
      </c>
    </row>
    <row r="282" spans="1:74" x14ac:dyDescent="0.2">
      <c r="A282" t="s">
        <v>111</v>
      </c>
      <c r="B282" t="b">
        <v>1</v>
      </c>
      <c r="E282">
        <v>340</v>
      </c>
      <c r="F282" t="str">
        <f>HYPERLINK("https://portal.dnb.de/opac.htm?method=simpleSearch&amp;cqlMode=true&amp;query=idn%3D1066842191", "Portal")</f>
        <v>Portal</v>
      </c>
      <c r="G282" t="s">
        <v>125</v>
      </c>
      <c r="H282" t="s">
        <v>1372</v>
      </c>
      <c r="I282" t="s">
        <v>1373</v>
      </c>
      <c r="J282" t="s">
        <v>1374</v>
      </c>
      <c r="K282" t="s">
        <v>1374</v>
      </c>
      <c r="L282" t="s">
        <v>1374</v>
      </c>
      <c r="N282" t="s">
        <v>1375</v>
      </c>
      <c r="O282" t="s">
        <v>117</v>
      </c>
      <c r="P282" t="s">
        <v>118</v>
      </c>
      <c r="R282" t="s">
        <v>157</v>
      </c>
      <c r="S282" t="s">
        <v>121</v>
      </c>
      <c r="T282" t="s">
        <v>122</v>
      </c>
      <c r="U282" t="s">
        <v>173</v>
      </c>
      <c r="W282" t="s">
        <v>67</v>
      </c>
      <c r="X282" t="s">
        <v>124</v>
      </c>
      <c r="Y282">
        <v>0</v>
      </c>
      <c r="BN282">
        <v>0</v>
      </c>
    </row>
    <row r="283" spans="1:74" x14ac:dyDescent="0.2">
      <c r="A283" t="s">
        <v>111</v>
      </c>
      <c r="B283" t="b">
        <v>1</v>
      </c>
      <c r="E283">
        <v>341</v>
      </c>
      <c r="F283" t="str">
        <f>HYPERLINK("https://portal.dnb.de/opac.htm?method=simpleSearch&amp;cqlMode=true&amp;query=idn%3D1066963223", "Portal")</f>
        <v>Portal</v>
      </c>
      <c r="G283" t="s">
        <v>125</v>
      </c>
      <c r="H283" t="s">
        <v>1376</v>
      </c>
      <c r="I283" t="s">
        <v>1377</v>
      </c>
      <c r="J283" t="s">
        <v>1378</v>
      </c>
      <c r="K283" t="s">
        <v>1378</v>
      </c>
      <c r="L283" t="s">
        <v>1378</v>
      </c>
      <c r="N283" t="s">
        <v>1379</v>
      </c>
      <c r="O283" t="s">
        <v>117</v>
      </c>
      <c r="P283" t="s">
        <v>118</v>
      </c>
      <c r="R283" t="s">
        <v>157</v>
      </c>
      <c r="S283" t="s">
        <v>146</v>
      </c>
      <c r="T283" t="s">
        <v>122</v>
      </c>
      <c r="U283" t="s">
        <v>203</v>
      </c>
      <c r="W283" t="s">
        <v>67</v>
      </c>
      <c r="X283" t="s">
        <v>124</v>
      </c>
      <c r="Y283">
        <v>0</v>
      </c>
      <c r="BN283">
        <v>0</v>
      </c>
    </row>
    <row r="284" spans="1:74" x14ac:dyDescent="0.2">
      <c r="A284" t="s">
        <v>111</v>
      </c>
      <c r="B284" t="b">
        <v>1</v>
      </c>
      <c r="E284">
        <v>342</v>
      </c>
      <c r="F284" t="str">
        <f>HYPERLINK("https://portal.dnb.de/opac.htm?method=simpleSearch&amp;cqlMode=true&amp;query=idn%3D1001583299", "Portal")</f>
        <v>Portal</v>
      </c>
      <c r="G284" t="s">
        <v>112</v>
      </c>
      <c r="H284" t="s">
        <v>1380</v>
      </c>
      <c r="I284" t="s">
        <v>1381</v>
      </c>
      <c r="J284" t="s">
        <v>1382</v>
      </c>
      <c r="K284" t="s">
        <v>1382</v>
      </c>
      <c r="L284" t="s">
        <v>1382</v>
      </c>
      <c r="N284" t="s">
        <v>1383</v>
      </c>
      <c r="O284" t="s">
        <v>117</v>
      </c>
      <c r="R284" t="s">
        <v>163</v>
      </c>
      <c r="S284" t="s">
        <v>121</v>
      </c>
      <c r="T284" t="s">
        <v>122</v>
      </c>
      <c r="U284" t="s">
        <v>203</v>
      </c>
      <c r="Y284">
        <v>0</v>
      </c>
      <c r="BN284">
        <v>0</v>
      </c>
    </row>
    <row r="285" spans="1:74" x14ac:dyDescent="0.2">
      <c r="A285" t="s">
        <v>111</v>
      </c>
      <c r="B285" t="b">
        <v>1</v>
      </c>
      <c r="E285">
        <v>353</v>
      </c>
      <c r="F285" t="str">
        <f>HYPERLINK("https://portal.dnb.de/opac.htm?method=simpleSearch&amp;cqlMode=true&amp;query=idn%3D1066963320", "Portal")</f>
        <v>Portal</v>
      </c>
      <c r="G285" t="s">
        <v>125</v>
      </c>
      <c r="H285" t="s">
        <v>1384</v>
      </c>
      <c r="I285" t="s">
        <v>1385</v>
      </c>
      <c r="J285" t="s">
        <v>1386</v>
      </c>
      <c r="K285" t="s">
        <v>1386</v>
      </c>
      <c r="L285" t="s">
        <v>1386</v>
      </c>
      <c r="N285" t="s">
        <v>1387</v>
      </c>
      <c r="O285" t="s">
        <v>117</v>
      </c>
      <c r="P285" t="s">
        <v>118</v>
      </c>
      <c r="R285" t="s">
        <v>223</v>
      </c>
      <c r="S285" t="s">
        <v>121</v>
      </c>
      <c r="T285" t="s">
        <v>130</v>
      </c>
      <c r="U285" t="s">
        <v>203</v>
      </c>
      <c r="W285" t="s">
        <v>147</v>
      </c>
      <c r="X285" t="s">
        <v>124</v>
      </c>
      <c r="Y285">
        <v>0</v>
      </c>
      <c r="BN285">
        <v>0</v>
      </c>
    </row>
    <row r="286" spans="1:74" x14ac:dyDescent="0.2">
      <c r="A286" t="s">
        <v>111</v>
      </c>
      <c r="B286" t="b">
        <v>1</v>
      </c>
      <c r="E286">
        <v>343</v>
      </c>
      <c r="F286" t="str">
        <f>HYPERLINK("https://portal.dnb.de/opac.htm?method=simpleSearch&amp;cqlMode=true&amp;query=idn%3D1066874379", "Portal")</f>
        <v>Portal</v>
      </c>
      <c r="G286" t="s">
        <v>125</v>
      </c>
      <c r="H286" t="s">
        <v>1388</v>
      </c>
      <c r="I286" t="s">
        <v>1389</v>
      </c>
      <c r="J286" t="s">
        <v>1390</v>
      </c>
      <c r="K286" t="s">
        <v>1390</v>
      </c>
      <c r="L286" t="s">
        <v>1390</v>
      </c>
      <c r="N286" t="s">
        <v>1391</v>
      </c>
      <c r="O286" t="s">
        <v>117</v>
      </c>
      <c r="P286" t="s">
        <v>118</v>
      </c>
      <c r="R286" t="s">
        <v>257</v>
      </c>
      <c r="S286" t="s">
        <v>121</v>
      </c>
      <c r="T286" t="s">
        <v>122</v>
      </c>
      <c r="U286" t="s">
        <v>203</v>
      </c>
      <c r="Y286">
        <v>0</v>
      </c>
      <c r="AI286" t="s">
        <v>720</v>
      </c>
      <c r="AM286" t="s">
        <v>150</v>
      </c>
      <c r="AS286" t="s">
        <v>135</v>
      </c>
      <c r="BG286">
        <v>110</v>
      </c>
      <c r="BM286" t="s">
        <v>137</v>
      </c>
      <c r="BN286">
        <v>0</v>
      </c>
      <c r="BV286" t="s">
        <v>355</v>
      </c>
    </row>
    <row r="287" spans="1:74" x14ac:dyDescent="0.2">
      <c r="A287" t="s">
        <v>111</v>
      </c>
      <c r="B287" t="b">
        <v>1</v>
      </c>
      <c r="E287">
        <v>344</v>
      </c>
      <c r="F287" t="str">
        <f>HYPERLINK("https://portal.dnb.de/opac.htm?method=simpleSearch&amp;cqlMode=true&amp;query=idn%3D1066962065", "Portal")</f>
        <v>Portal</v>
      </c>
      <c r="G287" t="s">
        <v>125</v>
      </c>
      <c r="H287" t="s">
        <v>1392</v>
      </c>
      <c r="I287" t="s">
        <v>1393</v>
      </c>
      <c r="J287" t="s">
        <v>1394</v>
      </c>
      <c r="K287" t="s">
        <v>1394</v>
      </c>
      <c r="L287" t="s">
        <v>1394</v>
      </c>
      <c r="N287" t="s">
        <v>1395</v>
      </c>
      <c r="O287" t="s">
        <v>117</v>
      </c>
      <c r="P287" t="s">
        <v>118</v>
      </c>
      <c r="R287" t="s">
        <v>145</v>
      </c>
      <c r="S287" t="s">
        <v>121</v>
      </c>
      <c r="T287" t="s">
        <v>130</v>
      </c>
      <c r="U287" t="s">
        <v>210</v>
      </c>
      <c r="W287" t="s">
        <v>147</v>
      </c>
      <c r="X287" t="s">
        <v>124</v>
      </c>
      <c r="Y287">
        <v>0</v>
      </c>
      <c r="BN287">
        <v>0</v>
      </c>
    </row>
    <row r="288" spans="1:74" x14ac:dyDescent="0.2">
      <c r="A288" t="s">
        <v>111</v>
      </c>
      <c r="B288" t="b">
        <v>1</v>
      </c>
      <c r="E288">
        <v>354</v>
      </c>
      <c r="F288" t="str">
        <f>HYPERLINK("https://portal.dnb.de/opac.htm?method=simpleSearch&amp;cqlMode=true&amp;query=idn%3D999124927", "Portal")</f>
        <v>Portal</v>
      </c>
      <c r="G288" t="s">
        <v>112</v>
      </c>
      <c r="H288" t="s">
        <v>1396</v>
      </c>
      <c r="I288" t="s">
        <v>1397</v>
      </c>
      <c r="J288" t="s">
        <v>1398</v>
      </c>
      <c r="K288" t="s">
        <v>1398</v>
      </c>
      <c r="L288" t="s">
        <v>1399</v>
      </c>
      <c r="N288" t="s">
        <v>1400</v>
      </c>
      <c r="O288" t="s">
        <v>117</v>
      </c>
      <c r="P288" t="s">
        <v>118</v>
      </c>
      <c r="R288" t="s">
        <v>157</v>
      </c>
      <c r="S288" t="s">
        <v>146</v>
      </c>
      <c r="T288" t="s">
        <v>130</v>
      </c>
      <c r="U288" t="s">
        <v>203</v>
      </c>
      <c r="W288" t="s">
        <v>229</v>
      </c>
      <c r="X288" t="s">
        <v>302</v>
      </c>
      <c r="Y288">
        <v>0</v>
      </c>
      <c r="BN288">
        <v>0</v>
      </c>
    </row>
    <row r="289" spans="1:92" x14ac:dyDescent="0.2">
      <c r="A289" t="s">
        <v>111</v>
      </c>
      <c r="B289" t="b">
        <v>1</v>
      </c>
      <c r="E289">
        <v>345</v>
      </c>
      <c r="F289" t="str">
        <f>HYPERLINK("https://portal.dnb.de/opac.htm?method=simpleSearch&amp;cqlMode=true&amp;query=idn%3D1066957878", "Portal")</f>
        <v>Portal</v>
      </c>
      <c r="G289" t="s">
        <v>125</v>
      </c>
      <c r="H289" t="s">
        <v>1401</v>
      </c>
      <c r="I289" t="s">
        <v>1402</v>
      </c>
      <c r="J289" t="s">
        <v>1403</v>
      </c>
      <c r="K289" t="s">
        <v>1403</v>
      </c>
      <c r="L289" t="s">
        <v>1403</v>
      </c>
      <c r="N289" t="s">
        <v>1404</v>
      </c>
      <c r="O289" t="s">
        <v>117</v>
      </c>
      <c r="P289" t="s">
        <v>118</v>
      </c>
      <c r="R289" t="s">
        <v>1354</v>
      </c>
      <c r="S289" t="s">
        <v>121</v>
      </c>
      <c r="T289" t="s">
        <v>122</v>
      </c>
      <c r="U289" t="s">
        <v>203</v>
      </c>
      <c r="W289" t="s">
        <v>147</v>
      </c>
      <c r="X289" t="s">
        <v>124</v>
      </c>
      <c r="Y289">
        <v>0</v>
      </c>
      <c r="BN289">
        <v>0</v>
      </c>
    </row>
    <row r="290" spans="1:92" x14ac:dyDescent="0.2">
      <c r="A290" t="s">
        <v>111</v>
      </c>
      <c r="B290" t="b">
        <v>1</v>
      </c>
      <c r="E290">
        <v>346</v>
      </c>
      <c r="F290" t="str">
        <f>HYPERLINK("https://portal.dnb.de/opac.htm?method=simpleSearch&amp;cqlMode=true&amp;query=idn%3D1066963533", "Portal")</f>
        <v>Portal</v>
      </c>
      <c r="G290" t="s">
        <v>125</v>
      </c>
      <c r="H290" t="s">
        <v>1405</v>
      </c>
      <c r="I290" t="s">
        <v>1406</v>
      </c>
      <c r="J290" t="s">
        <v>1407</v>
      </c>
      <c r="K290" t="s">
        <v>1407</v>
      </c>
      <c r="L290" t="s">
        <v>1407</v>
      </c>
      <c r="N290" t="s">
        <v>1408</v>
      </c>
      <c r="O290" t="s">
        <v>117</v>
      </c>
      <c r="P290" t="s">
        <v>118</v>
      </c>
      <c r="R290" t="s">
        <v>157</v>
      </c>
      <c r="S290" t="s">
        <v>121</v>
      </c>
      <c r="T290" t="s">
        <v>130</v>
      </c>
      <c r="U290" t="s">
        <v>203</v>
      </c>
      <c r="W290" t="s">
        <v>67</v>
      </c>
      <c r="X290" t="s">
        <v>124</v>
      </c>
      <c r="Y290">
        <v>0</v>
      </c>
      <c r="AA290" t="s">
        <v>1409</v>
      </c>
      <c r="BN290">
        <v>0</v>
      </c>
    </row>
    <row r="291" spans="1:92" x14ac:dyDescent="0.2">
      <c r="A291" t="s">
        <v>111</v>
      </c>
      <c r="B291" t="b">
        <v>1</v>
      </c>
      <c r="C291" t="s">
        <v>132</v>
      </c>
      <c r="E291">
        <v>347</v>
      </c>
      <c r="F291" t="str">
        <f>HYPERLINK("https://portal.dnb.de/opac.htm?method=simpleSearch&amp;cqlMode=true&amp;query=idn%3D1066962928", "Portal")</f>
        <v>Portal</v>
      </c>
      <c r="G291" t="s">
        <v>125</v>
      </c>
      <c r="H291" t="s">
        <v>1410</v>
      </c>
      <c r="I291" t="s">
        <v>1411</v>
      </c>
      <c r="J291" t="s">
        <v>1412</v>
      </c>
      <c r="K291" t="s">
        <v>1412</v>
      </c>
      <c r="L291" t="s">
        <v>1412</v>
      </c>
      <c r="N291" t="s">
        <v>1413</v>
      </c>
      <c r="O291" t="s">
        <v>117</v>
      </c>
      <c r="P291" t="s">
        <v>118</v>
      </c>
      <c r="R291" t="s">
        <v>145</v>
      </c>
      <c r="S291" t="s">
        <v>121</v>
      </c>
      <c r="T291" t="s">
        <v>130</v>
      </c>
      <c r="U291" t="s">
        <v>178</v>
      </c>
      <c r="W291" t="s">
        <v>147</v>
      </c>
      <c r="X291" t="s">
        <v>124</v>
      </c>
      <c r="Y291">
        <v>1</v>
      </c>
      <c r="AI291" t="s">
        <v>149</v>
      </c>
      <c r="AM291" t="s">
        <v>196</v>
      </c>
      <c r="AS291" t="s">
        <v>135</v>
      </c>
      <c r="AU291" t="s">
        <v>132</v>
      </c>
      <c r="BG291">
        <v>60</v>
      </c>
      <c r="BM291" t="s">
        <v>180</v>
      </c>
      <c r="BN291">
        <v>1</v>
      </c>
      <c r="BR291" t="s">
        <v>132</v>
      </c>
      <c r="BZ291" t="s">
        <v>132</v>
      </c>
      <c r="CB291" t="s">
        <v>132</v>
      </c>
      <c r="CH291" t="s">
        <v>132</v>
      </c>
      <c r="CM291">
        <v>1</v>
      </c>
      <c r="CN291" t="s">
        <v>1414</v>
      </c>
    </row>
    <row r="292" spans="1:92" x14ac:dyDescent="0.2">
      <c r="A292" t="s">
        <v>111</v>
      </c>
      <c r="B292" t="b">
        <v>0</v>
      </c>
      <c r="E292">
        <v>348</v>
      </c>
      <c r="F292" t="str">
        <f>HYPERLINK("https://portal.dnb.de/opac.htm?method=simpleSearch&amp;cqlMode=true&amp;query=idn%3D1132638577", "Portal")</f>
        <v>Portal</v>
      </c>
      <c r="H292" t="s">
        <v>1415</v>
      </c>
      <c r="I292" t="s">
        <v>1416</v>
      </c>
      <c r="L292" t="s">
        <v>1417</v>
      </c>
      <c r="AD292" t="s">
        <v>489</v>
      </c>
      <c r="BN292">
        <v>0</v>
      </c>
    </row>
    <row r="293" spans="1:92" x14ac:dyDescent="0.2">
      <c r="A293" t="s">
        <v>111</v>
      </c>
      <c r="B293" t="b">
        <v>0</v>
      </c>
      <c r="E293">
        <v>349</v>
      </c>
      <c r="F293" t="str">
        <f>HYPERLINK("https://portal.dnb.de/opac.htm?method=simpleSearch&amp;cqlMode=true&amp;query=idn%3D1066961808", "Portal")</f>
        <v>Portal</v>
      </c>
      <c r="H293" t="s">
        <v>1418</v>
      </c>
      <c r="I293" t="s">
        <v>1419</v>
      </c>
      <c r="L293" t="s">
        <v>1420</v>
      </c>
      <c r="AD293" t="s">
        <v>489</v>
      </c>
      <c r="BN293">
        <v>0</v>
      </c>
    </row>
    <row r="294" spans="1:92" x14ac:dyDescent="0.2">
      <c r="A294" t="s">
        <v>111</v>
      </c>
      <c r="B294" t="b">
        <v>1</v>
      </c>
      <c r="E294">
        <v>350</v>
      </c>
      <c r="F294" t="str">
        <f>HYPERLINK("https://portal.dnb.de/opac.htm?method=simpleSearch&amp;cqlMode=true&amp;query=idn%3D999174002", "Portal")</f>
        <v>Portal</v>
      </c>
      <c r="G294" t="s">
        <v>112</v>
      </c>
      <c r="H294" t="s">
        <v>1421</v>
      </c>
      <c r="I294" t="s">
        <v>1422</v>
      </c>
      <c r="J294" t="s">
        <v>1423</v>
      </c>
      <c r="K294" t="s">
        <v>1423</v>
      </c>
      <c r="L294" t="s">
        <v>1423</v>
      </c>
      <c r="N294" t="s">
        <v>1424</v>
      </c>
      <c r="O294" t="s">
        <v>117</v>
      </c>
      <c r="R294" t="s">
        <v>163</v>
      </c>
      <c r="S294" t="s">
        <v>121</v>
      </c>
      <c r="T294" t="s">
        <v>130</v>
      </c>
      <c r="U294" t="s">
        <v>210</v>
      </c>
      <c r="X294" t="s">
        <v>168</v>
      </c>
      <c r="Y294">
        <v>1</v>
      </c>
      <c r="BN294">
        <v>0</v>
      </c>
    </row>
    <row r="295" spans="1:92" x14ac:dyDescent="0.2">
      <c r="A295" t="s">
        <v>111</v>
      </c>
      <c r="B295" t="b">
        <v>1</v>
      </c>
      <c r="E295">
        <v>352</v>
      </c>
      <c r="F295" t="str">
        <f>HYPERLINK("https://portal.dnb.de/opac.htm?method=simpleSearch&amp;cqlMode=true&amp;query=idn%3D993974147", "Portal")</f>
        <v>Portal</v>
      </c>
      <c r="G295" t="s">
        <v>112</v>
      </c>
      <c r="H295" t="s">
        <v>1425</v>
      </c>
      <c r="I295" t="s">
        <v>1426</v>
      </c>
      <c r="J295" t="s">
        <v>1427</v>
      </c>
      <c r="K295" t="s">
        <v>1427</v>
      </c>
      <c r="L295" t="s">
        <v>1427</v>
      </c>
      <c r="N295" t="s">
        <v>1428</v>
      </c>
      <c r="O295" t="s">
        <v>117</v>
      </c>
      <c r="P295" t="s">
        <v>118</v>
      </c>
      <c r="Q295" t="s">
        <v>1429</v>
      </c>
      <c r="R295" t="s">
        <v>145</v>
      </c>
      <c r="S295" t="s">
        <v>121</v>
      </c>
      <c r="T295" t="s">
        <v>130</v>
      </c>
      <c r="U295" t="s">
        <v>178</v>
      </c>
      <c r="W295" t="s">
        <v>67</v>
      </c>
      <c r="X295" t="s">
        <v>124</v>
      </c>
      <c r="Y295">
        <v>0</v>
      </c>
      <c r="BN295">
        <v>0</v>
      </c>
    </row>
    <row r="296" spans="1:92" x14ac:dyDescent="0.2">
      <c r="A296" t="s">
        <v>111</v>
      </c>
      <c r="B296" t="b">
        <v>1</v>
      </c>
      <c r="F296" t="str">
        <f>HYPERLINK("https://portal.dnb.de/opac.htm?method=simpleSearch&amp;cqlMode=true&amp;query=idn%3D1242593578", "Portal")</f>
        <v>Portal</v>
      </c>
      <c r="G296" t="s">
        <v>415</v>
      </c>
      <c r="H296" t="s">
        <v>1430</v>
      </c>
      <c r="I296" t="s">
        <v>1431</v>
      </c>
      <c r="J296" t="s">
        <v>1432</v>
      </c>
      <c r="K296" t="s">
        <v>1432</v>
      </c>
      <c r="L296" t="s">
        <v>1432</v>
      </c>
      <c r="N296" t="s">
        <v>1433</v>
      </c>
      <c r="O296" t="s">
        <v>117</v>
      </c>
      <c r="Q296" t="s">
        <v>324</v>
      </c>
    </row>
    <row r="297" spans="1:92" x14ac:dyDescent="0.2">
      <c r="A297" t="s">
        <v>111</v>
      </c>
      <c r="B297" t="b">
        <v>0</v>
      </c>
      <c r="E297">
        <v>355</v>
      </c>
      <c r="F297" t="str">
        <f>HYPERLINK("https://portal.dnb.de/opac.htm?method=simpleSearch&amp;cqlMode=true&amp;query=idn%3D1066964335", "Portal")</f>
        <v>Portal</v>
      </c>
      <c r="H297" t="s">
        <v>1434</v>
      </c>
      <c r="I297" t="s">
        <v>1435</v>
      </c>
      <c r="L297" t="s">
        <v>1436</v>
      </c>
      <c r="BN297">
        <v>0</v>
      </c>
    </row>
    <row r="298" spans="1:92" x14ac:dyDescent="0.2">
      <c r="A298" t="s">
        <v>111</v>
      </c>
      <c r="B298" t="b">
        <v>1</v>
      </c>
      <c r="E298">
        <v>356</v>
      </c>
      <c r="F298" t="str">
        <f>HYPERLINK("https://portal.dnb.de/opac.htm?method=simpleSearch&amp;cqlMode=true&amp;query=idn%3D999514849", "Portal")</f>
        <v>Portal</v>
      </c>
      <c r="G298" t="s">
        <v>112</v>
      </c>
      <c r="H298" t="s">
        <v>1437</v>
      </c>
      <c r="I298" t="s">
        <v>1438</v>
      </c>
      <c r="J298" t="s">
        <v>1439</v>
      </c>
      <c r="K298" t="s">
        <v>1439</v>
      </c>
      <c r="L298" t="s">
        <v>1439</v>
      </c>
      <c r="N298" t="s">
        <v>1440</v>
      </c>
      <c r="O298" t="s">
        <v>117</v>
      </c>
      <c r="R298" t="s">
        <v>163</v>
      </c>
      <c r="S298" t="s">
        <v>121</v>
      </c>
      <c r="T298" t="s">
        <v>122</v>
      </c>
      <c r="U298" t="s">
        <v>203</v>
      </c>
      <c r="Y298">
        <v>0</v>
      </c>
      <c r="BN298">
        <v>0</v>
      </c>
    </row>
    <row r="299" spans="1:92" x14ac:dyDescent="0.2">
      <c r="A299" t="s">
        <v>111</v>
      </c>
      <c r="B299" t="b">
        <v>0</v>
      </c>
      <c r="F299" t="str">
        <f>HYPERLINK("https://portal.dnb.de/opac.htm?method=simpleSearch&amp;cqlMode=true&amp;query=idn%3D", "Portal")</f>
        <v>Portal</v>
      </c>
      <c r="L299" t="s">
        <v>1441</v>
      </c>
      <c r="P299" t="s">
        <v>118</v>
      </c>
      <c r="R299" t="s">
        <v>163</v>
      </c>
      <c r="S299" t="s">
        <v>146</v>
      </c>
      <c r="T299" t="s">
        <v>130</v>
      </c>
      <c r="U299" t="s">
        <v>1442</v>
      </c>
      <c r="Y299">
        <v>1</v>
      </c>
      <c r="AI299" t="s">
        <v>792</v>
      </c>
      <c r="AM299" t="s">
        <v>134</v>
      </c>
      <c r="AS299" t="s">
        <v>135</v>
      </c>
      <c r="BG299">
        <v>110</v>
      </c>
      <c r="BM299" t="s">
        <v>137</v>
      </c>
      <c r="BN299">
        <v>0</v>
      </c>
      <c r="BV299" t="s">
        <v>355</v>
      </c>
    </row>
    <row r="300" spans="1:92" x14ac:dyDescent="0.2">
      <c r="A300" t="s">
        <v>111</v>
      </c>
      <c r="B300" t="b">
        <v>1</v>
      </c>
      <c r="F300" t="str">
        <f>HYPERLINK("https://portal.dnb.de/opac.htm?method=simpleSearch&amp;cqlMode=true&amp;query=idn%3D1268573205", "Portal")</f>
        <v>Portal</v>
      </c>
      <c r="G300" t="s">
        <v>415</v>
      </c>
      <c r="H300" t="s">
        <v>1443</v>
      </c>
      <c r="I300" t="s">
        <v>1444</v>
      </c>
      <c r="J300" t="s">
        <v>1445</v>
      </c>
      <c r="K300" t="s">
        <v>1441</v>
      </c>
      <c r="L300" t="s">
        <v>1441</v>
      </c>
      <c r="N300" t="s">
        <v>1446</v>
      </c>
      <c r="O300" t="s">
        <v>117</v>
      </c>
      <c r="Q300" t="s">
        <v>1447</v>
      </c>
    </row>
    <row r="301" spans="1:92" x14ac:dyDescent="0.2">
      <c r="A301" t="s">
        <v>111</v>
      </c>
      <c r="B301" t="b">
        <v>1</v>
      </c>
      <c r="E301">
        <v>1201</v>
      </c>
      <c r="F301" t="str">
        <f>HYPERLINK("https://portal.dnb.de/opac.htm?method=simpleSearch&amp;cqlMode=true&amp;query=idn%3D994340486", "Portal")</f>
        <v>Portal</v>
      </c>
      <c r="G301" t="s">
        <v>112</v>
      </c>
      <c r="H301" t="s">
        <v>1448</v>
      </c>
      <c r="I301" t="s">
        <v>1449</v>
      </c>
      <c r="J301" t="s">
        <v>1445</v>
      </c>
      <c r="K301" t="s">
        <v>1445</v>
      </c>
      <c r="L301" t="s">
        <v>1445</v>
      </c>
      <c r="N301" t="s">
        <v>1450</v>
      </c>
      <c r="O301" t="s">
        <v>117</v>
      </c>
      <c r="P301" t="s">
        <v>118</v>
      </c>
      <c r="Q301" t="s">
        <v>673</v>
      </c>
      <c r="R301" t="s">
        <v>120</v>
      </c>
      <c r="S301" t="s">
        <v>121</v>
      </c>
      <c r="T301" t="s">
        <v>122</v>
      </c>
      <c r="U301" t="s">
        <v>123</v>
      </c>
      <c r="W301" t="s">
        <v>67</v>
      </c>
      <c r="X301" t="s">
        <v>124</v>
      </c>
      <c r="Y301">
        <v>0</v>
      </c>
      <c r="BN301">
        <v>0</v>
      </c>
    </row>
    <row r="302" spans="1:92" x14ac:dyDescent="0.2">
      <c r="A302" t="s">
        <v>111</v>
      </c>
      <c r="B302" t="b">
        <v>1</v>
      </c>
      <c r="E302">
        <v>1202</v>
      </c>
      <c r="F302" t="str">
        <f>HYPERLINK("https://portal.dnb.de/opac.htm?method=simpleSearch&amp;cqlMode=true&amp;query=idn%3D993918360", "Portal")</f>
        <v>Portal</v>
      </c>
      <c r="G302" t="s">
        <v>112</v>
      </c>
      <c r="H302" t="s">
        <v>1451</v>
      </c>
      <c r="I302" t="s">
        <v>1452</v>
      </c>
      <c r="J302" t="s">
        <v>1453</v>
      </c>
      <c r="K302" t="s">
        <v>1453</v>
      </c>
      <c r="L302" t="s">
        <v>1453</v>
      </c>
      <c r="N302" t="s">
        <v>1454</v>
      </c>
      <c r="O302" t="s">
        <v>117</v>
      </c>
      <c r="R302" t="s">
        <v>120</v>
      </c>
      <c r="S302" t="s">
        <v>121</v>
      </c>
      <c r="T302" t="s">
        <v>130</v>
      </c>
      <c r="W302" t="s">
        <v>67</v>
      </c>
      <c r="X302" t="s">
        <v>124</v>
      </c>
      <c r="Y302">
        <v>0</v>
      </c>
      <c r="BN302">
        <v>0</v>
      </c>
    </row>
    <row r="303" spans="1:92" x14ac:dyDescent="0.2">
      <c r="A303" t="s">
        <v>111</v>
      </c>
      <c r="B303" t="b">
        <v>1</v>
      </c>
      <c r="E303">
        <v>357</v>
      </c>
      <c r="F303" t="str">
        <f>HYPERLINK("https://portal.dnb.de/opac.htm?method=simpleSearch&amp;cqlMode=true&amp;query=idn%3D1066960046", "Portal")</f>
        <v>Portal</v>
      </c>
      <c r="G303" t="s">
        <v>125</v>
      </c>
      <c r="H303" t="s">
        <v>1455</v>
      </c>
      <c r="I303" t="s">
        <v>1456</v>
      </c>
      <c r="J303" t="s">
        <v>1457</v>
      </c>
      <c r="K303" t="s">
        <v>1457</v>
      </c>
      <c r="L303" t="s">
        <v>1457</v>
      </c>
      <c r="N303" t="s">
        <v>1458</v>
      </c>
      <c r="O303" t="s">
        <v>117</v>
      </c>
      <c r="P303" t="s">
        <v>118</v>
      </c>
      <c r="R303" t="s">
        <v>284</v>
      </c>
      <c r="S303" t="s">
        <v>121</v>
      </c>
      <c r="T303" t="s">
        <v>122</v>
      </c>
      <c r="U303" t="s">
        <v>203</v>
      </c>
      <c r="W303" t="s">
        <v>147</v>
      </c>
      <c r="X303" t="s">
        <v>124</v>
      </c>
      <c r="Y303">
        <v>1</v>
      </c>
      <c r="BN303">
        <v>0</v>
      </c>
    </row>
    <row r="304" spans="1:92" x14ac:dyDescent="0.2">
      <c r="A304" t="s">
        <v>111</v>
      </c>
      <c r="B304" t="b">
        <v>1</v>
      </c>
      <c r="E304">
        <v>358</v>
      </c>
      <c r="F304" t="str">
        <f>HYPERLINK("https://portal.dnb.de/opac.htm?method=simpleSearch&amp;cqlMode=true&amp;query=idn%3D1066871272", "Portal")</f>
        <v>Portal</v>
      </c>
      <c r="G304" t="s">
        <v>125</v>
      </c>
      <c r="H304" t="s">
        <v>1459</v>
      </c>
      <c r="I304" t="s">
        <v>1460</v>
      </c>
      <c r="J304" t="s">
        <v>1461</v>
      </c>
      <c r="K304" t="s">
        <v>1461</v>
      </c>
      <c r="L304" t="s">
        <v>1461</v>
      </c>
      <c r="N304" t="s">
        <v>1462</v>
      </c>
      <c r="O304" t="s">
        <v>117</v>
      </c>
      <c r="P304" t="s">
        <v>118</v>
      </c>
      <c r="R304" t="s">
        <v>1463</v>
      </c>
      <c r="S304" t="s">
        <v>121</v>
      </c>
      <c r="T304" t="s">
        <v>122</v>
      </c>
      <c r="U304" t="s">
        <v>247</v>
      </c>
      <c r="W304" t="s">
        <v>147</v>
      </c>
      <c r="X304" t="s">
        <v>124</v>
      </c>
      <c r="Y304">
        <v>3</v>
      </c>
      <c r="AI304" t="s">
        <v>365</v>
      </c>
      <c r="AK304" t="s">
        <v>132</v>
      </c>
      <c r="AM304" t="s">
        <v>134</v>
      </c>
      <c r="AQ304" t="s">
        <v>132</v>
      </c>
      <c r="AS304" t="s">
        <v>135</v>
      </c>
      <c r="AT304" t="s">
        <v>132</v>
      </c>
      <c r="BG304">
        <v>110</v>
      </c>
      <c r="BM304" t="s">
        <v>137</v>
      </c>
      <c r="BN304">
        <v>0</v>
      </c>
      <c r="BV304" t="s">
        <v>355</v>
      </c>
    </row>
    <row r="305" spans="1:74" x14ac:dyDescent="0.2">
      <c r="A305" t="s">
        <v>111</v>
      </c>
      <c r="B305" t="b">
        <v>1</v>
      </c>
      <c r="E305">
        <v>359</v>
      </c>
      <c r="F305" t="str">
        <f>HYPERLINK("https://portal.dnb.de/opac.htm?method=simpleSearch&amp;cqlMode=true&amp;query=idn%3D993883141", "Portal")</f>
        <v>Portal</v>
      </c>
      <c r="G305" t="s">
        <v>542</v>
      </c>
      <c r="H305" t="s">
        <v>1464</v>
      </c>
      <c r="I305" t="s">
        <v>1465</v>
      </c>
      <c r="J305" t="s">
        <v>1466</v>
      </c>
      <c r="K305" t="s">
        <v>1466</v>
      </c>
      <c r="L305" t="s">
        <v>1466</v>
      </c>
      <c r="N305" t="s">
        <v>1467</v>
      </c>
      <c r="O305" t="s">
        <v>1468</v>
      </c>
      <c r="P305" t="s">
        <v>118</v>
      </c>
      <c r="R305" t="s">
        <v>223</v>
      </c>
      <c r="S305" t="s">
        <v>146</v>
      </c>
      <c r="T305" t="s">
        <v>130</v>
      </c>
      <c r="U305" t="s">
        <v>131</v>
      </c>
      <c r="W305" t="s">
        <v>147</v>
      </c>
      <c r="X305" t="s">
        <v>124</v>
      </c>
      <c r="Y305">
        <v>1</v>
      </c>
      <c r="BN305">
        <v>0</v>
      </c>
    </row>
    <row r="306" spans="1:74" x14ac:dyDescent="0.2">
      <c r="A306" t="s">
        <v>111</v>
      </c>
      <c r="B306" t="b">
        <v>1</v>
      </c>
      <c r="E306">
        <v>360</v>
      </c>
      <c r="F306" t="str">
        <f>HYPERLINK("https://portal.dnb.de/opac.htm?method=simpleSearch&amp;cqlMode=true&amp;query=idn%3D993882951", "Portal")</f>
        <v>Portal</v>
      </c>
      <c r="G306" t="s">
        <v>542</v>
      </c>
      <c r="H306" t="s">
        <v>1469</v>
      </c>
      <c r="I306" t="s">
        <v>1470</v>
      </c>
      <c r="J306" t="s">
        <v>1466</v>
      </c>
      <c r="K306" t="s">
        <v>1466</v>
      </c>
      <c r="L306" t="s">
        <v>1466</v>
      </c>
      <c r="N306" t="s">
        <v>1467</v>
      </c>
      <c r="O306" t="s">
        <v>1471</v>
      </c>
      <c r="BN306">
        <v>0</v>
      </c>
    </row>
    <row r="307" spans="1:74" x14ac:dyDescent="0.2">
      <c r="A307" t="s">
        <v>111</v>
      </c>
      <c r="B307" t="b">
        <v>1</v>
      </c>
      <c r="E307">
        <v>361</v>
      </c>
      <c r="F307" t="str">
        <f>HYPERLINK("https://portal.dnb.de/opac.htm?method=simpleSearch&amp;cqlMode=true&amp;query=idn%3D993882900", "Portal")</f>
        <v>Portal</v>
      </c>
      <c r="G307" t="s">
        <v>542</v>
      </c>
      <c r="H307" t="s">
        <v>1472</v>
      </c>
      <c r="I307" t="s">
        <v>1473</v>
      </c>
      <c r="J307" t="s">
        <v>1466</v>
      </c>
      <c r="K307" t="s">
        <v>1466</v>
      </c>
      <c r="L307" t="s">
        <v>1466</v>
      </c>
      <c r="N307" t="s">
        <v>1467</v>
      </c>
      <c r="O307" t="s">
        <v>1474</v>
      </c>
      <c r="BN307">
        <v>0</v>
      </c>
    </row>
    <row r="308" spans="1:74" x14ac:dyDescent="0.2">
      <c r="A308" t="s">
        <v>111</v>
      </c>
      <c r="B308" t="b">
        <v>1</v>
      </c>
      <c r="E308">
        <v>362</v>
      </c>
      <c r="F308" t="str">
        <f>HYPERLINK("https://portal.dnb.de/opac.htm?method=simpleSearch&amp;cqlMode=true&amp;query=idn%3D99388282X", "Portal")</f>
        <v>Portal</v>
      </c>
      <c r="G308" t="s">
        <v>542</v>
      </c>
      <c r="H308" t="s">
        <v>1475</v>
      </c>
      <c r="I308" t="s">
        <v>1476</v>
      </c>
      <c r="J308" t="s">
        <v>1466</v>
      </c>
      <c r="K308" t="s">
        <v>1466</v>
      </c>
      <c r="L308" t="s">
        <v>1466</v>
      </c>
      <c r="N308" t="s">
        <v>1467</v>
      </c>
      <c r="O308" t="s">
        <v>1477</v>
      </c>
      <c r="BN308">
        <v>0</v>
      </c>
    </row>
    <row r="309" spans="1:74" x14ac:dyDescent="0.2">
      <c r="A309" t="s">
        <v>111</v>
      </c>
      <c r="B309" t="b">
        <v>1</v>
      </c>
      <c r="E309">
        <v>363</v>
      </c>
      <c r="F309" t="str">
        <f>HYPERLINK("https://portal.dnb.de/opac.htm?method=simpleSearch&amp;cqlMode=true&amp;query=idn%3D993995845", "Portal")</f>
        <v>Portal</v>
      </c>
      <c r="G309" t="s">
        <v>112</v>
      </c>
      <c r="H309" t="s">
        <v>1478</v>
      </c>
      <c r="I309" t="s">
        <v>1479</v>
      </c>
      <c r="J309" t="s">
        <v>1480</v>
      </c>
      <c r="K309" t="s">
        <v>1480</v>
      </c>
      <c r="L309" t="s">
        <v>1480</v>
      </c>
      <c r="N309" t="s">
        <v>1481</v>
      </c>
      <c r="O309" t="s">
        <v>117</v>
      </c>
      <c r="P309" t="s">
        <v>118</v>
      </c>
      <c r="R309" t="s">
        <v>480</v>
      </c>
      <c r="S309" t="s">
        <v>121</v>
      </c>
      <c r="T309" t="s">
        <v>122</v>
      </c>
      <c r="U309" t="s">
        <v>203</v>
      </c>
      <c r="Y309">
        <v>1</v>
      </c>
      <c r="AI309" t="s">
        <v>325</v>
      </c>
      <c r="AK309" t="s">
        <v>132</v>
      </c>
      <c r="AL309" t="s">
        <v>132</v>
      </c>
      <c r="AM309" t="s">
        <v>134</v>
      </c>
      <c r="AS309" t="s">
        <v>135</v>
      </c>
      <c r="AT309" t="s">
        <v>132</v>
      </c>
      <c r="BG309">
        <v>80</v>
      </c>
      <c r="BM309" t="s">
        <v>137</v>
      </c>
      <c r="BN309">
        <v>0</v>
      </c>
      <c r="BR309" t="s">
        <v>132</v>
      </c>
    </row>
    <row r="310" spans="1:74" x14ac:dyDescent="0.2">
      <c r="A310" t="s">
        <v>111</v>
      </c>
      <c r="B310" t="b">
        <v>1</v>
      </c>
      <c r="E310">
        <v>364</v>
      </c>
      <c r="F310" t="str">
        <f>HYPERLINK("https://portal.dnb.de/opac.htm?method=simpleSearch&amp;cqlMode=true&amp;query=idn%3D1066800138", "Portal")</f>
        <v>Portal</v>
      </c>
      <c r="G310" t="s">
        <v>125</v>
      </c>
      <c r="H310" t="s">
        <v>1482</v>
      </c>
      <c r="I310" t="s">
        <v>1483</v>
      </c>
      <c r="J310" t="s">
        <v>1484</v>
      </c>
      <c r="K310" t="s">
        <v>1484</v>
      </c>
      <c r="L310" t="s">
        <v>1484</v>
      </c>
      <c r="N310" t="s">
        <v>1485</v>
      </c>
      <c r="O310" t="s">
        <v>117</v>
      </c>
      <c r="P310" t="s">
        <v>118</v>
      </c>
      <c r="R310" t="s">
        <v>145</v>
      </c>
      <c r="S310" t="s">
        <v>121</v>
      </c>
      <c r="T310" t="s">
        <v>834</v>
      </c>
      <c r="W310" t="s">
        <v>67</v>
      </c>
      <c r="X310" t="s">
        <v>124</v>
      </c>
      <c r="Y310">
        <v>0</v>
      </c>
      <c r="BN310">
        <v>0</v>
      </c>
    </row>
    <row r="311" spans="1:74" x14ac:dyDescent="0.2">
      <c r="A311" t="s">
        <v>111</v>
      </c>
      <c r="B311" t="b">
        <v>1</v>
      </c>
      <c r="E311">
        <v>365</v>
      </c>
      <c r="F311" t="str">
        <f>HYPERLINK("https://portal.dnb.de/opac.htm?method=simpleSearch&amp;cqlMode=true&amp;query=idn%3D99993922X", "Portal")</f>
        <v>Portal</v>
      </c>
      <c r="G311" t="s">
        <v>112</v>
      </c>
      <c r="H311" t="s">
        <v>1486</v>
      </c>
      <c r="I311" t="s">
        <v>1487</v>
      </c>
      <c r="J311" t="s">
        <v>1488</v>
      </c>
      <c r="K311" t="s">
        <v>1488</v>
      </c>
      <c r="L311" t="s">
        <v>1488</v>
      </c>
      <c r="N311" t="s">
        <v>1489</v>
      </c>
      <c r="O311" t="s">
        <v>117</v>
      </c>
      <c r="R311" t="s">
        <v>257</v>
      </c>
      <c r="S311" t="s">
        <v>146</v>
      </c>
      <c r="T311" t="s">
        <v>130</v>
      </c>
      <c r="U311" t="s">
        <v>203</v>
      </c>
      <c r="Y311">
        <v>1</v>
      </c>
      <c r="AI311" t="s">
        <v>135</v>
      </c>
      <c r="AM311" t="s">
        <v>134</v>
      </c>
      <c r="AS311" t="s">
        <v>135</v>
      </c>
      <c r="BG311">
        <v>60</v>
      </c>
      <c r="BM311" t="s">
        <v>137</v>
      </c>
      <c r="BN311">
        <v>0</v>
      </c>
      <c r="BV311" t="s">
        <v>355</v>
      </c>
    </row>
    <row r="312" spans="1:74" x14ac:dyDescent="0.2">
      <c r="A312" t="s">
        <v>111</v>
      </c>
      <c r="B312" t="b">
        <v>1</v>
      </c>
      <c r="E312">
        <v>366</v>
      </c>
      <c r="F312" t="str">
        <f>HYPERLINK("https://portal.dnb.de/opac.htm?method=simpleSearch&amp;cqlMode=true&amp;query=idn%3D998831123", "Portal")</f>
        <v>Portal</v>
      </c>
      <c r="G312" t="s">
        <v>542</v>
      </c>
      <c r="H312" t="s">
        <v>1490</v>
      </c>
      <c r="I312" t="s">
        <v>1491</v>
      </c>
      <c r="J312" t="s">
        <v>1492</v>
      </c>
      <c r="K312" t="s">
        <v>1492</v>
      </c>
      <c r="L312" t="s">
        <v>1492</v>
      </c>
      <c r="N312" t="s">
        <v>1493</v>
      </c>
      <c r="O312" t="s">
        <v>1494</v>
      </c>
      <c r="P312" t="s">
        <v>118</v>
      </c>
      <c r="Q312" t="s">
        <v>1495</v>
      </c>
      <c r="R312" t="s">
        <v>120</v>
      </c>
      <c r="S312" t="s">
        <v>121</v>
      </c>
      <c r="T312" t="s">
        <v>130</v>
      </c>
      <c r="W312" t="s">
        <v>67</v>
      </c>
      <c r="X312" t="s">
        <v>124</v>
      </c>
      <c r="Y312">
        <v>1</v>
      </c>
      <c r="AI312" t="s">
        <v>133</v>
      </c>
      <c r="AL312" t="s">
        <v>132</v>
      </c>
      <c r="AM312" t="s">
        <v>196</v>
      </c>
      <c r="AS312" t="s">
        <v>135</v>
      </c>
      <c r="BG312">
        <v>80</v>
      </c>
      <c r="BM312" t="s">
        <v>137</v>
      </c>
      <c r="BN312">
        <v>0</v>
      </c>
      <c r="BP312" t="s">
        <v>181</v>
      </c>
    </row>
    <row r="313" spans="1:74" x14ac:dyDescent="0.2">
      <c r="A313" t="s">
        <v>111</v>
      </c>
      <c r="B313" t="b">
        <v>1</v>
      </c>
      <c r="E313">
        <v>367</v>
      </c>
      <c r="F313" t="str">
        <f>HYPERLINK("https://portal.dnb.de/opac.htm?method=simpleSearch&amp;cqlMode=true&amp;query=idn%3D998831182", "Portal")</f>
        <v>Portal</v>
      </c>
      <c r="G313" t="s">
        <v>542</v>
      </c>
      <c r="H313" t="s">
        <v>1496</v>
      </c>
      <c r="I313" t="s">
        <v>1497</v>
      </c>
      <c r="J313" t="s">
        <v>1498</v>
      </c>
      <c r="K313" t="s">
        <v>1498</v>
      </c>
      <c r="L313" t="s">
        <v>1498</v>
      </c>
      <c r="N313" t="s">
        <v>1493</v>
      </c>
      <c r="O313" t="s">
        <v>1499</v>
      </c>
      <c r="P313" t="s">
        <v>118</v>
      </c>
      <c r="Q313" t="s">
        <v>1495</v>
      </c>
      <c r="R313" t="s">
        <v>120</v>
      </c>
      <c r="S313" t="s">
        <v>121</v>
      </c>
      <c r="T313" t="s">
        <v>130</v>
      </c>
      <c r="W313" t="s">
        <v>67</v>
      </c>
      <c r="X313" t="s">
        <v>124</v>
      </c>
      <c r="Y313">
        <v>2</v>
      </c>
      <c r="AI313" t="s">
        <v>133</v>
      </c>
      <c r="AM313" t="s">
        <v>196</v>
      </c>
      <c r="AS313" t="s">
        <v>135</v>
      </c>
      <c r="BG313">
        <v>45</v>
      </c>
      <c r="BM313" t="s">
        <v>137</v>
      </c>
      <c r="BN313">
        <v>0</v>
      </c>
      <c r="BP313" t="s">
        <v>181</v>
      </c>
      <c r="BV313" t="s">
        <v>355</v>
      </c>
    </row>
    <row r="314" spans="1:74" x14ac:dyDescent="0.2">
      <c r="A314" t="s">
        <v>111</v>
      </c>
      <c r="B314" t="b">
        <v>1</v>
      </c>
      <c r="E314">
        <v>368</v>
      </c>
      <c r="F314" t="str">
        <f>HYPERLINK("https://portal.dnb.de/opac.htm?method=simpleSearch&amp;cqlMode=true&amp;query=idn%3D993862233", "Portal")</f>
        <v>Portal</v>
      </c>
      <c r="G314" t="s">
        <v>112</v>
      </c>
      <c r="H314" t="s">
        <v>1500</v>
      </c>
      <c r="I314" t="s">
        <v>1501</v>
      </c>
      <c r="J314" t="s">
        <v>1502</v>
      </c>
      <c r="K314" t="s">
        <v>1502</v>
      </c>
      <c r="L314" t="s">
        <v>1502</v>
      </c>
      <c r="N314" t="s">
        <v>1503</v>
      </c>
      <c r="O314" t="s">
        <v>117</v>
      </c>
      <c r="P314" t="s">
        <v>118</v>
      </c>
      <c r="R314" t="s">
        <v>157</v>
      </c>
      <c r="S314" t="s">
        <v>121</v>
      </c>
      <c r="T314" t="s">
        <v>130</v>
      </c>
      <c r="U314" t="s">
        <v>203</v>
      </c>
      <c r="W314" t="s">
        <v>67</v>
      </c>
      <c r="X314" t="s">
        <v>124</v>
      </c>
      <c r="Y314">
        <v>0</v>
      </c>
      <c r="BN314">
        <v>0</v>
      </c>
    </row>
    <row r="315" spans="1:74" x14ac:dyDescent="0.2">
      <c r="A315" t="s">
        <v>111</v>
      </c>
      <c r="B315" t="b">
        <v>1</v>
      </c>
      <c r="E315">
        <v>369</v>
      </c>
      <c r="F315" t="str">
        <f>HYPERLINK("https://portal.dnb.de/opac.htm?method=simpleSearch&amp;cqlMode=true&amp;query=idn%3D993903487", "Portal")</f>
        <v>Portal</v>
      </c>
      <c r="G315" t="s">
        <v>112</v>
      </c>
      <c r="H315" t="s">
        <v>1504</v>
      </c>
      <c r="I315" t="s">
        <v>1505</v>
      </c>
      <c r="J315" t="s">
        <v>1506</v>
      </c>
      <c r="K315" t="s">
        <v>1506</v>
      </c>
      <c r="L315" t="s">
        <v>1506</v>
      </c>
      <c r="N315" t="s">
        <v>1507</v>
      </c>
      <c r="O315" t="s">
        <v>117</v>
      </c>
      <c r="P315" t="s">
        <v>118</v>
      </c>
      <c r="R315" t="s">
        <v>1508</v>
      </c>
      <c r="S315" t="s">
        <v>121</v>
      </c>
      <c r="T315" t="s">
        <v>122</v>
      </c>
      <c r="Y315">
        <v>1</v>
      </c>
      <c r="BN315">
        <v>0</v>
      </c>
    </row>
    <row r="316" spans="1:74" x14ac:dyDescent="0.2">
      <c r="A316" t="s">
        <v>111</v>
      </c>
      <c r="B316" t="b">
        <v>1</v>
      </c>
      <c r="E316">
        <v>370</v>
      </c>
      <c r="F316" t="str">
        <f>HYPERLINK("https://portal.dnb.de/opac.htm?method=simpleSearch&amp;cqlMode=true&amp;query=idn%3D1066963770", "Portal")</f>
        <v>Portal</v>
      </c>
      <c r="G316" t="s">
        <v>125</v>
      </c>
      <c r="H316" t="s">
        <v>1509</v>
      </c>
      <c r="I316" t="s">
        <v>1510</v>
      </c>
      <c r="J316" t="s">
        <v>1511</v>
      </c>
      <c r="K316" t="s">
        <v>1511</v>
      </c>
      <c r="L316" t="s">
        <v>1511</v>
      </c>
      <c r="N316" t="s">
        <v>1512</v>
      </c>
      <c r="O316" t="s">
        <v>117</v>
      </c>
      <c r="P316" t="s">
        <v>118</v>
      </c>
      <c r="R316" t="s">
        <v>120</v>
      </c>
      <c r="S316" t="s">
        <v>121</v>
      </c>
      <c r="T316" t="s">
        <v>130</v>
      </c>
      <c r="U316" t="s">
        <v>1513</v>
      </c>
      <c r="Y316">
        <v>3</v>
      </c>
      <c r="BN316">
        <v>0</v>
      </c>
    </row>
    <row r="317" spans="1:74" x14ac:dyDescent="0.2">
      <c r="A317" t="s">
        <v>111</v>
      </c>
      <c r="B317" t="b">
        <v>1</v>
      </c>
      <c r="E317">
        <v>371</v>
      </c>
      <c r="F317" t="str">
        <f>HYPERLINK("https://portal.dnb.de/opac.htm?method=simpleSearch&amp;cqlMode=true&amp;query=idn%3D1066957886", "Portal")</f>
        <v>Portal</v>
      </c>
      <c r="G317" t="s">
        <v>125</v>
      </c>
      <c r="H317" t="s">
        <v>1514</v>
      </c>
      <c r="I317" t="s">
        <v>1515</v>
      </c>
      <c r="J317" t="s">
        <v>1516</v>
      </c>
      <c r="K317" t="s">
        <v>1516</v>
      </c>
      <c r="L317" t="s">
        <v>1516</v>
      </c>
      <c r="N317" t="s">
        <v>1517</v>
      </c>
      <c r="O317" t="s">
        <v>117</v>
      </c>
      <c r="P317" t="s">
        <v>118</v>
      </c>
      <c r="R317" t="s">
        <v>190</v>
      </c>
      <c r="S317" t="s">
        <v>121</v>
      </c>
      <c r="T317" t="s">
        <v>122</v>
      </c>
      <c r="U317" t="s">
        <v>203</v>
      </c>
      <c r="Y317">
        <v>0</v>
      </c>
      <c r="BN317">
        <v>0</v>
      </c>
    </row>
    <row r="318" spans="1:74" x14ac:dyDescent="0.2">
      <c r="A318" t="s">
        <v>111</v>
      </c>
      <c r="B318" t="b">
        <v>1</v>
      </c>
      <c r="E318">
        <v>372</v>
      </c>
      <c r="F318" t="str">
        <f>HYPERLINK("https://portal.dnb.de/opac.htm?method=simpleSearch&amp;cqlMode=true&amp;query=idn%3D993931669", "Portal")</f>
        <v>Portal</v>
      </c>
      <c r="G318" t="s">
        <v>112</v>
      </c>
      <c r="H318" t="s">
        <v>1518</v>
      </c>
      <c r="I318" t="s">
        <v>1519</v>
      </c>
      <c r="J318" t="s">
        <v>1520</v>
      </c>
      <c r="K318" t="s">
        <v>1520</v>
      </c>
      <c r="L318" t="s">
        <v>1520</v>
      </c>
      <c r="N318" t="s">
        <v>1521</v>
      </c>
      <c r="O318" t="s">
        <v>117</v>
      </c>
      <c r="R318" t="s">
        <v>163</v>
      </c>
      <c r="S318" t="s">
        <v>121</v>
      </c>
      <c r="T318" t="s">
        <v>122</v>
      </c>
      <c r="Y318">
        <v>0</v>
      </c>
      <c r="BN318">
        <v>0</v>
      </c>
    </row>
    <row r="319" spans="1:74" x14ac:dyDescent="0.2">
      <c r="A319" t="s">
        <v>111</v>
      </c>
      <c r="B319" t="b">
        <v>1</v>
      </c>
      <c r="E319">
        <v>374</v>
      </c>
      <c r="F319" t="str">
        <f>HYPERLINK("https://portal.dnb.de/opac.htm?method=simpleSearch&amp;cqlMode=true&amp;query=idn%3D993931669", "Portal")</f>
        <v>Portal</v>
      </c>
      <c r="G319" t="s">
        <v>112</v>
      </c>
      <c r="H319" t="s">
        <v>1522</v>
      </c>
      <c r="I319" t="s">
        <v>1519</v>
      </c>
      <c r="J319" t="s">
        <v>1523</v>
      </c>
      <c r="K319" t="s">
        <v>1523</v>
      </c>
      <c r="L319" t="s">
        <v>1524</v>
      </c>
      <c r="N319" t="s">
        <v>1521</v>
      </c>
      <c r="O319" t="s">
        <v>117</v>
      </c>
      <c r="R319" t="s">
        <v>257</v>
      </c>
      <c r="S319" t="s">
        <v>121</v>
      </c>
      <c r="T319" t="s">
        <v>122</v>
      </c>
      <c r="Y319">
        <v>1</v>
      </c>
      <c r="BN319">
        <v>0</v>
      </c>
    </row>
    <row r="320" spans="1:74" x14ac:dyDescent="0.2">
      <c r="A320" t="s">
        <v>111</v>
      </c>
      <c r="B320" t="b">
        <v>1</v>
      </c>
      <c r="E320">
        <v>373</v>
      </c>
      <c r="F320" t="str">
        <f>HYPERLINK("https://portal.dnb.de/opac.htm?method=simpleSearch&amp;cqlMode=true&amp;query=idn%3D1002178991", "Portal")</f>
        <v>Portal</v>
      </c>
      <c r="G320" t="s">
        <v>112</v>
      </c>
      <c r="H320" t="s">
        <v>1525</v>
      </c>
      <c r="I320" t="s">
        <v>1526</v>
      </c>
      <c r="J320" t="s">
        <v>1527</v>
      </c>
      <c r="K320" t="s">
        <v>1527</v>
      </c>
      <c r="L320" t="s">
        <v>1527</v>
      </c>
      <c r="N320" t="s">
        <v>1528</v>
      </c>
      <c r="O320" t="s">
        <v>117</v>
      </c>
      <c r="R320" t="s">
        <v>145</v>
      </c>
      <c r="S320" t="s">
        <v>146</v>
      </c>
      <c r="T320" t="s">
        <v>130</v>
      </c>
      <c r="U320" t="s">
        <v>458</v>
      </c>
      <c r="W320" t="s">
        <v>67</v>
      </c>
      <c r="X320" t="s">
        <v>124</v>
      </c>
      <c r="Y320">
        <v>0</v>
      </c>
      <c r="AI320" t="s">
        <v>149</v>
      </c>
      <c r="AL320" t="s">
        <v>132</v>
      </c>
      <c r="AM320" t="s">
        <v>196</v>
      </c>
      <c r="AS320" t="s">
        <v>135</v>
      </c>
      <c r="BE320">
        <v>0</v>
      </c>
      <c r="BG320">
        <v>110</v>
      </c>
      <c r="BK320" t="s">
        <v>132</v>
      </c>
      <c r="BM320" t="s">
        <v>137</v>
      </c>
      <c r="BN320">
        <v>0</v>
      </c>
      <c r="BP320" t="s">
        <v>181</v>
      </c>
    </row>
    <row r="321" spans="1:92" x14ac:dyDescent="0.2">
      <c r="A321" t="s">
        <v>111</v>
      </c>
      <c r="B321" t="b">
        <v>1</v>
      </c>
      <c r="E321">
        <v>375</v>
      </c>
      <c r="F321" t="str">
        <f>HYPERLINK("https://portal.dnb.de/opac.htm?method=simpleSearch&amp;cqlMode=true&amp;query=idn%3D994216866", "Portal")</f>
        <v>Portal</v>
      </c>
      <c r="G321" t="s">
        <v>112</v>
      </c>
      <c r="H321" t="s">
        <v>1529</v>
      </c>
      <c r="I321" t="s">
        <v>1530</v>
      </c>
      <c r="J321" t="s">
        <v>1531</v>
      </c>
      <c r="K321" t="s">
        <v>1531</v>
      </c>
      <c r="L321" t="s">
        <v>1531</v>
      </c>
      <c r="N321" t="s">
        <v>1532</v>
      </c>
      <c r="O321" t="s">
        <v>117</v>
      </c>
      <c r="P321" t="s">
        <v>118</v>
      </c>
      <c r="R321" t="s">
        <v>354</v>
      </c>
      <c r="S321" t="s">
        <v>146</v>
      </c>
      <c r="T321" t="s">
        <v>122</v>
      </c>
      <c r="U321" t="s">
        <v>203</v>
      </c>
      <c r="W321" t="s">
        <v>147</v>
      </c>
      <c r="X321" t="s">
        <v>124</v>
      </c>
      <c r="Y321">
        <v>1</v>
      </c>
      <c r="AI321" t="s">
        <v>646</v>
      </c>
      <c r="AK321" t="s">
        <v>132</v>
      </c>
      <c r="AM321" t="s">
        <v>150</v>
      </c>
      <c r="AS321" t="s">
        <v>135</v>
      </c>
      <c r="BG321">
        <v>110</v>
      </c>
      <c r="BM321" t="s">
        <v>137</v>
      </c>
      <c r="BN321">
        <v>0</v>
      </c>
      <c r="BR321" t="s">
        <v>132</v>
      </c>
    </row>
    <row r="322" spans="1:92" x14ac:dyDescent="0.2">
      <c r="A322" t="s">
        <v>111</v>
      </c>
      <c r="B322" t="b">
        <v>1</v>
      </c>
      <c r="C322" t="s">
        <v>132</v>
      </c>
      <c r="E322">
        <v>378</v>
      </c>
      <c r="F322" t="str">
        <f>HYPERLINK("https://portal.dnb.de/opac.htm?method=simpleSearch&amp;cqlMode=true&amp;query=idn%3D994216866", "Portal")</f>
        <v>Portal</v>
      </c>
      <c r="G322" t="s">
        <v>112</v>
      </c>
      <c r="H322" t="s">
        <v>1533</v>
      </c>
      <c r="I322" t="s">
        <v>1530</v>
      </c>
      <c r="J322" t="s">
        <v>1534</v>
      </c>
      <c r="K322" t="s">
        <v>1534</v>
      </c>
      <c r="L322" t="s">
        <v>1534</v>
      </c>
      <c r="N322" t="s">
        <v>1532</v>
      </c>
      <c r="O322" t="s">
        <v>117</v>
      </c>
      <c r="R322" t="s">
        <v>223</v>
      </c>
      <c r="S322" t="s">
        <v>146</v>
      </c>
      <c r="T322" t="s">
        <v>130</v>
      </c>
      <c r="W322" t="s">
        <v>147</v>
      </c>
      <c r="X322" t="s">
        <v>124</v>
      </c>
      <c r="Y322">
        <v>2</v>
      </c>
      <c r="AI322" t="s">
        <v>149</v>
      </c>
      <c r="AM322" t="s">
        <v>196</v>
      </c>
      <c r="AS322" t="s">
        <v>135</v>
      </c>
      <c r="BG322">
        <v>60</v>
      </c>
      <c r="BM322" t="s">
        <v>180</v>
      </c>
      <c r="BN322">
        <v>2</v>
      </c>
      <c r="BR322" t="s">
        <v>132</v>
      </c>
      <c r="BZ322" t="s">
        <v>132</v>
      </c>
      <c r="CB322" t="s">
        <v>132</v>
      </c>
      <c r="CD322" t="s">
        <v>204</v>
      </c>
      <c r="CL322" t="s">
        <v>657</v>
      </c>
      <c r="CM322">
        <v>2</v>
      </c>
      <c r="CN322" t="s">
        <v>1535</v>
      </c>
    </row>
    <row r="323" spans="1:92" x14ac:dyDescent="0.2">
      <c r="A323" t="s">
        <v>111</v>
      </c>
      <c r="B323" t="b">
        <v>1</v>
      </c>
      <c r="E323">
        <v>379</v>
      </c>
      <c r="F323" t="str">
        <f>HYPERLINK("https://portal.dnb.de/opac.htm?method=simpleSearch&amp;cqlMode=true&amp;query=idn%3D994123973", "Portal")</f>
        <v>Portal</v>
      </c>
      <c r="G323" t="s">
        <v>112</v>
      </c>
      <c r="H323" t="s">
        <v>1536</v>
      </c>
      <c r="I323" t="s">
        <v>1537</v>
      </c>
      <c r="J323" t="s">
        <v>1538</v>
      </c>
      <c r="K323" t="s">
        <v>1538</v>
      </c>
      <c r="L323" t="s">
        <v>1538</v>
      </c>
      <c r="N323" t="s">
        <v>1539</v>
      </c>
      <c r="O323" t="s">
        <v>117</v>
      </c>
      <c r="R323" t="s">
        <v>163</v>
      </c>
      <c r="S323" t="s">
        <v>146</v>
      </c>
      <c r="T323" t="s">
        <v>130</v>
      </c>
      <c r="U323" t="s">
        <v>203</v>
      </c>
      <c r="Y323">
        <v>0</v>
      </c>
      <c r="BN323">
        <v>0</v>
      </c>
    </row>
    <row r="324" spans="1:92" x14ac:dyDescent="0.2">
      <c r="A324" t="s">
        <v>111</v>
      </c>
      <c r="B324" t="b">
        <v>1</v>
      </c>
      <c r="F324" t="str">
        <f>HYPERLINK("https://portal.dnb.de/opac.htm?method=simpleSearch&amp;cqlMode=true&amp;query=idn%3D1137896515", "Portal")</f>
        <v>Portal</v>
      </c>
      <c r="G324" t="s">
        <v>319</v>
      </c>
      <c r="H324" t="s">
        <v>1540</v>
      </c>
      <c r="I324" t="s">
        <v>1541</v>
      </c>
      <c r="J324" t="s">
        <v>1542</v>
      </c>
      <c r="K324" t="s">
        <v>1542</v>
      </c>
      <c r="L324" t="s">
        <v>1542</v>
      </c>
      <c r="N324" t="s">
        <v>323</v>
      </c>
      <c r="O324" t="s">
        <v>117</v>
      </c>
      <c r="P324" t="s">
        <v>118</v>
      </c>
      <c r="R324" t="s">
        <v>145</v>
      </c>
      <c r="S324" t="s">
        <v>121</v>
      </c>
      <c r="T324" t="s">
        <v>130</v>
      </c>
      <c r="U324" t="s">
        <v>203</v>
      </c>
      <c r="W324" t="s">
        <v>147</v>
      </c>
      <c r="X324" t="s">
        <v>124</v>
      </c>
      <c r="Y324">
        <v>1</v>
      </c>
      <c r="BN324">
        <v>0</v>
      </c>
    </row>
    <row r="325" spans="1:92" x14ac:dyDescent="0.2">
      <c r="A325" t="s">
        <v>111</v>
      </c>
      <c r="B325" t="b">
        <v>1</v>
      </c>
      <c r="E325">
        <v>377</v>
      </c>
      <c r="F325" t="str">
        <f>HYPERLINK("https://portal.dnb.de/opac.htm?method=simpleSearch&amp;cqlMode=true&amp;query=idn%3D1001488202", "Portal")</f>
        <v>Portal</v>
      </c>
      <c r="G325" t="s">
        <v>112</v>
      </c>
      <c r="H325" t="s">
        <v>1543</v>
      </c>
      <c r="I325" t="s">
        <v>1544</v>
      </c>
      <c r="J325" t="s">
        <v>1545</v>
      </c>
      <c r="K325" t="s">
        <v>1545</v>
      </c>
      <c r="L325" t="s">
        <v>1545</v>
      </c>
      <c r="N325" t="s">
        <v>1546</v>
      </c>
      <c r="O325" t="s">
        <v>117</v>
      </c>
      <c r="R325" t="s">
        <v>157</v>
      </c>
      <c r="S325" t="s">
        <v>121</v>
      </c>
      <c r="T325" t="s">
        <v>122</v>
      </c>
      <c r="U325" t="s">
        <v>203</v>
      </c>
      <c r="W325" t="s">
        <v>68</v>
      </c>
      <c r="X325" t="s">
        <v>124</v>
      </c>
      <c r="Y325">
        <v>1</v>
      </c>
      <c r="BN325">
        <v>0</v>
      </c>
    </row>
    <row r="326" spans="1:92" x14ac:dyDescent="0.2">
      <c r="A326" t="s">
        <v>111</v>
      </c>
      <c r="B326" t="b">
        <v>1</v>
      </c>
      <c r="E326">
        <v>381</v>
      </c>
      <c r="F326" t="str">
        <f>HYPERLINK("https://portal.dnb.de/opac.htm?method=simpleSearch&amp;cqlMode=true&amp;query=idn%3D995542139", "Portal")</f>
        <v>Portal</v>
      </c>
      <c r="G326" t="s">
        <v>112</v>
      </c>
      <c r="H326" t="s">
        <v>1547</v>
      </c>
      <c r="I326" t="s">
        <v>1548</v>
      </c>
      <c r="J326" t="s">
        <v>1549</v>
      </c>
      <c r="K326" t="s">
        <v>1549</v>
      </c>
      <c r="L326" t="s">
        <v>1549</v>
      </c>
      <c r="N326" t="s">
        <v>1550</v>
      </c>
      <c r="O326" t="s">
        <v>117</v>
      </c>
      <c r="P326" t="s">
        <v>118</v>
      </c>
      <c r="R326" t="s">
        <v>163</v>
      </c>
      <c r="T326" t="s">
        <v>130</v>
      </c>
      <c r="U326" t="s">
        <v>203</v>
      </c>
      <c r="Y326">
        <v>0</v>
      </c>
      <c r="BN326">
        <v>0</v>
      </c>
    </row>
    <row r="327" spans="1:92" x14ac:dyDescent="0.2">
      <c r="A327" t="s">
        <v>111</v>
      </c>
      <c r="B327" t="b">
        <v>1</v>
      </c>
      <c r="E327">
        <v>1203</v>
      </c>
      <c r="F327" t="str">
        <f>HYPERLINK("https://portal.dnb.de/opac.htm?method=simpleSearch&amp;cqlMode=true&amp;query=idn%3D997855436", "Portal")</f>
        <v>Portal</v>
      </c>
      <c r="G327" t="s">
        <v>112</v>
      </c>
      <c r="H327" t="s">
        <v>1551</v>
      </c>
      <c r="I327" t="s">
        <v>1552</v>
      </c>
      <c r="J327" t="s">
        <v>1553</v>
      </c>
      <c r="K327" t="s">
        <v>1553</v>
      </c>
      <c r="L327" t="s">
        <v>1553</v>
      </c>
      <c r="N327" t="s">
        <v>1554</v>
      </c>
      <c r="O327" t="s">
        <v>117</v>
      </c>
      <c r="R327" t="s">
        <v>190</v>
      </c>
      <c r="S327" t="s">
        <v>121</v>
      </c>
      <c r="T327" t="s">
        <v>122</v>
      </c>
      <c r="Y327">
        <v>0</v>
      </c>
      <c r="BN327">
        <v>0</v>
      </c>
    </row>
    <row r="328" spans="1:92" x14ac:dyDescent="0.2">
      <c r="A328" t="s">
        <v>111</v>
      </c>
      <c r="B328" t="b">
        <v>1</v>
      </c>
      <c r="E328">
        <v>382</v>
      </c>
      <c r="F328" t="str">
        <f>HYPERLINK("https://portal.dnb.de/opac.htm?method=simpleSearch&amp;cqlMode=true&amp;query=idn%3D1066666245", "Portal")</f>
        <v>Portal</v>
      </c>
      <c r="G328" t="s">
        <v>125</v>
      </c>
      <c r="H328" t="s">
        <v>1555</v>
      </c>
      <c r="I328" t="s">
        <v>1556</v>
      </c>
      <c r="J328" t="s">
        <v>1557</v>
      </c>
      <c r="K328" t="s">
        <v>1557</v>
      </c>
      <c r="L328" t="s">
        <v>1557</v>
      </c>
      <c r="N328" t="s">
        <v>1558</v>
      </c>
      <c r="O328" t="s">
        <v>117</v>
      </c>
      <c r="P328" t="s">
        <v>118</v>
      </c>
      <c r="R328" t="s">
        <v>238</v>
      </c>
      <c r="S328" t="s">
        <v>121</v>
      </c>
      <c r="T328" t="s">
        <v>130</v>
      </c>
      <c r="U328" t="s">
        <v>203</v>
      </c>
      <c r="W328" t="s">
        <v>147</v>
      </c>
      <c r="X328" t="s">
        <v>124</v>
      </c>
      <c r="Y328">
        <v>1</v>
      </c>
      <c r="BN328">
        <v>0</v>
      </c>
    </row>
    <row r="329" spans="1:92" x14ac:dyDescent="0.2">
      <c r="A329" t="s">
        <v>111</v>
      </c>
      <c r="B329" t="b">
        <v>1</v>
      </c>
      <c r="C329" t="s">
        <v>132</v>
      </c>
      <c r="E329">
        <v>383</v>
      </c>
      <c r="F329" t="str">
        <f>HYPERLINK("https://portal.dnb.de/opac.htm?method=simpleSearch&amp;cqlMode=true&amp;query=idn%3D1066862958", "Portal")</f>
        <v>Portal</v>
      </c>
      <c r="G329" t="s">
        <v>125</v>
      </c>
      <c r="H329" t="s">
        <v>1559</v>
      </c>
      <c r="I329" t="s">
        <v>1560</v>
      </c>
      <c r="J329" t="s">
        <v>1561</v>
      </c>
      <c r="K329" t="s">
        <v>1561</v>
      </c>
      <c r="L329" t="s">
        <v>1561</v>
      </c>
      <c r="N329" t="s">
        <v>1562</v>
      </c>
      <c r="O329" t="s">
        <v>117</v>
      </c>
      <c r="P329" t="s">
        <v>118</v>
      </c>
      <c r="R329" t="s">
        <v>223</v>
      </c>
      <c r="S329" t="s">
        <v>470</v>
      </c>
      <c r="T329" t="s">
        <v>834</v>
      </c>
      <c r="U329" t="s">
        <v>1563</v>
      </c>
      <c r="W329" t="s">
        <v>147</v>
      </c>
      <c r="X329" t="s">
        <v>124</v>
      </c>
      <c r="Y329">
        <v>3</v>
      </c>
      <c r="AI329" t="s">
        <v>365</v>
      </c>
      <c r="AK329" t="s">
        <v>132</v>
      </c>
      <c r="AM329" t="s">
        <v>179</v>
      </c>
      <c r="AO329" t="s">
        <v>132</v>
      </c>
      <c r="AS329" t="s">
        <v>135</v>
      </c>
      <c r="AW329" t="s">
        <v>132</v>
      </c>
      <c r="AX329" t="s">
        <v>132</v>
      </c>
      <c r="BE329">
        <v>6</v>
      </c>
      <c r="BG329">
        <v>45</v>
      </c>
      <c r="BM329" t="s">
        <v>1564</v>
      </c>
      <c r="BN329">
        <v>8.5</v>
      </c>
      <c r="BR329" t="s">
        <v>132</v>
      </c>
      <c r="BV329" t="s">
        <v>1565</v>
      </c>
      <c r="BY329" t="s">
        <v>198</v>
      </c>
      <c r="CA329" t="s">
        <v>132</v>
      </c>
      <c r="CB329" t="s">
        <v>132</v>
      </c>
      <c r="CD329" t="s">
        <v>184</v>
      </c>
      <c r="CE329">
        <v>1</v>
      </c>
      <c r="CM329">
        <v>8.5</v>
      </c>
      <c r="CN329" t="s">
        <v>1566</v>
      </c>
    </row>
    <row r="330" spans="1:92" x14ac:dyDescent="0.2">
      <c r="A330" t="s">
        <v>111</v>
      </c>
      <c r="B330" t="b">
        <v>1</v>
      </c>
      <c r="E330">
        <v>384</v>
      </c>
      <c r="F330" t="str">
        <f>HYPERLINK("https://portal.dnb.de/opac.htm?method=simpleSearch&amp;cqlMode=true&amp;query=idn%3D1066847886", "Portal")</f>
        <v>Portal</v>
      </c>
      <c r="G330" t="s">
        <v>125</v>
      </c>
      <c r="H330" t="s">
        <v>1567</v>
      </c>
      <c r="I330" t="s">
        <v>1568</v>
      </c>
      <c r="J330" t="s">
        <v>1569</v>
      </c>
      <c r="K330" t="s">
        <v>1569</v>
      </c>
      <c r="L330" t="s">
        <v>1569</v>
      </c>
      <c r="N330" t="s">
        <v>1570</v>
      </c>
      <c r="O330" t="s">
        <v>117</v>
      </c>
      <c r="P330" t="s">
        <v>118</v>
      </c>
      <c r="R330" t="s">
        <v>120</v>
      </c>
      <c r="S330" t="s">
        <v>121</v>
      </c>
      <c r="T330" t="s">
        <v>130</v>
      </c>
      <c r="Y330">
        <v>0</v>
      </c>
      <c r="BN330">
        <v>0</v>
      </c>
    </row>
    <row r="331" spans="1:92" x14ac:dyDescent="0.2">
      <c r="A331" t="s">
        <v>111</v>
      </c>
      <c r="B331" t="b">
        <v>1</v>
      </c>
      <c r="C331" t="s">
        <v>132</v>
      </c>
      <c r="E331">
        <v>385</v>
      </c>
      <c r="F331" t="str">
        <f>HYPERLINK("https://portal.dnb.de/opac.htm?method=simpleSearch&amp;cqlMode=true&amp;query=idn%3D993902642", "Portal")</f>
        <v>Portal</v>
      </c>
      <c r="G331" t="s">
        <v>112</v>
      </c>
      <c r="H331" t="s">
        <v>1571</v>
      </c>
      <c r="I331" t="s">
        <v>1572</v>
      </c>
      <c r="J331" t="s">
        <v>1573</v>
      </c>
      <c r="K331" t="s">
        <v>1573</v>
      </c>
      <c r="L331" t="s">
        <v>1573</v>
      </c>
      <c r="N331" t="s">
        <v>1574</v>
      </c>
      <c r="O331" t="s">
        <v>117</v>
      </c>
      <c r="R331" t="s">
        <v>257</v>
      </c>
      <c r="S331" t="s">
        <v>121</v>
      </c>
      <c r="T331" t="s">
        <v>122</v>
      </c>
      <c r="U331" t="s">
        <v>1575</v>
      </c>
      <c r="Y331">
        <v>2</v>
      </c>
      <c r="AI331" t="s">
        <v>792</v>
      </c>
      <c r="AM331" t="s">
        <v>196</v>
      </c>
      <c r="AS331" t="s">
        <v>135</v>
      </c>
      <c r="BG331">
        <v>110</v>
      </c>
      <c r="BL331" t="s">
        <v>132</v>
      </c>
      <c r="BM331" t="s">
        <v>180</v>
      </c>
      <c r="BN331">
        <v>0.5</v>
      </c>
      <c r="BZ331" t="s">
        <v>132</v>
      </c>
      <c r="CB331" t="s">
        <v>132</v>
      </c>
      <c r="CM331">
        <v>0.5</v>
      </c>
      <c r="CN331" t="s">
        <v>1576</v>
      </c>
    </row>
    <row r="332" spans="1:92" x14ac:dyDescent="0.2">
      <c r="A332" t="s">
        <v>111</v>
      </c>
      <c r="B332" t="b">
        <v>1</v>
      </c>
      <c r="E332">
        <v>386</v>
      </c>
      <c r="F332" t="str">
        <f>HYPERLINK("https://portal.dnb.de/opac.htm?method=simpleSearch&amp;cqlMode=true&amp;query=idn%3D1066962677", "Portal")</f>
        <v>Portal</v>
      </c>
      <c r="G332" t="s">
        <v>125</v>
      </c>
      <c r="H332" t="s">
        <v>1577</v>
      </c>
      <c r="I332" t="s">
        <v>1578</v>
      </c>
      <c r="J332" t="s">
        <v>1579</v>
      </c>
      <c r="K332" t="s">
        <v>1579</v>
      </c>
      <c r="L332" t="s">
        <v>1579</v>
      </c>
      <c r="N332" t="s">
        <v>1580</v>
      </c>
      <c r="O332" t="s">
        <v>117</v>
      </c>
      <c r="P332" t="s">
        <v>118</v>
      </c>
      <c r="R332" t="s">
        <v>190</v>
      </c>
      <c r="S332" t="s">
        <v>121</v>
      </c>
      <c r="T332" t="s">
        <v>130</v>
      </c>
      <c r="U332" t="s">
        <v>247</v>
      </c>
      <c r="Y332">
        <v>3</v>
      </c>
      <c r="BN332">
        <v>0</v>
      </c>
    </row>
    <row r="333" spans="1:92" x14ac:dyDescent="0.2">
      <c r="A333" t="s">
        <v>111</v>
      </c>
      <c r="B333" t="b">
        <v>1</v>
      </c>
      <c r="E333">
        <v>387</v>
      </c>
      <c r="F333" t="str">
        <f>HYPERLINK("https://portal.dnb.de/opac.htm?method=simpleSearch&amp;cqlMode=true&amp;query=idn%3D1066959595", "Portal")</f>
        <v>Portal</v>
      </c>
      <c r="G333" t="s">
        <v>125</v>
      </c>
      <c r="H333" t="s">
        <v>1581</v>
      </c>
      <c r="I333" t="s">
        <v>1582</v>
      </c>
      <c r="J333" t="s">
        <v>1583</v>
      </c>
      <c r="K333" t="s">
        <v>1583</v>
      </c>
      <c r="L333" t="s">
        <v>1583</v>
      </c>
      <c r="N333" t="s">
        <v>1584</v>
      </c>
      <c r="O333" t="s">
        <v>117</v>
      </c>
      <c r="P333" t="s">
        <v>118</v>
      </c>
      <c r="R333" t="s">
        <v>145</v>
      </c>
      <c r="S333" t="s">
        <v>121</v>
      </c>
      <c r="T333" t="s">
        <v>130</v>
      </c>
      <c r="U333" t="s">
        <v>203</v>
      </c>
      <c r="W333" t="s">
        <v>147</v>
      </c>
      <c r="X333" t="s">
        <v>124</v>
      </c>
      <c r="Y333">
        <v>1</v>
      </c>
      <c r="BN333">
        <v>0</v>
      </c>
    </row>
    <row r="334" spans="1:92" x14ac:dyDescent="0.2">
      <c r="A334" t="s">
        <v>111</v>
      </c>
      <c r="B334" t="b">
        <v>1</v>
      </c>
      <c r="C334" t="s">
        <v>132</v>
      </c>
      <c r="E334">
        <v>388</v>
      </c>
      <c r="F334" t="str">
        <f>HYPERLINK("https://portal.dnb.de/opac.htm?method=simpleSearch&amp;cqlMode=true&amp;query=idn%3D1066859639", "Portal")</f>
        <v>Portal</v>
      </c>
      <c r="G334" t="s">
        <v>125</v>
      </c>
      <c r="H334" t="s">
        <v>1585</v>
      </c>
      <c r="I334" t="s">
        <v>1586</v>
      </c>
      <c r="J334" t="s">
        <v>1587</v>
      </c>
      <c r="K334" t="s">
        <v>1587</v>
      </c>
      <c r="L334" t="s">
        <v>1587</v>
      </c>
      <c r="N334" t="s">
        <v>1588</v>
      </c>
      <c r="O334" t="s">
        <v>117</v>
      </c>
      <c r="P334" t="s">
        <v>118</v>
      </c>
      <c r="R334" t="s">
        <v>257</v>
      </c>
      <c r="S334" t="s">
        <v>121</v>
      </c>
      <c r="T334" t="s">
        <v>122</v>
      </c>
      <c r="U334" t="s">
        <v>1575</v>
      </c>
      <c r="Y334">
        <v>2</v>
      </c>
      <c r="AI334" t="s">
        <v>792</v>
      </c>
      <c r="AM334" t="s">
        <v>134</v>
      </c>
      <c r="AS334" t="s">
        <v>135</v>
      </c>
      <c r="BG334">
        <v>110</v>
      </c>
      <c r="BM334" t="s">
        <v>180</v>
      </c>
      <c r="BN334">
        <v>0.5</v>
      </c>
      <c r="BZ334" t="s">
        <v>132</v>
      </c>
      <c r="CB334" t="s">
        <v>132</v>
      </c>
      <c r="CM334">
        <v>0.5</v>
      </c>
      <c r="CN334" t="s">
        <v>1589</v>
      </c>
    </row>
    <row r="335" spans="1:92" x14ac:dyDescent="0.2">
      <c r="A335" t="s">
        <v>111</v>
      </c>
      <c r="B335" t="b">
        <v>1</v>
      </c>
      <c r="E335">
        <v>389</v>
      </c>
      <c r="F335" t="str">
        <f>HYPERLINK("https://portal.dnb.de/opac.htm?method=simpleSearch&amp;cqlMode=true&amp;query=idn%3D1066963894", "Portal")</f>
        <v>Portal</v>
      </c>
      <c r="G335" t="s">
        <v>125</v>
      </c>
      <c r="H335" t="s">
        <v>1590</v>
      </c>
      <c r="I335" t="s">
        <v>1591</v>
      </c>
      <c r="J335" t="s">
        <v>1592</v>
      </c>
      <c r="K335" t="s">
        <v>1592</v>
      </c>
      <c r="L335" t="s">
        <v>1592</v>
      </c>
      <c r="N335" t="s">
        <v>1593</v>
      </c>
      <c r="O335" t="s">
        <v>117</v>
      </c>
      <c r="P335" t="s">
        <v>118</v>
      </c>
      <c r="R335" t="s">
        <v>190</v>
      </c>
      <c r="S335" t="s">
        <v>121</v>
      </c>
      <c r="T335" t="s">
        <v>122</v>
      </c>
      <c r="Y335">
        <v>1</v>
      </c>
      <c r="AI335" t="s">
        <v>365</v>
      </c>
      <c r="AM335" t="s">
        <v>196</v>
      </c>
      <c r="AS335" t="s">
        <v>135</v>
      </c>
      <c r="BG335">
        <v>110</v>
      </c>
      <c r="BM335" t="s">
        <v>137</v>
      </c>
      <c r="BN335">
        <v>0</v>
      </c>
    </row>
    <row r="336" spans="1:92" x14ac:dyDescent="0.2">
      <c r="A336" t="s">
        <v>111</v>
      </c>
      <c r="B336" t="b">
        <v>1</v>
      </c>
      <c r="E336">
        <v>390</v>
      </c>
      <c r="F336" t="str">
        <f>HYPERLINK("https://portal.dnb.de/opac.htm?method=simpleSearch&amp;cqlMode=true&amp;query=idn%3D1066964432", "Portal")</f>
        <v>Portal</v>
      </c>
      <c r="G336" t="s">
        <v>125</v>
      </c>
      <c r="H336" t="s">
        <v>1594</v>
      </c>
      <c r="I336" t="s">
        <v>1595</v>
      </c>
      <c r="J336" t="s">
        <v>1596</v>
      </c>
      <c r="K336" t="s">
        <v>1596</v>
      </c>
      <c r="L336" t="s">
        <v>1596</v>
      </c>
      <c r="N336" t="s">
        <v>1597</v>
      </c>
      <c r="O336" t="s">
        <v>117</v>
      </c>
      <c r="P336" t="s">
        <v>118</v>
      </c>
      <c r="R336" t="s">
        <v>145</v>
      </c>
      <c r="S336" t="s">
        <v>146</v>
      </c>
      <c r="T336" t="s">
        <v>122</v>
      </c>
      <c r="U336" t="s">
        <v>131</v>
      </c>
      <c r="W336" t="s">
        <v>147</v>
      </c>
      <c r="X336" t="s">
        <v>124</v>
      </c>
      <c r="Y336">
        <v>1</v>
      </c>
      <c r="BN336">
        <v>0</v>
      </c>
    </row>
    <row r="337" spans="1:75" x14ac:dyDescent="0.2">
      <c r="A337" t="s">
        <v>111</v>
      </c>
      <c r="B337" t="b">
        <v>1</v>
      </c>
      <c r="E337">
        <v>391</v>
      </c>
      <c r="F337" t="str">
        <f>HYPERLINK("https://portal.dnb.de/opac.htm?method=simpleSearch&amp;cqlMode=true&amp;query=idn%3D1066956960", "Portal")</f>
        <v>Portal</v>
      </c>
      <c r="G337" t="s">
        <v>125</v>
      </c>
      <c r="H337" t="s">
        <v>1598</v>
      </c>
      <c r="I337" t="s">
        <v>1599</v>
      </c>
      <c r="J337" t="s">
        <v>1600</v>
      </c>
      <c r="K337" t="s">
        <v>1600</v>
      </c>
      <c r="L337" t="s">
        <v>1600</v>
      </c>
      <c r="N337" t="s">
        <v>1601</v>
      </c>
      <c r="O337" t="s">
        <v>117</v>
      </c>
      <c r="P337" t="s">
        <v>118</v>
      </c>
      <c r="R337" t="s">
        <v>223</v>
      </c>
      <c r="S337" t="s">
        <v>146</v>
      </c>
      <c r="T337" t="s">
        <v>122</v>
      </c>
      <c r="U337" t="s">
        <v>203</v>
      </c>
      <c r="W337" t="s">
        <v>147</v>
      </c>
      <c r="X337" t="s">
        <v>124</v>
      </c>
      <c r="Y337">
        <v>1</v>
      </c>
      <c r="BN337">
        <v>0</v>
      </c>
    </row>
    <row r="338" spans="1:75" x14ac:dyDescent="0.2">
      <c r="A338" t="s">
        <v>111</v>
      </c>
      <c r="B338" t="b">
        <v>1</v>
      </c>
      <c r="E338">
        <v>392</v>
      </c>
      <c r="F338" t="str">
        <f>HYPERLINK("https://portal.dnb.de/opac.htm?method=simpleSearch&amp;cqlMode=true&amp;query=idn%3D1066870888", "Portal")</f>
        <v>Portal</v>
      </c>
      <c r="G338" t="s">
        <v>125</v>
      </c>
      <c r="H338" t="s">
        <v>1602</v>
      </c>
      <c r="I338" t="s">
        <v>1603</v>
      </c>
      <c r="J338" t="s">
        <v>1604</v>
      </c>
      <c r="K338" t="s">
        <v>1604</v>
      </c>
      <c r="L338" t="s">
        <v>1604</v>
      </c>
      <c r="N338" t="s">
        <v>1605</v>
      </c>
      <c r="O338" t="s">
        <v>117</v>
      </c>
      <c r="P338" t="s">
        <v>118</v>
      </c>
      <c r="R338" t="s">
        <v>223</v>
      </c>
      <c r="S338" t="s">
        <v>121</v>
      </c>
      <c r="T338" t="s">
        <v>122</v>
      </c>
      <c r="U338" t="s">
        <v>203</v>
      </c>
      <c r="W338" t="s">
        <v>147</v>
      </c>
      <c r="X338" t="s">
        <v>124</v>
      </c>
      <c r="Y338">
        <v>1</v>
      </c>
      <c r="BN338">
        <v>0</v>
      </c>
    </row>
    <row r="339" spans="1:75" x14ac:dyDescent="0.2">
      <c r="A339" t="s">
        <v>111</v>
      </c>
      <c r="B339" t="b">
        <v>1</v>
      </c>
      <c r="E339">
        <v>393</v>
      </c>
      <c r="F339" t="str">
        <f>HYPERLINK("https://portal.dnb.de/opac.htm?method=simpleSearch&amp;cqlMode=true&amp;query=idn%3D1066956871", "Portal")</f>
        <v>Portal</v>
      </c>
      <c r="G339" t="s">
        <v>125</v>
      </c>
      <c r="H339" t="s">
        <v>1606</v>
      </c>
      <c r="I339" t="s">
        <v>1607</v>
      </c>
      <c r="J339" t="s">
        <v>1608</v>
      </c>
      <c r="K339" t="s">
        <v>1608</v>
      </c>
      <c r="L339" t="s">
        <v>1608</v>
      </c>
      <c r="N339" t="s">
        <v>1609</v>
      </c>
      <c r="O339" t="s">
        <v>117</v>
      </c>
      <c r="P339" t="s">
        <v>118</v>
      </c>
      <c r="R339" t="s">
        <v>223</v>
      </c>
      <c r="S339" t="s">
        <v>146</v>
      </c>
      <c r="T339" t="s">
        <v>122</v>
      </c>
      <c r="U339" t="s">
        <v>1610</v>
      </c>
      <c r="W339" t="s">
        <v>67</v>
      </c>
      <c r="X339" t="s">
        <v>124</v>
      </c>
      <c r="Y339">
        <v>3</v>
      </c>
      <c r="BN339">
        <v>0</v>
      </c>
    </row>
    <row r="340" spans="1:75" x14ac:dyDescent="0.2">
      <c r="A340" t="s">
        <v>111</v>
      </c>
      <c r="B340" t="b">
        <v>1</v>
      </c>
      <c r="F340" t="str">
        <f>HYPERLINK("https://portal.dnb.de/opac.htm?method=simpleSearch&amp;cqlMode=true&amp;query=idn%3D1144984440", "Portal")</f>
        <v>Portal</v>
      </c>
      <c r="G340" t="s">
        <v>319</v>
      </c>
      <c r="H340" t="s">
        <v>1611</v>
      </c>
      <c r="I340" t="s">
        <v>1612</v>
      </c>
      <c r="J340" t="s">
        <v>1613</v>
      </c>
      <c r="K340" t="s">
        <v>1613</v>
      </c>
      <c r="L340" t="s">
        <v>1613</v>
      </c>
      <c r="N340" t="s">
        <v>1614</v>
      </c>
      <c r="O340" t="s">
        <v>117</v>
      </c>
      <c r="R340" t="s">
        <v>223</v>
      </c>
      <c r="S340" t="s">
        <v>121</v>
      </c>
      <c r="T340" t="s">
        <v>130</v>
      </c>
      <c r="W340" t="s">
        <v>67</v>
      </c>
      <c r="X340" t="s">
        <v>124</v>
      </c>
      <c r="Y340">
        <v>2</v>
      </c>
      <c r="AI340" t="s">
        <v>149</v>
      </c>
      <c r="AM340" t="s">
        <v>196</v>
      </c>
      <c r="AS340" t="s">
        <v>135</v>
      </c>
      <c r="BG340">
        <v>60</v>
      </c>
      <c r="BM340" t="s">
        <v>137</v>
      </c>
      <c r="BN340">
        <v>0</v>
      </c>
      <c r="BV340" t="s">
        <v>1615</v>
      </c>
    </row>
    <row r="341" spans="1:75" x14ac:dyDescent="0.2">
      <c r="A341" t="s">
        <v>111</v>
      </c>
      <c r="B341" t="b">
        <v>1</v>
      </c>
      <c r="E341">
        <v>427</v>
      </c>
      <c r="F341" t="str">
        <f>HYPERLINK("https://portal.dnb.de/opac.htm?method=simpleSearch&amp;cqlMode=true&amp;query=idn%3D1066673942", "Portal")</f>
        <v>Portal</v>
      </c>
      <c r="G341" t="s">
        <v>125</v>
      </c>
      <c r="H341" t="s">
        <v>1616</v>
      </c>
      <c r="I341" t="s">
        <v>1617</v>
      </c>
      <c r="J341" t="s">
        <v>1618</v>
      </c>
      <c r="K341" t="s">
        <v>1618</v>
      </c>
      <c r="L341" t="s">
        <v>1618</v>
      </c>
      <c r="N341" t="s">
        <v>1619</v>
      </c>
      <c r="O341" t="s">
        <v>117</v>
      </c>
      <c r="R341" t="s">
        <v>1620</v>
      </c>
      <c r="S341" t="s">
        <v>121</v>
      </c>
      <c r="T341" t="s">
        <v>122</v>
      </c>
      <c r="W341" t="s">
        <v>421</v>
      </c>
      <c r="X341" t="s">
        <v>124</v>
      </c>
      <c r="Y341">
        <v>1</v>
      </c>
      <c r="BN341">
        <v>0</v>
      </c>
    </row>
    <row r="342" spans="1:75" x14ac:dyDescent="0.2">
      <c r="A342" t="s">
        <v>111</v>
      </c>
      <c r="B342" t="b">
        <v>1</v>
      </c>
      <c r="E342">
        <v>394</v>
      </c>
      <c r="F342" t="str">
        <f>HYPERLINK("https://portal.dnb.de/opac.htm?method=simpleSearch&amp;cqlMode=true&amp;query=idn%3D1066964017", "Portal")</f>
        <v>Portal</v>
      </c>
      <c r="G342" t="s">
        <v>125</v>
      </c>
      <c r="H342" t="s">
        <v>1621</v>
      </c>
      <c r="I342" t="s">
        <v>1622</v>
      </c>
      <c r="J342" t="s">
        <v>1623</v>
      </c>
      <c r="K342" t="s">
        <v>1623</v>
      </c>
      <c r="L342" t="s">
        <v>1623</v>
      </c>
      <c r="N342" t="s">
        <v>1624</v>
      </c>
      <c r="O342" t="s">
        <v>117</v>
      </c>
      <c r="P342" t="s">
        <v>118</v>
      </c>
      <c r="R342" t="s">
        <v>257</v>
      </c>
      <c r="S342" t="s">
        <v>121</v>
      </c>
      <c r="T342" t="s">
        <v>122</v>
      </c>
      <c r="W342" t="s">
        <v>421</v>
      </c>
      <c r="X342" t="s">
        <v>124</v>
      </c>
      <c r="Y342">
        <v>3</v>
      </c>
      <c r="AA342" t="s">
        <v>1625</v>
      </c>
      <c r="BN342">
        <v>0</v>
      </c>
    </row>
    <row r="343" spans="1:75" x14ac:dyDescent="0.2">
      <c r="A343" t="s">
        <v>111</v>
      </c>
      <c r="B343" t="b">
        <v>1</v>
      </c>
      <c r="F343" t="str">
        <f>HYPERLINK("https://portal.dnb.de/opac.htm?method=simpleSearch&amp;cqlMode=true&amp;query=idn%3D1268645311", "Portal")</f>
        <v>Portal</v>
      </c>
      <c r="G343" t="s">
        <v>415</v>
      </c>
      <c r="H343" t="s">
        <v>1626</v>
      </c>
      <c r="I343" t="s">
        <v>1627</v>
      </c>
      <c r="J343" t="s">
        <v>1628</v>
      </c>
      <c r="K343" t="s">
        <v>1628</v>
      </c>
      <c r="L343" t="s">
        <v>1628</v>
      </c>
      <c r="N343" t="s">
        <v>1629</v>
      </c>
      <c r="O343" t="s">
        <v>117</v>
      </c>
      <c r="P343" t="s">
        <v>118</v>
      </c>
      <c r="R343" t="s">
        <v>190</v>
      </c>
      <c r="S343" t="s">
        <v>470</v>
      </c>
      <c r="T343" t="s">
        <v>122</v>
      </c>
      <c r="U343" t="s">
        <v>203</v>
      </c>
      <c r="X343" t="s">
        <v>168</v>
      </c>
      <c r="Y343">
        <v>2</v>
      </c>
      <c r="AI343" t="s">
        <v>365</v>
      </c>
      <c r="AK343" t="s">
        <v>132</v>
      </c>
      <c r="AM343" t="s">
        <v>134</v>
      </c>
      <c r="AS343" t="s">
        <v>646</v>
      </c>
      <c r="AT343" t="s">
        <v>132</v>
      </c>
      <c r="BC343" t="s">
        <v>1630</v>
      </c>
      <c r="BD343" t="s">
        <v>132</v>
      </c>
      <c r="BG343">
        <v>110</v>
      </c>
      <c r="BM343" t="s">
        <v>137</v>
      </c>
      <c r="BN343">
        <v>0</v>
      </c>
      <c r="BR343" t="s">
        <v>132</v>
      </c>
      <c r="BV343" t="s">
        <v>1631</v>
      </c>
      <c r="BW343" t="s">
        <v>152</v>
      </c>
    </row>
    <row r="344" spans="1:75" x14ac:dyDescent="0.2">
      <c r="A344" t="s">
        <v>111</v>
      </c>
      <c r="B344" t="b">
        <v>1</v>
      </c>
      <c r="E344">
        <v>395</v>
      </c>
      <c r="F344" t="str">
        <f>HYPERLINK("https://portal.dnb.de/opac.htm?method=simpleSearch&amp;cqlMode=true&amp;query=idn%3D1066963398", "Portal")</f>
        <v>Portal</v>
      </c>
      <c r="G344" t="s">
        <v>125</v>
      </c>
      <c r="H344" t="s">
        <v>1632</v>
      </c>
      <c r="I344" t="s">
        <v>1633</v>
      </c>
      <c r="J344" t="s">
        <v>1634</v>
      </c>
      <c r="K344" t="s">
        <v>1634</v>
      </c>
      <c r="L344" t="s">
        <v>1634</v>
      </c>
      <c r="N344" t="s">
        <v>1635</v>
      </c>
      <c r="O344" t="s">
        <v>117</v>
      </c>
      <c r="R344" t="s">
        <v>1636</v>
      </c>
      <c r="S344" t="s">
        <v>121</v>
      </c>
      <c r="T344" t="s">
        <v>122</v>
      </c>
      <c r="W344" t="s">
        <v>67</v>
      </c>
      <c r="X344" t="s">
        <v>124</v>
      </c>
      <c r="Y344">
        <v>3</v>
      </c>
      <c r="AA344" t="s">
        <v>1637</v>
      </c>
      <c r="AI344" t="s">
        <v>1638</v>
      </c>
      <c r="AJ344" t="s">
        <v>1639</v>
      </c>
      <c r="AL344" t="s">
        <v>132</v>
      </c>
      <c r="AS344" t="s">
        <v>135</v>
      </c>
      <c r="BC344" t="s">
        <v>136</v>
      </c>
      <c r="BD344" t="s">
        <v>132</v>
      </c>
      <c r="BG344">
        <v>180</v>
      </c>
      <c r="BM344" t="s">
        <v>137</v>
      </c>
      <c r="BN344">
        <v>0</v>
      </c>
      <c r="BP344" t="s">
        <v>1194</v>
      </c>
      <c r="BV344" t="s">
        <v>1640</v>
      </c>
    </row>
    <row r="345" spans="1:75" x14ac:dyDescent="0.2">
      <c r="A345" t="s">
        <v>111</v>
      </c>
      <c r="B345" t="b">
        <v>1</v>
      </c>
      <c r="E345">
        <v>456</v>
      </c>
      <c r="F345" t="str">
        <f>HYPERLINK("https://portal.dnb.de/opac.htm?method=simpleSearch&amp;cqlMode=true&amp;query=idn%3D1066760713", "Portal")</f>
        <v>Portal</v>
      </c>
      <c r="G345" t="s">
        <v>125</v>
      </c>
      <c r="H345" t="s">
        <v>1641</v>
      </c>
      <c r="I345" t="s">
        <v>1642</v>
      </c>
      <c r="J345" t="s">
        <v>1643</v>
      </c>
      <c r="K345" t="s">
        <v>1643</v>
      </c>
      <c r="L345" t="s">
        <v>1643</v>
      </c>
      <c r="N345" t="s">
        <v>1644</v>
      </c>
      <c r="O345" t="s">
        <v>117</v>
      </c>
      <c r="R345" t="s">
        <v>257</v>
      </c>
      <c r="S345" t="s">
        <v>121</v>
      </c>
      <c r="T345" t="s">
        <v>122</v>
      </c>
      <c r="U345" t="s">
        <v>123</v>
      </c>
      <c r="W345" t="s">
        <v>229</v>
      </c>
      <c r="X345" t="s">
        <v>302</v>
      </c>
      <c r="Y345">
        <v>0</v>
      </c>
      <c r="BN345">
        <v>0</v>
      </c>
    </row>
    <row r="346" spans="1:75" x14ac:dyDescent="0.2">
      <c r="A346" t="s">
        <v>111</v>
      </c>
      <c r="B346" t="b">
        <v>1</v>
      </c>
      <c r="E346">
        <v>397</v>
      </c>
      <c r="F346" t="str">
        <f>HYPERLINK("https://portal.dnb.de/opac.htm?method=simpleSearch&amp;cqlMode=true&amp;query=idn%3D106696422X", "Portal")</f>
        <v>Portal</v>
      </c>
      <c r="G346" t="s">
        <v>125</v>
      </c>
      <c r="H346" t="s">
        <v>1645</v>
      </c>
      <c r="I346" t="s">
        <v>1646</v>
      </c>
      <c r="J346" t="s">
        <v>1647</v>
      </c>
      <c r="K346" t="s">
        <v>1647</v>
      </c>
      <c r="L346" t="s">
        <v>1647</v>
      </c>
      <c r="N346" t="s">
        <v>1648</v>
      </c>
      <c r="O346" t="s">
        <v>117</v>
      </c>
      <c r="BN346">
        <v>0</v>
      </c>
    </row>
    <row r="347" spans="1:75" x14ac:dyDescent="0.2">
      <c r="A347" t="s">
        <v>111</v>
      </c>
      <c r="B347" t="b">
        <v>0</v>
      </c>
      <c r="E347">
        <v>398</v>
      </c>
      <c r="F347" t="str">
        <f>HYPERLINK("https://portal.dnb.de/opac.htm?method=simpleSearch&amp;cqlMode=true&amp;query=idn%3D997383259", "Portal")</f>
        <v>Portal</v>
      </c>
      <c r="H347" t="s">
        <v>1649</v>
      </c>
      <c r="I347" t="s">
        <v>1650</v>
      </c>
      <c r="L347" t="s">
        <v>1651</v>
      </c>
      <c r="R347" t="s">
        <v>190</v>
      </c>
      <c r="S347" t="s">
        <v>121</v>
      </c>
      <c r="T347" t="s">
        <v>122</v>
      </c>
      <c r="U347" t="s">
        <v>203</v>
      </c>
      <c r="X347" t="s">
        <v>168</v>
      </c>
      <c r="Y347">
        <v>0</v>
      </c>
      <c r="AI347" t="s">
        <v>365</v>
      </c>
      <c r="AM347" t="s">
        <v>134</v>
      </c>
      <c r="AS347" t="s">
        <v>135</v>
      </c>
      <c r="BC347" t="s">
        <v>136</v>
      </c>
      <c r="BD347" t="s">
        <v>132</v>
      </c>
      <c r="BG347">
        <v>110</v>
      </c>
      <c r="BM347" t="s">
        <v>137</v>
      </c>
      <c r="BN347">
        <v>0</v>
      </c>
      <c r="BV347" t="s">
        <v>355</v>
      </c>
    </row>
    <row r="348" spans="1:75" x14ac:dyDescent="0.2">
      <c r="A348" t="s">
        <v>111</v>
      </c>
      <c r="B348" t="b">
        <v>1</v>
      </c>
      <c r="E348">
        <v>457</v>
      </c>
      <c r="F348" t="str">
        <f>HYPERLINK("https://portal.dnb.de/opac.htm?method=simpleSearch&amp;cqlMode=true&amp;query=idn%3D999408836", "Portal")</f>
        <v>Portal</v>
      </c>
      <c r="G348" t="s">
        <v>112</v>
      </c>
      <c r="H348" t="s">
        <v>1652</v>
      </c>
      <c r="I348" t="s">
        <v>1653</v>
      </c>
      <c r="J348" t="s">
        <v>1654</v>
      </c>
      <c r="K348" t="s">
        <v>1654</v>
      </c>
      <c r="L348" t="s">
        <v>1655</v>
      </c>
      <c r="N348" t="s">
        <v>1656</v>
      </c>
      <c r="O348" t="s">
        <v>117</v>
      </c>
      <c r="BN348">
        <v>0</v>
      </c>
    </row>
    <row r="349" spans="1:75" x14ac:dyDescent="0.2">
      <c r="A349" t="s">
        <v>111</v>
      </c>
      <c r="B349" t="b">
        <v>1</v>
      </c>
      <c r="E349">
        <v>400</v>
      </c>
      <c r="F349" t="str">
        <f>HYPERLINK("https://portal.dnb.de/opac.htm?method=simpleSearch&amp;cqlMode=true&amp;query=idn%3D106696419X", "Portal")</f>
        <v>Portal</v>
      </c>
      <c r="G349" t="s">
        <v>125</v>
      </c>
      <c r="H349" t="s">
        <v>1657</v>
      </c>
      <c r="I349" t="s">
        <v>1658</v>
      </c>
      <c r="J349" t="s">
        <v>1659</v>
      </c>
      <c r="K349" t="s">
        <v>1659</v>
      </c>
      <c r="L349" t="s">
        <v>1659</v>
      </c>
      <c r="N349" t="s">
        <v>1660</v>
      </c>
      <c r="O349" t="s">
        <v>117</v>
      </c>
      <c r="R349" t="s">
        <v>238</v>
      </c>
      <c r="S349" t="s">
        <v>121</v>
      </c>
      <c r="T349" t="s">
        <v>122</v>
      </c>
      <c r="U349" t="s">
        <v>203</v>
      </c>
      <c r="W349" t="s">
        <v>147</v>
      </c>
      <c r="X349" t="s">
        <v>124</v>
      </c>
      <c r="Y349">
        <v>0</v>
      </c>
      <c r="BN349">
        <v>0</v>
      </c>
    </row>
    <row r="350" spans="1:75" x14ac:dyDescent="0.2">
      <c r="A350" t="s">
        <v>111</v>
      </c>
      <c r="B350" t="b">
        <v>1</v>
      </c>
      <c r="E350">
        <v>458</v>
      </c>
      <c r="F350" t="str">
        <f>HYPERLINK("https://portal.dnb.de/opac.htm?method=simpleSearch&amp;cqlMode=true&amp;query=idn%3D994182236", "Portal")</f>
        <v>Portal</v>
      </c>
      <c r="G350" t="s">
        <v>112</v>
      </c>
      <c r="H350" t="s">
        <v>1661</v>
      </c>
      <c r="I350" t="s">
        <v>1662</v>
      </c>
      <c r="J350" t="s">
        <v>1663</v>
      </c>
      <c r="K350" t="s">
        <v>1663</v>
      </c>
      <c r="L350" t="s">
        <v>1664</v>
      </c>
      <c r="N350" t="s">
        <v>1665</v>
      </c>
      <c r="O350" t="s">
        <v>117</v>
      </c>
      <c r="BN350">
        <v>0</v>
      </c>
    </row>
    <row r="351" spans="1:75" x14ac:dyDescent="0.2">
      <c r="A351" t="s">
        <v>111</v>
      </c>
      <c r="B351" t="b">
        <v>1</v>
      </c>
      <c r="E351">
        <v>459</v>
      </c>
      <c r="F351" t="str">
        <f>HYPERLINK("https://portal.dnb.de/opac.htm?method=simpleSearch&amp;cqlMode=true&amp;query=idn%3D999002953", "Portal")</f>
        <v>Portal</v>
      </c>
      <c r="G351" t="s">
        <v>112</v>
      </c>
      <c r="H351" t="s">
        <v>1666</v>
      </c>
      <c r="I351" t="s">
        <v>1667</v>
      </c>
      <c r="J351" t="s">
        <v>1668</v>
      </c>
      <c r="K351" t="s">
        <v>1668</v>
      </c>
      <c r="L351" t="s">
        <v>1668</v>
      </c>
      <c r="N351" t="s">
        <v>1669</v>
      </c>
      <c r="O351" t="s">
        <v>117</v>
      </c>
      <c r="BN351">
        <v>0</v>
      </c>
    </row>
    <row r="352" spans="1:75" x14ac:dyDescent="0.2">
      <c r="A352" t="s">
        <v>111</v>
      </c>
      <c r="B352" t="b">
        <v>1</v>
      </c>
      <c r="E352">
        <v>401</v>
      </c>
      <c r="F352" t="str">
        <f>HYPERLINK("https://portal.dnb.de/opac.htm?method=simpleSearch&amp;cqlMode=true&amp;query=idn%3D106696436X", "Portal")</f>
        <v>Portal</v>
      </c>
      <c r="G352" t="s">
        <v>125</v>
      </c>
      <c r="H352" t="s">
        <v>1670</v>
      </c>
      <c r="I352" t="s">
        <v>1671</v>
      </c>
      <c r="J352" t="s">
        <v>1672</v>
      </c>
      <c r="K352" t="s">
        <v>1672</v>
      </c>
      <c r="L352" t="s">
        <v>1672</v>
      </c>
      <c r="N352" t="s">
        <v>1673</v>
      </c>
      <c r="O352" t="s">
        <v>117</v>
      </c>
      <c r="P352" t="s">
        <v>118</v>
      </c>
      <c r="R352" t="s">
        <v>223</v>
      </c>
      <c r="S352" t="s">
        <v>146</v>
      </c>
      <c r="T352" t="s">
        <v>122</v>
      </c>
      <c r="U352" t="s">
        <v>1674</v>
      </c>
      <c r="W352" t="s">
        <v>67</v>
      </c>
      <c r="X352" t="s">
        <v>124</v>
      </c>
      <c r="Y352">
        <v>3</v>
      </c>
      <c r="BN352">
        <v>0</v>
      </c>
    </row>
    <row r="353" spans="1:92" x14ac:dyDescent="0.2">
      <c r="A353" t="s">
        <v>111</v>
      </c>
      <c r="B353" t="b">
        <v>1</v>
      </c>
      <c r="E353">
        <v>402</v>
      </c>
      <c r="F353" t="str">
        <f>HYPERLINK("https://portal.dnb.de/opac.htm?method=simpleSearch&amp;cqlMode=true&amp;query=idn%3D1066964246", "Portal")</f>
        <v>Portal</v>
      </c>
      <c r="G353" t="s">
        <v>125</v>
      </c>
      <c r="H353" t="s">
        <v>1675</v>
      </c>
      <c r="I353" t="s">
        <v>1676</v>
      </c>
      <c r="J353" t="s">
        <v>1677</v>
      </c>
      <c r="K353" t="s">
        <v>1677</v>
      </c>
      <c r="L353" t="s">
        <v>1677</v>
      </c>
      <c r="N353" t="s">
        <v>1678</v>
      </c>
      <c r="O353" t="s">
        <v>117</v>
      </c>
      <c r="S353" t="s">
        <v>121</v>
      </c>
      <c r="AI353" t="s">
        <v>1638</v>
      </c>
      <c r="AL353" t="s">
        <v>132</v>
      </c>
      <c r="AS353" t="s">
        <v>135</v>
      </c>
      <c r="BG353" t="s">
        <v>1223</v>
      </c>
      <c r="BM353" t="s">
        <v>137</v>
      </c>
      <c r="BN353">
        <v>0</v>
      </c>
      <c r="BP353" t="s">
        <v>1194</v>
      </c>
      <c r="BV353" t="s">
        <v>1679</v>
      </c>
    </row>
    <row r="354" spans="1:92" x14ac:dyDescent="0.2">
      <c r="A354" t="s">
        <v>111</v>
      </c>
      <c r="B354" t="b">
        <v>1</v>
      </c>
      <c r="E354">
        <v>428</v>
      </c>
      <c r="F354" t="str">
        <f>HYPERLINK("https://portal.dnb.de/opac.htm?method=simpleSearch&amp;cqlMode=true&amp;query=idn%3D106667051X", "Portal")</f>
        <v>Portal</v>
      </c>
      <c r="G354" t="s">
        <v>125</v>
      </c>
      <c r="H354" t="s">
        <v>1680</v>
      </c>
      <c r="I354" t="s">
        <v>1681</v>
      </c>
      <c r="J354" t="s">
        <v>1682</v>
      </c>
      <c r="K354" t="s">
        <v>1682</v>
      </c>
      <c r="L354" t="s">
        <v>1682</v>
      </c>
      <c r="N354" t="s">
        <v>1683</v>
      </c>
      <c r="O354" t="s">
        <v>117</v>
      </c>
      <c r="S354" t="s">
        <v>121</v>
      </c>
      <c r="AI354" t="s">
        <v>1684</v>
      </c>
      <c r="AM354" t="s">
        <v>196</v>
      </c>
      <c r="AS354" t="s">
        <v>135</v>
      </c>
      <c r="BG354">
        <v>180</v>
      </c>
      <c r="BM354" t="s">
        <v>137</v>
      </c>
      <c r="BN354">
        <v>0</v>
      </c>
      <c r="BS354" t="s">
        <v>132</v>
      </c>
    </row>
    <row r="355" spans="1:92" x14ac:dyDescent="0.2">
      <c r="A355" t="s">
        <v>111</v>
      </c>
      <c r="B355" t="b">
        <v>1</v>
      </c>
      <c r="E355">
        <v>404</v>
      </c>
      <c r="F355" t="str">
        <f>HYPERLINK("https://portal.dnb.de/opac.htm?method=simpleSearch&amp;cqlMode=true&amp;query=idn%3D106693827X", "Portal")</f>
        <v>Portal</v>
      </c>
      <c r="G355" t="s">
        <v>125</v>
      </c>
      <c r="H355" t="s">
        <v>1685</v>
      </c>
      <c r="I355" t="s">
        <v>1686</v>
      </c>
      <c r="J355" t="s">
        <v>1687</v>
      </c>
      <c r="K355" t="s">
        <v>1687</v>
      </c>
      <c r="L355" t="s">
        <v>1687</v>
      </c>
      <c r="N355" t="s">
        <v>1688</v>
      </c>
      <c r="O355" t="s">
        <v>117</v>
      </c>
      <c r="P355" t="s">
        <v>118</v>
      </c>
      <c r="R355" t="s">
        <v>284</v>
      </c>
      <c r="S355" t="s">
        <v>121</v>
      </c>
      <c r="T355" t="s">
        <v>122</v>
      </c>
      <c r="W355" t="s">
        <v>252</v>
      </c>
      <c r="X355" t="s">
        <v>124</v>
      </c>
      <c r="Y355">
        <v>3</v>
      </c>
      <c r="AA355" t="s">
        <v>1689</v>
      </c>
      <c r="AI355" t="s">
        <v>1638</v>
      </c>
      <c r="AJ355" t="s">
        <v>1690</v>
      </c>
      <c r="AL355" t="s">
        <v>132</v>
      </c>
      <c r="AS355" t="s">
        <v>135</v>
      </c>
      <c r="BG355">
        <v>180</v>
      </c>
      <c r="BM355" t="s">
        <v>137</v>
      </c>
      <c r="BN355">
        <v>0</v>
      </c>
      <c r="BS355" t="s">
        <v>132</v>
      </c>
      <c r="BV355" t="s">
        <v>1691</v>
      </c>
    </row>
    <row r="356" spans="1:92" x14ac:dyDescent="0.2">
      <c r="A356" t="s">
        <v>111</v>
      </c>
      <c r="B356" t="b">
        <v>1</v>
      </c>
      <c r="E356">
        <v>429</v>
      </c>
      <c r="F356" t="str">
        <f>HYPERLINK("https://portal.dnb.de/opac.htm?method=simpleSearch&amp;cqlMode=true&amp;query=idn%3D1001772008", "Portal")</f>
        <v>Portal</v>
      </c>
      <c r="G356" t="s">
        <v>112</v>
      </c>
      <c r="H356" t="s">
        <v>1692</v>
      </c>
      <c r="I356" t="s">
        <v>1693</v>
      </c>
      <c r="J356" t="s">
        <v>1694</v>
      </c>
      <c r="K356" t="s">
        <v>1694</v>
      </c>
      <c r="L356" t="s">
        <v>1695</v>
      </c>
      <c r="N356" t="s">
        <v>1696</v>
      </c>
      <c r="O356" t="s">
        <v>117</v>
      </c>
      <c r="S356" t="s">
        <v>121</v>
      </c>
      <c r="AI356" t="s">
        <v>1638</v>
      </c>
      <c r="AS356" t="s">
        <v>135</v>
      </c>
      <c r="BG356" t="s">
        <v>1223</v>
      </c>
      <c r="BM356" t="s">
        <v>137</v>
      </c>
      <c r="BN356">
        <v>0</v>
      </c>
      <c r="BS356" t="s">
        <v>132</v>
      </c>
    </row>
    <row r="357" spans="1:92" x14ac:dyDescent="0.2">
      <c r="A357" t="s">
        <v>111</v>
      </c>
      <c r="B357" t="b">
        <v>1</v>
      </c>
      <c r="E357">
        <v>405</v>
      </c>
      <c r="F357" t="str">
        <f>HYPERLINK("https://portal.dnb.de/opac.htm?method=simpleSearch&amp;cqlMode=true&amp;query=idn%3D1066960321", "Portal")</f>
        <v>Portal</v>
      </c>
      <c r="G357" t="s">
        <v>125</v>
      </c>
      <c r="H357" t="s">
        <v>1697</v>
      </c>
      <c r="I357" t="s">
        <v>1698</v>
      </c>
      <c r="J357" t="s">
        <v>1699</v>
      </c>
      <c r="K357" t="s">
        <v>1699</v>
      </c>
      <c r="L357" t="s">
        <v>1699</v>
      </c>
      <c r="N357" t="s">
        <v>1700</v>
      </c>
      <c r="O357" t="s">
        <v>117</v>
      </c>
      <c r="S357" t="s">
        <v>121</v>
      </c>
      <c r="AI357" t="s">
        <v>325</v>
      </c>
      <c r="AK357" t="s">
        <v>132</v>
      </c>
      <c r="AM357" t="s">
        <v>134</v>
      </c>
      <c r="AS357" t="s">
        <v>135</v>
      </c>
      <c r="BG357">
        <v>110</v>
      </c>
      <c r="BM357" t="s">
        <v>137</v>
      </c>
      <c r="BN357">
        <v>0</v>
      </c>
    </row>
    <row r="358" spans="1:92" x14ac:dyDescent="0.2">
      <c r="A358" t="s">
        <v>111</v>
      </c>
      <c r="B358" t="b">
        <v>1</v>
      </c>
      <c r="E358">
        <v>406</v>
      </c>
      <c r="F358" t="str">
        <f>HYPERLINK("https://portal.dnb.de/opac.htm?method=simpleSearch&amp;cqlMode=true&amp;query=idn%3D1066960100", "Portal")</f>
        <v>Portal</v>
      </c>
      <c r="G358" t="s">
        <v>125</v>
      </c>
      <c r="H358" t="s">
        <v>1701</v>
      </c>
      <c r="I358" t="s">
        <v>1702</v>
      </c>
      <c r="J358" t="s">
        <v>1703</v>
      </c>
      <c r="K358" t="s">
        <v>1703</v>
      </c>
      <c r="L358" t="s">
        <v>1703</v>
      </c>
      <c r="N358" t="s">
        <v>1704</v>
      </c>
      <c r="O358" t="s">
        <v>117</v>
      </c>
      <c r="BN358">
        <v>0</v>
      </c>
    </row>
    <row r="359" spans="1:92" x14ac:dyDescent="0.2">
      <c r="A359" t="s">
        <v>111</v>
      </c>
      <c r="B359" t="b">
        <v>1</v>
      </c>
      <c r="E359">
        <v>407</v>
      </c>
      <c r="F359" t="str">
        <f>HYPERLINK("https://portal.dnb.de/opac.htm?method=simpleSearch&amp;cqlMode=true&amp;query=idn%3D1066871515", "Portal")</f>
        <v>Portal</v>
      </c>
      <c r="G359" t="s">
        <v>125</v>
      </c>
      <c r="H359" t="s">
        <v>1705</v>
      </c>
      <c r="I359" t="s">
        <v>1706</v>
      </c>
      <c r="J359" t="s">
        <v>1707</v>
      </c>
      <c r="K359" t="s">
        <v>1707</v>
      </c>
      <c r="L359" t="s">
        <v>1707</v>
      </c>
      <c r="N359" t="s">
        <v>1708</v>
      </c>
      <c r="O359" t="s">
        <v>117</v>
      </c>
      <c r="S359" t="s">
        <v>121</v>
      </c>
      <c r="AI359" t="s">
        <v>135</v>
      </c>
      <c r="AK359" t="s">
        <v>132</v>
      </c>
      <c r="AM359" t="s">
        <v>134</v>
      </c>
      <c r="AS359" t="s">
        <v>135</v>
      </c>
      <c r="BG359">
        <v>180</v>
      </c>
      <c r="BM359" t="s">
        <v>137</v>
      </c>
      <c r="BN359">
        <v>0</v>
      </c>
      <c r="BP359" t="s">
        <v>1194</v>
      </c>
    </row>
    <row r="360" spans="1:92" x14ac:dyDescent="0.2">
      <c r="A360" t="s">
        <v>111</v>
      </c>
      <c r="B360" t="b">
        <v>1</v>
      </c>
      <c r="E360">
        <v>430</v>
      </c>
      <c r="F360" t="str">
        <f>HYPERLINK("https://portal.dnb.de/opac.htm?method=simpleSearch&amp;cqlMode=true&amp;query=idn%3D997608625", "Portal")</f>
        <v>Portal</v>
      </c>
      <c r="G360" t="s">
        <v>112</v>
      </c>
      <c r="H360" t="s">
        <v>1709</v>
      </c>
      <c r="I360" t="s">
        <v>1710</v>
      </c>
      <c r="J360" t="s">
        <v>1711</v>
      </c>
      <c r="K360" t="s">
        <v>1711</v>
      </c>
      <c r="L360" t="s">
        <v>1711</v>
      </c>
      <c r="N360" t="s">
        <v>1712</v>
      </c>
      <c r="O360" t="s">
        <v>117</v>
      </c>
      <c r="R360" t="s">
        <v>374</v>
      </c>
      <c r="S360" t="s">
        <v>121</v>
      </c>
      <c r="T360" t="s">
        <v>122</v>
      </c>
      <c r="W360" t="s">
        <v>252</v>
      </c>
      <c r="X360" t="s">
        <v>860</v>
      </c>
      <c r="Y360">
        <v>0</v>
      </c>
      <c r="AI360" t="s">
        <v>1638</v>
      </c>
      <c r="AS360" t="s">
        <v>135</v>
      </c>
      <c r="BG360" t="s">
        <v>1223</v>
      </c>
      <c r="BM360" t="s">
        <v>137</v>
      </c>
      <c r="BN360">
        <v>0</v>
      </c>
      <c r="BS360" t="s">
        <v>132</v>
      </c>
      <c r="BV360" t="s">
        <v>1713</v>
      </c>
    </row>
    <row r="361" spans="1:92" x14ac:dyDescent="0.2">
      <c r="A361" t="s">
        <v>111</v>
      </c>
      <c r="B361" t="b">
        <v>1</v>
      </c>
      <c r="C361" t="s">
        <v>132</v>
      </c>
      <c r="E361">
        <v>408</v>
      </c>
      <c r="F361" t="str">
        <f>HYPERLINK("https://portal.dnb.de/opac.htm?method=simpleSearch&amp;cqlMode=true&amp;query=idn%3D1066960976", "Portal")</f>
        <v>Portal</v>
      </c>
      <c r="G361" t="s">
        <v>125</v>
      </c>
      <c r="H361" t="s">
        <v>1714</v>
      </c>
      <c r="I361" t="s">
        <v>1715</v>
      </c>
      <c r="J361" t="s">
        <v>1716</v>
      </c>
      <c r="K361" t="s">
        <v>1716</v>
      </c>
      <c r="L361" t="s">
        <v>1716</v>
      </c>
      <c r="N361" t="s">
        <v>1717</v>
      </c>
      <c r="O361" t="s">
        <v>117</v>
      </c>
      <c r="S361" t="s">
        <v>121</v>
      </c>
      <c r="AI361" t="s">
        <v>792</v>
      </c>
      <c r="AM361" t="s">
        <v>134</v>
      </c>
      <c r="AS361" t="s">
        <v>135</v>
      </c>
      <c r="BG361">
        <v>110</v>
      </c>
      <c r="BM361" t="s">
        <v>180</v>
      </c>
      <c r="BN361">
        <v>0.5</v>
      </c>
      <c r="BZ361" t="s">
        <v>132</v>
      </c>
      <c r="CB361" t="s">
        <v>132</v>
      </c>
      <c r="CM361">
        <v>0.5</v>
      </c>
      <c r="CN361" t="s">
        <v>1718</v>
      </c>
    </row>
    <row r="362" spans="1:92" x14ac:dyDescent="0.2">
      <c r="A362" t="s">
        <v>111</v>
      </c>
      <c r="B362" t="b">
        <v>1</v>
      </c>
      <c r="E362">
        <v>409</v>
      </c>
      <c r="F362" t="str">
        <f>HYPERLINK("https://portal.dnb.de/opac.htm?method=simpleSearch&amp;cqlMode=true&amp;query=idn%3D1066961441", "Portal")</f>
        <v>Portal</v>
      </c>
      <c r="G362" t="s">
        <v>125</v>
      </c>
      <c r="H362" t="s">
        <v>1719</v>
      </c>
      <c r="I362" t="s">
        <v>1720</v>
      </c>
      <c r="J362" t="s">
        <v>1721</v>
      </c>
      <c r="K362" t="s">
        <v>1721</v>
      </c>
      <c r="L362" t="s">
        <v>1721</v>
      </c>
      <c r="N362" t="s">
        <v>1722</v>
      </c>
      <c r="O362" t="s">
        <v>117</v>
      </c>
      <c r="BN362">
        <v>0</v>
      </c>
    </row>
    <row r="363" spans="1:92" x14ac:dyDescent="0.2">
      <c r="A363" t="s">
        <v>111</v>
      </c>
      <c r="B363" t="b">
        <v>1</v>
      </c>
      <c r="E363">
        <v>431</v>
      </c>
      <c r="F363" t="str">
        <f>HYPERLINK("https://portal.dnb.de/opac.htm?method=simpleSearch&amp;cqlMode=true&amp;query=idn%3D995382867", "Portal")</f>
        <v>Portal</v>
      </c>
      <c r="G363" t="s">
        <v>112</v>
      </c>
      <c r="H363" t="s">
        <v>1723</v>
      </c>
      <c r="I363" t="s">
        <v>1724</v>
      </c>
      <c r="J363" t="s">
        <v>1725</v>
      </c>
      <c r="K363" t="s">
        <v>1725</v>
      </c>
      <c r="L363" t="s">
        <v>1726</v>
      </c>
      <c r="N363" t="s">
        <v>1727</v>
      </c>
      <c r="O363" t="s">
        <v>117</v>
      </c>
      <c r="R363" t="s">
        <v>257</v>
      </c>
      <c r="S363" t="s">
        <v>121</v>
      </c>
      <c r="T363" t="s">
        <v>122</v>
      </c>
      <c r="W363" t="s">
        <v>252</v>
      </c>
      <c r="X363" t="s">
        <v>124</v>
      </c>
      <c r="Y363">
        <v>3</v>
      </c>
      <c r="AA363" t="s">
        <v>1625</v>
      </c>
      <c r="AI363" t="s">
        <v>1638</v>
      </c>
      <c r="AJ363" t="s">
        <v>1728</v>
      </c>
      <c r="AL363" t="s">
        <v>132</v>
      </c>
      <c r="AS363" t="s">
        <v>135</v>
      </c>
      <c r="BG363" t="s">
        <v>1223</v>
      </c>
      <c r="BM363" t="s">
        <v>137</v>
      </c>
      <c r="BN363">
        <v>0</v>
      </c>
      <c r="BS363" t="s">
        <v>132</v>
      </c>
      <c r="BV363" t="s">
        <v>1729</v>
      </c>
    </row>
    <row r="364" spans="1:92" x14ac:dyDescent="0.2">
      <c r="A364" t="s">
        <v>111</v>
      </c>
      <c r="B364" t="b">
        <v>1</v>
      </c>
      <c r="F364" t="str">
        <f>HYPERLINK("https://portal.dnb.de/opac.htm?method=simpleSearch&amp;cqlMode=true&amp;query=idn%3D113830929X", "Portal")</f>
        <v>Portal</v>
      </c>
      <c r="G364" t="s">
        <v>319</v>
      </c>
      <c r="H364" t="s">
        <v>1730</v>
      </c>
      <c r="I364" t="s">
        <v>1731</v>
      </c>
      <c r="J364" t="s">
        <v>1732</v>
      </c>
      <c r="K364" t="s">
        <v>1732</v>
      </c>
      <c r="L364" t="s">
        <v>1732</v>
      </c>
      <c r="N364" t="s">
        <v>338</v>
      </c>
      <c r="O364" t="s">
        <v>117</v>
      </c>
      <c r="S364" t="s">
        <v>121</v>
      </c>
      <c r="AI364" t="s">
        <v>1638</v>
      </c>
      <c r="AJ364" t="s">
        <v>1733</v>
      </c>
      <c r="AS364" t="s">
        <v>135</v>
      </c>
      <c r="BG364" t="s">
        <v>1223</v>
      </c>
      <c r="BM364" t="s">
        <v>137</v>
      </c>
      <c r="BN364">
        <v>0</v>
      </c>
      <c r="BV364" t="s">
        <v>1734</v>
      </c>
    </row>
    <row r="365" spans="1:92" x14ac:dyDescent="0.2">
      <c r="A365" t="s">
        <v>111</v>
      </c>
      <c r="B365" t="b">
        <v>1</v>
      </c>
      <c r="E365">
        <v>411</v>
      </c>
      <c r="F365" t="str">
        <f>HYPERLINK("https://portal.dnb.de/opac.htm?method=simpleSearch&amp;cqlMode=true&amp;query=idn%3D1066961603", "Portal")</f>
        <v>Portal</v>
      </c>
      <c r="G365" t="s">
        <v>125</v>
      </c>
      <c r="H365" t="s">
        <v>1735</v>
      </c>
      <c r="I365" t="s">
        <v>1736</v>
      </c>
      <c r="J365" t="s">
        <v>1737</v>
      </c>
      <c r="K365" t="s">
        <v>1737</v>
      </c>
      <c r="L365" t="s">
        <v>1737</v>
      </c>
      <c r="N365" t="s">
        <v>1738</v>
      </c>
      <c r="O365" t="s">
        <v>117</v>
      </c>
      <c r="P365" t="s">
        <v>118</v>
      </c>
      <c r="R365" t="s">
        <v>1620</v>
      </c>
      <c r="S365" t="s">
        <v>121</v>
      </c>
      <c r="T365" t="s">
        <v>122</v>
      </c>
      <c r="W365" t="s">
        <v>252</v>
      </c>
      <c r="X365" t="s">
        <v>124</v>
      </c>
      <c r="Y365">
        <v>3</v>
      </c>
      <c r="AA365" t="s">
        <v>1625</v>
      </c>
      <c r="AI365" t="s">
        <v>1638</v>
      </c>
      <c r="AJ365" t="s">
        <v>1690</v>
      </c>
      <c r="AS365" t="s">
        <v>135</v>
      </c>
      <c r="BG365">
        <v>180</v>
      </c>
      <c r="BM365" t="s">
        <v>137</v>
      </c>
      <c r="BN365">
        <v>0</v>
      </c>
      <c r="BS365" t="s">
        <v>132</v>
      </c>
      <c r="BV365" t="s">
        <v>1691</v>
      </c>
    </row>
    <row r="366" spans="1:92" x14ac:dyDescent="0.2">
      <c r="A366" t="s">
        <v>111</v>
      </c>
      <c r="B366" t="b">
        <v>1</v>
      </c>
      <c r="E366">
        <v>434</v>
      </c>
      <c r="F366" t="str">
        <f>HYPERLINK("https://portal.dnb.de/opac.htm?method=simpleSearch&amp;cqlMode=true&amp;query=idn%3D996943757", "Portal")</f>
        <v>Portal</v>
      </c>
      <c r="G366" t="s">
        <v>112</v>
      </c>
      <c r="H366" t="s">
        <v>1739</v>
      </c>
      <c r="I366" t="s">
        <v>1740</v>
      </c>
      <c r="J366" t="s">
        <v>1741</v>
      </c>
      <c r="K366" t="s">
        <v>1741</v>
      </c>
      <c r="L366" t="s">
        <v>1741</v>
      </c>
      <c r="N366" t="s">
        <v>1742</v>
      </c>
      <c r="O366" t="s">
        <v>117</v>
      </c>
      <c r="R366" t="s">
        <v>1620</v>
      </c>
      <c r="S366" t="s">
        <v>121</v>
      </c>
      <c r="T366" t="s">
        <v>122</v>
      </c>
      <c r="W366" t="s">
        <v>252</v>
      </c>
      <c r="X366" t="s">
        <v>124</v>
      </c>
      <c r="Y366">
        <v>3</v>
      </c>
      <c r="AA366" t="s">
        <v>1743</v>
      </c>
      <c r="AI366" t="s">
        <v>1638</v>
      </c>
      <c r="AJ366" t="s">
        <v>1744</v>
      </c>
      <c r="AS366" t="s">
        <v>135</v>
      </c>
      <c r="BG366" t="s">
        <v>1223</v>
      </c>
      <c r="BM366" t="s">
        <v>137</v>
      </c>
      <c r="BN366">
        <v>0</v>
      </c>
      <c r="BS366" t="s">
        <v>132</v>
      </c>
      <c r="BV366" t="s">
        <v>1745</v>
      </c>
      <c r="BW366" t="s">
        <v>1746</v>
      </c>
      <c r="BX366" t="s">
        <v>1747</v>
      </c>
    </row>
    <row r="367" spans="1:92" x14ac:dyDescent="0.2">
      <c r="A367" t="s">
        <v>111</v>
      </c>
      <c r="B367" t="b">
        <v>1</v>
      </c>
      <c r="E367">
        <v>412</v>
      </c>
      <c r="F367" t="str">
        <f>HYPERLINK("https://portal.dnb.de/opac.htm?method=simpleSearch&amp;cqlMode=true&amp;query=idn%3D361853246", "Portal")</f>
        <v>Portal</v>
      </c>
      <c r="G367" t="s">
        <v>112</v>
      </c>
      <c r="H367" t="s">
        <v>1748</v>
      </c>
      <c r="I367" t="s">
        <v>1749</v>
      </c>
      <c r="J367" t="s">
        <v>1750</v>
      </c>
      <c r="K367" t="s">
        <v>1750</v>
      </c>
      <c r="L367" t="s">
        <v>1750</v>
      </c>
      <c r="N367" t="s">
        <v>1751</v>
      </c>
      <c r="O367" t="s">
        <v>117</v>
      </c>
      <c r="BN367">
        <v>0</v>
      </c>
    </row>
    <row r="368" spans="1:92" x14ac:dyDescent="0.2">
      <c r="A368" t="s">
        <v>111</v>
      </c>
      <c r="B368" t="b">
        <v>1</v>
      </c>
      <c r="E368">
        <v>435</v>
      </c>
      <c r="F368" t="str">
        <f>HYPERLINK("https://portal.dnb.de/opac.htm?method=simpleSearch&amp;cqlMode=true&amp;query=idn%3D1066964041", "Portal")</f>
        <v>Portal</v>
      </c>
      <c r="G368" t="s">
        <v>125</v>
      </c>
      <c r="H368" t="s">
        <v>1752</v>
      </c>
      <c r="I368" t="s">
        <v>1753</v>
      </c>
      <c r="J368" t="s">
        <v>1754</v>
      </c>
      <c r="K368" t="s">
        <v>1754</v>
      </c>
      <c r="L368" t="s">
        <v>1754</v>
      </c>
      <c r="N368" t="s">
        <v>1755</v>
      </c>
      <c r="O368" t="s">
        <v>117</v>
      </c>
      <c r="R368" t="s">
        <v>163</v>
      </c>
      <c r="S368" t="s">
        <v>121</v>
      </c>
      <c r="T368" t="s">
        <v>122</v>
      </c>
      <c r="U368" t="s">
        <v>203</v>
      </c>
      <c r="X368" t="s">
        <v>168</v>
      </c>
      <c r="Y368">
        <v>0</v>
      </c>
      <c r="BN368">
        <v>0</v>
      </c>
    </row>
    <row r="369" spans="1:92" x14ac:dyDescent="0.2">
      <c r="A369" t="s">
        <v>111</v>
      </c>
      <c r="B369" t="b">
        <v>1</v>
      </c>
      <c r="E369">
        <v>413</v>
      </c>
      <c r="F369" t="str">
        <f>HYPERLINK("https://portal.dnb.de/opac.htm?method=simpleSearch&amp;cqlMode=true&amp;query=idn%3D1066963622", "Portal")</f>
        <v>Portal</v>
      </c>
      <c r="G369" t="s">
        <v>125</v>
      </c>
      <c r="H369" t="s">
        <v>1756</v>
      </c>
      <c r="I369" t="s">
        <v>1757</v>
      </c>
      <c r="J369" t="s">
        <v>1758</v>
      </c>
      <c r="K369" t="s">
        <v>1758</v>
      </c>
      <c r="L369" t="s">
        <v>1758</v>
      </c>
      <c r="N369" t="s">
        <v>1759</v>
      </c>
      <c r="O369" t="s">
        <v>117</v>
      </c>
      <c r="S369" t="s">
        <v>121</v>
      </c>
      <c r="AH369" t="s">
        <v>132</v>
      </c>
      <c r="AI369" t="s">
        <v>133</v>
      </c>
      <c r="AK369" t="s">
        <v>132</v>
      </c>
      <c r="AM369" t="s">
        <v>179</v>
      </c>
      <c r="AS369" t="s">
        <v>135</v>
      </c>
      <c r="BG369">
        <v>0</v>
      </c>
      <c r="BH369" t="s">
        <v>800</v>
      </c>
      <c r="BM369" t="s">
        <v>137</v>
      </c>
      <c r="BN369">
        <v>0</v>
      </c>
    </row>
    <row r="370" spans="1:92" x14ac:dyDescent="0.2">
      <c r="A370" t="s">
        <v>111</v>
      </c>
      <c r="B370" t="b">
        <v>1</v>
      </c>
      <c r="E370">
        <v>436</v>
      </c>
      <c r="F370" t="str">
        <f>HYPERLINK("https://portal.dnb.de/opac.htm?method=simpleSearch&amp;cqlMode=true&amp;query=idn%3D1066956820", "Portal")</f>
        <v>Portal</v>
      </c>
      <c r="G370" t="s">
        <v>125</v>
      </c>
      <c r="H370" t="s">
        <v>1760</v>
      </c>
      <c r="I370" t="s">
        <v>1761</v>
      </c>
      <c r="J370" t="s">
        <v>1762</v>
      </c>
      <c r="K370" t="s">
        <v>1762</v>
      </c>
      <c r="L370" t="s">
        <v>1762</v>
      </c>
      <c r="N370" t="s">
        <v>1763</v>
      </c>
      <c r="O370" t="s">
        <v>117</v>
      </c>
      <c r="P370" t="s">
        <v>118</v>
      </c>
      <c r="R370" t="s">
        <v>157</v>
      </c>
      <c r="S370" t="s">
        <v>121</v>
      </c>
      <c r="T370" t="s">
        <v>122</v>
      </c>
      <c r="W370" t="s">
        <v>67</v>
      </c>
      <c r="X370" t="s">
        <v>124</v>
      </c>
      <c r="Y370">
        <v>0</v>
      </c>
      <c r="BN370">
        <v>0</v>
      </c>
    </row>
    <row r="371" spans="1:92" x14ac:dyDescent="0.2">
      <c r="A371" t="s">
        <v>111</v>
      </c>
      <c r="B371" t="b">
        <v>1</v>
      </c>
      <c r="E371">
        <v>414</v>
      </c>
      <c r="F371" t="str">
        <f>HYPERLINK("https://portal.dnb.de/opac.htm?method=simpleSearch&amp;cqlMode=true&amp;query=idn%3D1066964351", "Portal")</f>
        <v>Portal</v>
      </c>
      <c r="G371" t="s">
        <v>125</v>
      </c>
      <c r="H371" t="s">
        <v>1764</v>
      </c>
      <c r="I371" t="s">
        <v>1765</v>
      </c>
      <c r="J371" t="s">
        <v>1766</v>
      </c>
      <c r="K371" t="s">
        <v>1766</v>
      </c>
      <c r="L371" t="s">
        <v>1766</v>
      </c>
      <c r="N371" t="s">
        <v>1767</v>
      </c>
      <c r="O371" t="s">
        <v>117</v>
      </c>
      <c r="S371" t="s">
        <v>121</v>
      </c>
      <c r="AH371" t="s">
        <v>132</v>
      </c>
      <c r="AI371" t="s">
        <v>133</v>
      </c>
      <c r="AK371" t="s">
        <v>132</v>
      </c>
      <c r="AM371" t="s">
        <v>134</v>
      </c>
      <c r="AS371" t="s">
        <v>135</v>
      </c>
      <c r="BC371" t="s">
        <v>1768</v>
      </c>
      <c r="BD371" t="s">
        <v>132</v>
      </c>
      <c r="BG371">
        <v>110</v>
      </c>
      <c r="BM371" t="s">
        <v>137</v>
      </c>
      <c r="BN371">
        <v>0</v>
      </c>
    </row>
    <row r="372" spans="1:92" x14ac:dyDescent="0.2">
      <c r="A372" t="s">
        <v>111</v>
      </c>
      <c r="B372" t="b">
        <v>1</v>
      </c>
      <c r="E372">
        <v>437</v>
      </c>
      <c r="F372" t="str">
        <f>HYPERLINK("https://portal.dnb.de/opac.htm?method=simpleSearch&amp;cqlMode=true&amp;query=idn%3D1002109116", "Portal")</f>
        <v>Portal</v>
      </c>
      <c r="G372" t="s">
        <v>112</v>
      </c>
      <c r="H372" t="s">
        <v>1769</v>
      </c>
      <c r="I372" t="s">
        <v>1770</v>
      </c>
      <c r="J372" t="s">
        <v>1771</v>
      </c>
      <c r="K372" t="s">
        <v>1771</v>
      </c>
      <c r="L372" t="s">
        <v>1772</v>
      </c>
      <c r="N372" t="s">
        <v>1773</v>
      </c>
      <c r="O372" t="s">
        <v>117</v>
      </c>
      <c r="R372" t="s">
        <v>257</v>
      </c>
      <c r="S372" t="s">
        <v>121</v>
      </c>
      <c r="T372" t="s">
        <v>130</v>
      </c>
      <c r="U372" t="s">
        <v>1774</v>
      </c>
      <c r="W372" t="s">
        <v>229</v>
      </c>
      <c r="X372" t="s">
        <v>302</v>
      </c>
      <c r="Y372">
        <v>0</v>
      </c>
      <c r="BN372">
        <v>0</v>
      </c>
    </row>
    <row r="373" spans="1:92" x14ac:dyDescent="0.2">
      <c r="A373" t="s">
        <v>111</v>
      </c>
      <c r="B373" t="b">
        <v>1</v>
      </c>
      <c r="E373">
        <v>415</v>
      </c>
      <c r="F373" t="str">
        <f>HYPERLINK("https://portal.dnb.de/opac.htm?method=simpleSearch&amp;cqlMode=true&amp;query=idn%3D1066961433", "Portal")</f>
        <v>Portal</v>
      </c>
      <c r="G373" t="s">
        <v>125</v>
      </c>
      <c r="H373" t="s">
        <v>1775</v>
      </c>
      <c r="I373" t="s">
        <v>1776</v>
      </c>
      <c r="J373" t="s">
        <v>1777</v>
      </c>
      <c r="K373" t="s">
        <v>1777</v>
      </c>
      <c r="L373" t="s">
        <v>1777</v>
      </c>
      <c r="N373" t="s">
        <v>1778</v>
      </c>
      <c r="O373" t="s">
        <v>117</v>
      </c>
      <c r="P373" t="s">
        <v>118</v>
      </c>
      <c r="R373" t="s">
        <v>257</v>
      </c>
      <c r="S373" t="s">
        <v>121</v>
      </c>
      <c r="T373" t="s">
        <v>122</v>
      </c>
      <c r="W373" t="s">
        <v>67</v>
      </c>
      <c r="X373" t="s">
        <v>124</v>
      </c>
      <c r="Y373">
        <v>3</v>
      </c>
      <c r="AA373" t="s">
        <v>1625</v>
      </c>
      <c r="AH373" t="s">
        <v>132</v>
      </c>
      <c r="AI373" t="s">
        <v>1638</v>
      </c>
      <c r="AJ373" t="s">
        <v>1728</v>
      </c>
      <c r="AL373" t="s">
        <v>132</v>
      </c>
      <c r="AS373" t="s">
        <v>135</v>
      </c>
      <c r="BG373" t="s">
        <v>1223</v>
      </c>
      <c r="BM373" t="s">
        <v>137</v>
      </c>
      <c r="BN373">
        <v>0</v>
      </c>
      <c r="BP373" t="s">
        <v>181</v>
      </c>
      <c r="BV373" t="s">
        <v>1779</v>
      </c>
    </row>
    <row r="374" spans="1:92" x14ac:dyDescent="0.2">
      <c r="A374" t="s">
        <v>111</v>
      </c>
      <c r="B374" t="b">
        <v>1</v>
      </c>
      <c r="C374" t="s">
        <v>132</v>
      </c>
      <c r="E374">
        <v>416</v>
      </c>
      <c r="F374" t="str">
        <f>HYPERLINK("https://portal.dnb.de/opac.htm?method=simpleSearch&amp;cqlMode=true&amp;query=idn%3D1066958408", "Portal")</f>
        <v>Portal</v>
      </c>
      <c r="G374" t="s">
        <v>125</v>
      </c>
      <c r="H374" t="s">
        <v>1780</v>
      </c>
      <c r="I374" t="s">
        <v>1781</v>
      </c>
      <c r="J374" t="s">
        <v>1782</v>
      </c>
      <c r="K374" t="s">
        <v>1782</v>
      </c>
      <c r="L374" t="s">
        <v>1782</v>
      </c>
      <c r="N374" t="s">
        <v>1783</v>
      </c>
      <c r="O374" t="s">
        <v>117</v>
      </c>
      <c r="P374" t="s">
        <v>118</v>
      </c>
      <c r="R374" t="s">
        <v>145</v>
      </c>
      <c r="S374" t="s">
        <v>146</v>
      </c>
      <c r="T374" t="s">
        <v>130</v>
      </c>
      <c r="U374" t="s">
        <v>500</v>
      </c>
      <c r="W374" t="s">
        <v>147</v>
      </c>
      <c r="X374" t="s">
        <v>124</v>
      </c>
      <c r="Y374">
        <v>3</v>
      </c>
      <c r="AI374" t="s">
        <v>133</v>
      </c>
      <c r="AK374" t="s">
        <v>132</v>
      </c>
      <c r="AM374" t="s">
        <v>179</v>
      </c>
      <c r="AS374" t="s">
        <v>135</v>
      </c>
      <c r="BG374">
        <v>60</v>
      </c>
      <c r="BM374" t="s">
        <v>180</v>
      </c>
      <c r="BN374">
        <v>2</v>
      </c>
      <c r="BR374" t="s">
        <v>132</v>
      </c>
      <c r="BZ374" t="s">
        <v>132</v>
      </c>
      <c r="CA374" t="s">
        <v>132</v>
      </c>
      <c r="CB374" t="s">
        <v>132</v>
      </c>
      <c r="CC374" t="s">
        <v>132</v>
      </c>
      <c r="CD374" t="s">
        <v>184</v>
      </c>
      <c r="CM374">
        <v>2</v>
      </c>
      <c r="CN374" t="s">
        <v>1784</v>
      </c>
    </row>
    <row r="375" spans="1:92" x14ac:dyDescent="0.2">
      <c r="A375" t="s">
        <v>111</v>
      </c>
      <c r="B375" t="b">
        <v>1</v>
      </c>
      <c r="E375">
        <v>417</v>
      </c>
      <c r="F375" t="str">
        <f>HYPERLINK("https://portal.dnb.de/opac.htm?method=simpleSearch&amp;cqlMode=true&amp;query=idn%3D1066964408", "Portal")</f>
        <v>Portal</v>
      </c>
      <c r="G375" t="s">
        <v>125</v>
      </c>
      <c r="H375" t="s">
        <v>1785</v>
      </c>
      <c r="I375" t="s">
        <v>1786</v>
      </c>
      <c r="J375" t="s">
        <v>1787</v>
      </c>
      <c r="K375" t="s">
        <v>1787</v>
      </c>
      <c r="L375" t="s">
        <v>1787</v>
      </c>
      <c r="N375" t="s">
        <v>1788</v>
      </c>
      <c r="O375" t="s">
        <v>117</v>
      </c>
      <c r="P375" t="s">
        <v>118</v>
      </c>
      <c r="R375" t="s">
        <v>145</v>
      </c>
      <c r="S375" t="s">
        <v>146</v>
      </c>
      <c r="T375" t="s">
        <v>130</v>
      </c>
      <c r="U375" t="s">
        <v>123</v>
      </c>
      <c r="W375" t="s">
        <v>147</v>
      </c>
      <c r="X375" t="s">
        <v>124</v>
      </c>
      <c r="Y375">
        <v>0</v>
      </c>
      <c r="BN375">
        <v>0</v>
      </c>
    </row>
    <row r="376" spans="1:92" x14ac:dyDescent="0.2">
      <c r="A376" t="s">
        <v>111</v>
      </c>
      <c r="B376" t="b">
        <v>1</v>
      </c>
      <c r="E376">
        <v>418</v>
      </c>
      <c r="F376" t="str">
        <f>HYPERLINK("https://portal.dnb.de/opac.htm?method=simpleSearch&amp;cqlMode=true&amp;query=idn%3D1066964165", "Portal")</f>
        <v>Portal</v>
      </c>
      <c r="G376" t="s">
        <v>125</v>
      </c>
      <c r="H376" t="s">
        <v>1789</v>
      </c>
      <c r="I376" t="s">
        <v>1790</v>
      </c>
      <c r="J376" t="s">
        <v>1791</v>
      </c>
      <c r="K376" t="s">
        <v>1791</v>
      </c>
      <c r="L376" t="s">
        <v>1791</v>
      </c>
      <c r="N376" t="s">
        <v>1792</v>
      </c>
      <c r="O376" t="s">
        <v>117</v>
      </c>
      <c r="P376" t="s">
        <v>118</v>
      </c>
      <c r="Q376" t="s">
        <v>1793</v>
      </c>
      <c r="R376" t="s">
        <v>284</v>
      </c>
      <c r="T376" t="s">
        <v>130</v>
      </c>
      <c r="W376" t="s">
        <v>252</v>
      </c>
      <c r="X376" t="s">
        <v>124</v>
      </c>
      <c r="Y376">
        <v>2</v>
      </c>
      <c r="AA376" t="s">
        <v>1794</v>
      </c>
      <c r="AD376" t="s">
        <v>1108</v>
      </c>
      <c r="BN376">
        <v>0</v>
      </c>
    </row>
    <row r="377" spans="1:92" x14ac:dyDescent="0.2">
      <c r="A377" t="s">
        <v>111</v>
      </c>
      <c r="B377" t="b">
        <v>1</v>
      </c>
      <c r="E377">
        <v>438</v>
      </c>
      <c r="F377" t="str">
        <f>HYPERLINK("https://portal.dnb.de/opac.htm?method=simpleSearch&amp;cqlMode=true&amp;query=idn%3D1003453864", "Portal")</f>
        <v>Portal</v>
      </c>
      <c r="G377" t="s">
        <v>112</v>
      </c>
      <c r="H377" t="s">
        <v>1795</v>
      </c>
      <c r="I377" t="s">
        <v>1796</v>
      </c>
      <c r="J377" t="s">
        <v>1797</v>
      </c>
      <c r="K377" t="s">
        <v>1797</v>
      </c>
      <c r="L377" t="s">
        <v>1798</v>
      </c>
      <c r="N377" t="s">
        <v>1799</v>
      </c>
      <c r="O377" t="s">
        <v>117</v>
      </c>
      <c r="R377" t="s">
        <v>163</v>
      </c>
      <c r="S377" t="s">
        <v>121</v>
      </c>
      <c r="T377" t="s">
        <v>122</v>
      </c>
      <c r="U377" t="s">
        <v>203</v>
      </c>
      <c r="Y377">
        <v>0</v>
      </c>
      <c r="BN377">
        <v>0</v>
      </c>
    </row>
    <row r="378" spans="1:92" x14ac:dyDescent="0.2">
      <c r="A378" t="s">
        <v>111</v>
      </c>
      <c r="B378" t="b">
        <v>1</v>
      </c>
      <c r="E378">
        <v>439</v>
      </c>
      <c r="F378" t="str">
        <f>HYPERLINK("https://portal.dnb.de/opac.htm?method=simpleSearch&amp;cqlMode=true&amp;query=idn%3D996037756", "Portal")</f>
        <v>Portal</v>
      </c>
      <c r="G378" t="s">
        <v>112</v>
      </c>
      <c r="H378" t="s">
        <v>1800</v>
      </c>
      <c r="I378" t="s">
        <v>1801</v>
      </c>
      <c r="J378" t="s">
        <v>1802</v>
      </c>
      <c r="K378" t="s">
        <v>1802</v>
      </c>
      <c r="L378" t="s">
        <v>1802</v>
      </c>
      <c r="N378" t="s">
        <v>1803</v>
      </c>
      <c r="O378" t="s">
        <v>117</v>
      </c>
      <c r="R378" t="s">
        <v>374</v>
      </c>
      <c r="S378" t="s">
        <v>121</v>
      </c>
      <c r="T378" t="s">
        <v>122</v>
      </c>
      <c r="W378" t="s">
        <v>252</v>
      </c>
      <c r="X378" t="s">
        <v>124</v>
      </c>
      <c r="Y378">
        <v>1</v>
      </c>
      <c r="AI378" t="s">
        <v>1638</v>
      </c>
      <c r="AS378" t="s">
        <v>135</v>
      </c>
      <c r="BG378" t="s">
        <v>1223</v>
      </c>
      <c r="BM378" t="s">
        <v>137</v>
      </c>
      <c r="BN378">
        <v>0</v>
      </c>
      <c r="BS378" t="s">
        <v>132</v>
      </c>
    </row>
    <row r="379" spans="1:92" x14ac:dyDescent="0.2">
      <c r="A379" t="s">
        <v>111</v>
      </c>
      <c r="B379" t="b">
        <v>1</v>
      </c>
      <c r="E379">
        <v>440</v>
      </c>
      <c r="F379" t="str">
        <f>HYPERLINK("https://portal.dnb.de/opac.htm?method=simpleSearch&amp;cqlMode=true&amp;query=idn%3D1066673780", "Portal")</f>
        <v>Portal</v>
      </c>
      <c r="G379" t="s">
        <v>125</v>
      </c>
      <c r="H379" t="s">
        <v>1804</v>
      </c>
      <c r="I379" t="s">
        <v>1805</v>
      </c>
      <c r="J379" t="s">
        <v>1806</v>
      </c>
      <c r="K379" t="s">
        <v>1806</v>
      </c>
      <c r="L379" t="s">
        <v>1806</v>
      </c>
      <c r="N379" t="s">
        <v>1807</v>
      </c>
      <c r="O379" t="s">
        <v>117</v>
      </c>
      <c r="P379" t="s">
        <v>118</v>
      </c>
      <c r="R379" t="s">
        <v>374</v>
      </c>
      <c r="S379" t="s">
        <v>121</v>
      </c>
      <c r="T379" t="s">
        <v>130</v>
      </c>
      <c r="U379" t="s">
        <v>719</v>
      </c>
      <c r="W379" t="s">
        <v>252</v>
      </c>
      <c r="X379" t="s">
        <v>124</v>
      </c>
      <c r="Y379">
        <v>0</v>
      </c>
      <c r="AI379" t="s">
        <v>1684</v>
      </c>
      <c r="AM379" t="s">
        <v>196</v>
      </c>
      <c r="AS379" t="s">
        <v>135</v>
      </c>
      <c r="BG379" t="s">
        <v>1223</v>
      </c>
      <c r="BM379" t="s">
        <v>137</v>
      </c>
      <c r="BN379">
        <v>0</v>
      </c>
      <c r="BS379" t="s">
        <v>132</v>
      </c>
      <c r="BV379" t="s">
        <v>355</v>
      </c>
    </row>
    <row r="380" spans="1:92" x14ac:dyDescent="0.2">
      <c r="A380" t="s">
        <v>111</v>
      </c>
      <c r="B380" t="b">
        <v>1</v>
      </c>
      <c r="E380">
        <v>419</v>
      </c>
      <c r="F380" t="str">
        <f>HYPERLINK("https://portal.dnb.de/opac.htm?method=simpleSearch&amp;cqlMode=true&amp;query=idn%3D1066963827", "Portal")</f>
        <v>Portal</v>
      </c>
      <c r="G380" t="s">
        <v>125</v>
      </c>
      <c r="H380" t="s">
        <v>1808</v>
      </c>
      <c r="I380" t="s">
        <v>1809</v>
      </c>
      <c r="J380" t="s">
        <v>1810</v>
      </c>
      <c r="K380" t="s">
        <v>1810</v>
      </c>
      <c r="L380" t="s">
        <v>1810</v>
      </c>
      <c r="N380" t="s">
        <v>1811</v>
      </c>
      <c r="O380" t="s">
        <v>117</v>
      </c>
      <c r="P380" t="s">
        <v>118</v>
      </c>
      <c r="R380" t="s">
        <v>145</v>
      </c>
      <c r="S380" t="s">
        <v>121</v>
      </c>
      <c r="T380" t="s">
        <v>130</v>
      </c>
      <c r="U380" t="s">
        <v>210</v>
      </c>
      <c r="W380" t="s">
        <v>252</v>
      </c>
      <c r="X380" t="s">
        <v>124</v>
      </c>
      <c r="Y380">
        <v>1</v>
      </c>
      <c r="BN380">
        <v>0</v>
      </c>
    </row>
    <row r="381" spans="1:92" x14ac:dyDescent="0.2">
      <c r="A381" t="s">
        <v>111</v>
      </c>
      <c r="B381" t="b">
        <v>1</v>
      </c>
      <c r="E381">
        <v>441</v>
      </c>
      <c r="F381" t="str">
        <f>HYPERLINK("https://portal.dnb.de/opac.htm?method=simpleSearch&amp;cqlMode=true&amp;query=idn%3D999173235", "Portal")</f>
        <v>Portal</v>
      </c>
      <c r="G381" t="s">
        <v>112</v>
      </c>
      <c r="H381" t="s">
        <v>1812</v>
      </c>
      <c r="I381" t="s">
        <v>1813</v>
      </c>
      <c r="J381" t="s">
        <v>1814</v>
      </c>
      <c r="K381" t="s">
        <v>1814</v>
      </c>
      <c r="L381" t="s">
        <v>1814</v>
      </c>
      <c r="N381" t="s">
        <v>1815</v>
      </c>
      <c r="O381" t="s">
        <v>117</v>
      </c>
      <c r="R381" t="s">
        <v>145</v>
      </c>
      <c r="S381" t="s">
        <v>121</v>
      </c>
      <c r="T381" t="s">
        <v>130</v>
      </c>
      <c r="U381" t="s">
        <v>178</v>
      </c>
      <c r="W381" t="s">
        <v>67</v>
      </c>
      <c r="X381" t="s">
        <v>124</v>
      </c>
      <c r="Y381">
        <v>0</v>
      </c>
      <c r="BN381">
        <v>0</v>
      </c>
    </row>
    <row r="382" spans="1:92" x14ac:dyDescent="0.2">
      <c r="A382" t="s">
        <v>111</v>
      </c>
      <c r="B382" t="b">
        <v>1</v>
      </c>
      <c r="E382">
        <v>442</v>
      </c>
      <c r="F382" t="str">
        <f>HYPERLINK("https://portal.dnb.de/opac.htm?method=simpleSearch&amp;cqlMode=true&amp;query=idn%3D999173472", "Portal")</f>
        <v>Portal</v>
      </c>
      <c r="G382" t="s">
        <v>112</v>
      </c>
      <c r="H382" t="s">
        <v>1816</v>
      </c>
      <c r="I382" t="s">
        <v>1817</v>
      </c>
      <c r="J382" t="s">
        <v>1818</v>
      </c>
      <c r="K382" t="s">
        <v>1818</v>
      </c>
      <c r="L382" t="s">
        <v>1818</v>
      </c>
      <c r="N382" t="s">
        <v>1815</v>
      </c>
      <c r="O382" t="s">
        <v>117</v>
      </c>
      <c r="R382" t="s">
        <v>163</v>
      </c>
      <c r="S382" t="s">
        <v>121</v>
      </c>
      <c r="T382" t="s">
        <v>130</v>
      </c>
      <c r="U382" t="s">
        <v>203</v>
      </c>
      <c r="Y382">
        <v>0</v>
      </c>
      <c r="BN382">
        <v>0</v>
      </c>
    </row>
    <row r="383" spans="1:92" x14ac:dyDescent="0.2">
      <c r="A383" t="s">
        <v>111</v>
      </c>
      <c r="B383" t="b">
        <v>1</v>
      </c>
      <c r="E383">
        <v>443</v>
      </c>
      <c r="F383" t="str">
        <f>HYPERLINK("https://portal.dnb.de/opac.htm?method=simpleSearch&amp;cqlMode=true&amp;query=idn%3D999424467", "Portal")</f>
        <v>Portal</v>
      </c>
      <c r="G383" t="s">
        <v>112</v>
      </c>
      <c r="H383" t="s">
        <v>1819</v>
      </c>
      <c r="I383" t="s">
        <v>1820</v>
      </c>
      <c r="J383" t="s">
        <v>1821</v>
      </c>
      <c r="K383" t="s">
        <v>1821</v>
      </c>
      <c r="L383" t="s">
        <v>1821</v>
      </c>
      <c r="N383" t="s">
        <v>1822</v>
      </c>
      <c r="O383" t="s">
        <v>117</v>
      </c>
      <c r="P383" t="s">
        <v>118</v>
      </c>
      <c r="R383" t="s">
        <v>163</v>
      </c>
      <c r="S383" t="s">
        <v>121</v>
      </c>
      <c r="T383" t="s">
        <v>130</v>
      </c>
      <c r="W383" t="s">
        <v>252</v>
      </c>
      <c r="X383" t="s">
        <v>124</v>
      </c>
      <c r="Y383">
        <v>0</v>
      </c>
      <c r="AA383" t="s">
        <v>1823</v>
      </c>
      <c r="BN383">
        <v>0</v>
      </c>
    </row>
    <row r="384" spans="1:92" x14ac:dyDescent="0.2">
      <c r="A384" t="s">
        <v>111</v>
      </c>
      <c r="B384" t="b">
        <v>1</v>
      </c>
      <c r="E384">
        <v>444</v>
      </c>
      <c r="F384" t="str">
        <f>HYPERLINK("https://portal.dnb.de/opac.htm?method=simpleSearch&amp;cqlMode=true&amp;query=idn%3D1003702910", "Portal")</f>
        <v>Portal</v>
      </c>
      <c r="G384" t="s">
        <v>112</v>
      </c>
      <c r="H384" t="s">
        <v>1824</v>
      </c>
      <c r="I384" t="s">
        <v>1825</v>
      </c>
      <c r="J384" t="s">
        <v>1826</v>
      </c>
      <c r="K384" t="s">
        <v>1826</v>
      </c>
      <c r="L384" t="s">
        <v>1826</v>
      </c>
      <c r="N384" t="s">
        <v>1827</v>
      </c>
      <c r="O384" t="s">
        <v>117</v>
      </c>
      <c r="R384" t="s">
        <v>163</v>
      </c>
      <c r="S384" t="s">
        <v>121</v>
      </c>
      <c r="T384" t="s">
        <v>122</v>
      </c>
      <c r="U384" t="s">
        <v>203</v>
      </c>
      <c r="Y384">
        <v>0</v>
      </c>
      <c r="BN384">
        <v>0</v>
      </c>
    </row>
    <row r="385" spans="1:92" x14ac:dyDescent="0.2">
      <c r="A385" t="s">
        <v>111</v>
      </c>
      <c r="B385" t="b">
        <v>1</v>
      </c>
      <c r="E385">
        <v>445</v>
      </c>
      <c r="F385" t="str">
        <f>HYPERLINK("https://portal.dnb.de/opac.htm?method=simpleSearch&amp;cqlMode=true&amp;query=idn%3D999173707", "Portal")</f>
        <v>Portal</v>
      </c>
      <c r="G385" t="s">
        <v>112</v>
      </c>
      <c r="H385" t="s">
        <v>1828</v>
      </c>
      <c r="I385" t="s">
        <v>1829</v>
      </c>
      <c r="J385" t="s">
        <v>1830</v>
      </c>
      <c r="K385" t="s">
        <v>1830</v>
      </c>
      <c r="L385" t="s">
        <v>1830</v>
      </c>
      <c r="N385" t="s">
        <v>1831</v>
      </c>
      <c r="O385" t="s">
        <v>117</v>
      </c>
      <c r="R385" t="s">
        <v>163</v>
      </c>
      <c r="S385" t="s">
        <v>121</v>
      </c>
      <c r="T385" t="s">
        <v>130</v>
      </c>
      <c r="U385" t="s">
        <v>131</v>
      </c>
      <c r="Y385">
        <v>0</v>
      </c>
      <c r="BN385">
        <v>0</v>
      </c>
    </row>
    <row r="386" spans="1:92" x14ac:dyDescent="0.2">
      <c r="A386" t="s">
        <v>111</v>
      </c>
      <c r="B386" t="b">
        <v>1</v>
      </c>
      <c r="F386" t="str">
        <f>HYPERLINK("https://portal.dnb.de/opac.htm?method=simpleSearch&amp;cqlMode=true&amp;query=idn%3D1268890502", "Portal")</f>
        <v>Portal</v>
      </c>
      <c r="G386" t="s">
        <v>319</v>
      </c>
      <c r="H386" t="s">
        <v>1832</v>
      </c>
      <c r="I386" t="s">
        <v>1833</v>
      </c>
      <c r="J386" t="s">
        <v>1834</v>
      </c>
      <c r="K386" t="s">
        <v>1834</v>
      </c>
      <c r="L386" t="s">
        <v>1834</v>
      </c>
      <c r="N386" t="s">
        <v>338</v>
      </c>
      <c r="O386" t="s">
        <v>117</v>
      </c>
      <c r="P386" t="s">
        <v>118</v>
      </c>
      <c r="R386" t="s">
        <v>145</v>
      </c>
      <c r="S386" t="s">
        <v>121</v>
      </c>
      <c r="T386" t="s">
        <v>130</v>
      </c>
      <c r="U386" t="s">
        <v>210</v>
      </c>
      <c r="W386" t="s">
        <v>67</v>
      </c>
      <c r="X386" t="s">
        <v>860</v>
      </c>
      <c r="Y386">
        <v>0</v>
      </c>
      <c r="BN386">
        <v>0</v>
      </c>
    </row>
    <row r="387" spans="1:92" x14ac:dyDescent="0.2">
      <c r="A387" t="s">
        <v>111</v>
      </c>
      <c r="B387" t="b">
        <v>1</v>
      </c>
      <c r="C387" t="s">
        <v>132</v>
      </c>
      <c r="E387">
        <v>420</v>
      </c>
      <c r="F387" t="str">
        <f>HYPERLINK("https://portal.dnb.de/opac.htm?method=simpleSearch&amp;cqlMode=true&amp;query=idn%3D1066847088", "Portal")</f>
        <v>Portal</v>
      </c>
      <c r="G387" t="s">
        <v>125</v>
      </c>
      <c r="H387" t="s">
        <v>1835</v>
      </c>
      <c r="I387" t="s">
        <v>1836</v>
      </c>
      <c r="J387" t="s">
        <v>1837</v>
      </c>
      <c r="K387" t="s">
        <v>1837</v>
      </c>
      <c r="L387" t="s">
        <v>1837</v>
      </c>
      <c r="N387" t="s">
        <v>1838</v>
      </c>
      <c r="O387" t="s">
        <v>117</v>
      </c>
      <c r="P387" t="s">
        <v>118</v>
      </c>
      <c r="R387" t="s">
        <v>223</v>
      </c>
      <c r="S387" t="s">
        <v>146</v>
      </c>
      <c r="T387" t="s">
        <v>122</v>
      </c>
      <c r="U387" t="s">
        <v>203</v>
      </c>
      <c r="W387" t="s">
        <v>147</v>
      </c>
      <c r="X387" t="s">
        <v>124</v>
      </c>
      <c r="Y387">
        <v>1</v>
      </c>
      <c r="AI387" t="s">
        <v>365</v>
      </c>
      <c r="AK387" t="s">
        <v>132</v>
      </c>
      <c r="AM387" t="s">
        <v>134</v>
      </c>
      <c r="AS387" t="s">
        <v>135</v>
      </c>
      <c r="BG387">
        <v>110</v>
      </c>
      <c r="BM387" t="s">
        <v>180</v>
      </c>
      <c r="BN387">
        <v>0.5</v>
      </c>
      <c r="BR387" t="s">
        <v>132</v>
      </c>
      <c r="BZ387" t="s">
        <v>132</v>
      </c>
      <c r="CA387" t="s">
        <v>132</v>
      </c>
      <c r="CB387" t="s">
        <v>132</v>
      </c>
      <c r="CM387">
        <v>0.5</v>
      </c>
    </row>
    <row r="388" spans="1:92" x14ac:dyDescent="0.2">
      <c r="A388" t="s">
        <v>111</v>
      </c>
      <c r="B388" t="b">
        <v>1</v>
      </c>
      <c r="E388">
        <v>421</v>
      </c>
      <c r="F388" t="str">
        <f>HYPERLINK("https://portal.dnb.de/opac.htm?method=simpleSearch&amp;cqlMode=true&amp;query=idn%3D1066957304", "Portal")</f>
        <v>Portal</v>
      </c>
      <c r="G388" t="s">
        <v>125</v>
      </c>
      <c r="H388" t="s">
        <v>1839</v>
      </c>
      <c r="I388" t="s">
        <v>1840</v>
      </c>
      <c r="J388" t="s">
        <v>1841</v>
      </c>
      <c r="K388" t="s">
        <v>1841</v>
      </c>
      <c r="L388" t="s">
        <v>1841</v>
      </c>
      <c r="N388" t="s">
        <v>1842</v>
      </c>
      <c r="O388" t="s">
        <v>117</v>
      </c>
      <c r="P388" t="s">
        <v>118</v>
      </c>
      <c r="R388" t="s">
        <v>190</v>
      </c>
      <c r="S388" t="s">
        <v>121</v>
      </c>
      <c r="T388" t="s">
        <v>122</v>
      </c>
      <c r="W388" t="s">
        <v>252</v>
      </c>
      <c r="X388" t="s">
        <v>124</v>
      </c>
      <c r="Y388">
        <v>2</v>
      </c>
      <c r="AA388" t="s">
        <v>1823</v>
      </c>
      <c r="AI388" t="s">
        <v>1638</v>
      </c>
      <c r="AJ388" t="s">
        <v>1843</v>
      </c>
      <c r="AS388" t="s">
        <v>135</v>
      </c>
      <c r="BG388">
        <v>180</v>
      </c>
      <c r="BM388" t="s">
        <v>137</v>
      </c>
      <c r="BN388">
        <v>0</v>
      </c>
      <c r="BS388" t="s">
        <v>132</v>
      </c>
      <c r="BV388" t="s">
        <v>1844</v>
      </c>
    </row>
    <row r="389" spans="1:92" x14ac:dyDescent="0.2">
      <c r="A389" t="s">
        <v>111</v>
      </c>
      <c r="B389" t="b">
        <v>1</v>
      </c>
      <c r="E389">
        <v>449</v>
      </c>
      <c r="F389" t="str">
        <f>HYPERLINK("https://portal.dnb.de/opac.htm?method=simpleSearch&amp;cqlMode=true&amp;query=idn%3D1003325297", "Portal")</f>
        <v>Portal</v>
      </c>
      <c r="G389" t="s">
        <v>112</v>
      </c>
      <c r="H389" t="s">
        <v>1845</v>
      </c>
      <c r="I389" t="s">
        <v>1846</v>
      </c>
      <c r="J389" t="s">
        <v>1847</v>
      </c>
      <c r="K389" t="s">
        <v>1847</v>
      </c>
      <c r="L389" t="s">
        <v>1848</v>
      </c>
      <c r="N389" t="s">
        <v>1849</v>
      </c>
      <c r="O389" t="s">
        <v>117</v>
      </c>
      <c r="R389" t="s">
        <v>163</v>
      </c>
      <c r="S389" t="s">
        <v>121</v>
      </c>
      <c r="T389" t="s">
        <v>122</v>
      </c>
      <c r="W389" t="s">
        <v>252</v>
      </c>
      <c r="X389" t="s">
        <v>124</v>
      </c>
      <c r="Y389">
        <v>0</v>
      </c>
      <c r="AA389" t="s">
        <v>1823</v>
      </c>
      <c r="AI389" t="s">
        <v>1638</v>
      </c>
      <c r="AJ389" t="s">
        <v>1850</v>
      </c>
      <c r="AS389" t="s">
        <v>135</v>
      </c>
      <c r="BG389">
        <v>180</v>
      </c>
      <c r="BM389" t="s">
        <v>137</v>
      </c>
      <c r="BN389">
        <v>0</v>
      </c>
      <c r="BS389" t="s">
        <v>132</v>
      </c>
      <c r="BV389" t="s">
        <v>1844</v>
      </c>
    </row>
    <row r="390" spans="1:92" x14ac:dyDescent="0.2">
      <c r="A390" t="s">
        <v>111</v>
      </c>
      <c r="B390" t="b">
        <v>1</v>
      </c>
      <c r="E390">
        <v>450</v>
      </c>
      <c r="F390" t="str">
        <f>HYPERLINK("https://portal.dnb.de/opac.htm?method=simpleSearch&amp;cqlMode=true&amp;query=idn%3D997214228", "Portal")</f>
        <v>Portal</v>
      </c>
      <c r="G390" t="s">
        <v>112</v>
      </c>
      <c r="H390" t="s">
        <v>1851</v>
      </c>
      <c r="I390" t="s">
        <v>1852</v>
      </c>
      <c r="J390" t="s">
        <v>1853</v>
      </c>
      <c r="K390" t="s">
        <v>1853</v>
      </c>
      <c r="L390" t="s">
        <v>1853</v>
      </c>
      <c r="N390" t="s">
        <v>1854</v>
      </c>
      <c r="O390" t="s">
        <v>117</v>
      </c>
      <c r="R390" t="s">
        <v>163</v>
      </c>
      <c r="S390" t="s">
        <v>121</v>
      </c>
      <c r="T390" t="s">
        <v>122</v>
      </c>
      <c r="U390" t="s">
        <v>203</v>
      </c>
      <c r="Y390">
        <v>0</v>
      </c>
      <c r="AI390" t="s">
        <v>792</v>
      </c>
      <c r="AL390" t="s">
        <v>132</v>
      </c>
      <c r="AM390" t="s">
        <v>134</v>
      </c>
      <c r="AS390" t="s">
        <v>135</v>
      </c>
      <c r="BG390">
        <v>110</v>
      </c>
      <c r="BM390" t="s">
        <v>137</v>
      </c>
      <c r="BN390">
        <v>0</v>
      </c>
      <c r="BS390" t="s">
        <v>132</v>
      </c>
    </row>
    <row r="391" spans="1:92" x14ac:dyDescent="0.2">
      <c r="A391" t="s">
        <v>111</v>
      </c>
      <c r="B391" t="b">
        <v>1</v>
      </c>
      <c r="E391">
        <v>451</v>
      </c>
      <c r="F391" t="str">
        <f>HYPERLINK("https://portal.dnb.de/opac.htm?method=simpleSearch&amp;cqlMode=true&amp;query=idn%3D993907032", "Portal")</f>
        <v>Portal</v>
      </c>
      <c r="G391" t="s">
        <v>112</v>
      </c>
      <c r="H391" t="s">
        <v>1855</v>
      </c>
      <c r="I391" t="s">
        <v>1856</v>
      </c>
      <c r="J391" t="s">
        <v>1857</v>
      </c>
      <c r="K391" t="s">
        <v>1857</v>
      </c>
      <c r="L391" t="s">
        <v>1857</v>
      </c>
      <c r="N391" t="s">
        <v>1858</v>
      </c>
      <c r="O391" t="s">
        <v>117</v>
      </c>
      <c r="S391" t="s">
        <v>121</v>
      </c>
      <c r="AI391" t="s">
        <v>1684</v>
      </c>
      <c r="AM391" t="s">
        <v>196</v>
      </c>
      <c r="AS391" t="s">
        <v>135</v>
      </c>
      <c r="BG391" t="s">
        <v>1223</v>
      </c>
      <c r="BM391" t="s">
        <v>137</v>
      </c>
      <c r="BN391">
        <v>0</v>
      </c>
      <c r="BS391" t="s">
        <v>132</v>
      </c>
    </row>
    <row r="392" spans="1:92" x14ac:dyDescent="0.2">
      <c r="A392" t="s">
        <v>111</v>
      </c>
      <c r="B392" t="b">
        <v>1</v>
      </c>
      <c r="E392">
        <v>452</v>
      </c>
      <c r="F392" t="str">
        <f>HYPERLINK("https://portal.dnb.de/opac.htm?method=simpleSearch&amp;cqlMode=true&amp;query=idn%3D1066960062", "Portal")</f>
        <v>Portal</v>
      </c>
      <c r="G392" t="s">
        <v>125</v>
      </c>
      <c r="H392" t="s">
        <v>1859</v>
      </c>
      <c r="I392" t="s">
        <v>1860</v>
      </c>
      <c r="J392" t="s">
        <v>1861</v>
      </c>
      <c r="K392" t="s">
        <v>1861</v>
      </c>
      <c r="L392" t="s">
        <v>1861</v>
      </c>
      <c r="N392" t="s">
        <v>1862</v>
      </c>
      <c r="O392" t="s">
        <v>117</v>
      </c>
      <c r="P392" t="s">
        <v>118</v>
      </c>
      <c r="R392" t="s">
        <v>257</v>
      </c>
      <c r="S392" t="s">
        <v>121</v>
      </c>
      <c r="T392" t="s">
        <v>122</v>
      </c>
      <c r="W392" t="s">
        <v>252</v>
      </c>
      <c r="X392" t="s">
        <v>124</v>
      </c>
      <c r="Y392">
        <v>0</v>
      </c>
      <c r="AA392" t="s">
        <v>1823</v>
      </c>
      <c r="AI392" t="s">
        <v>1638</v>
      </c>
      <c r="AJ392" t="s">
        <v>1850</v>
      </c>
      <c r="AS392" t="s">
        <v>135</v>
      </c>
      <c r="BG392">
        <v>180</v>
      </c>
      <c r="BM392" t="s">
        <v>137</v>
      </c>
      <c r="BN392">
        <v>0</v>
      </c>
      <c r="BS392" t="s">
        <v>132</v>
      </c>
    </row>
    <row r="393" spans="1:92" x14ac:dyDescent="0.2">
      <c r="A393" t="s">
        <v>111</v>
      </c>
      <c r="B393" t="b">
        <v>1</v>
      </c>
      <c r="C393" t="s">
        <v>132</v>
      </c>
      <c r="F393" t="str">
        <f>HYPERLINK("https://portal.dnb.de/opac.htm?method=simpleSearch&amp;cqlMode=true&amp;query=idn%3D1217816836", "Portal")</f>
        <v>Portal</v>
      </c>
      <c r="G393" t="s">
        <v>415</v>
      </c>
      <c r="H393" t="s">
        <v>1863</v>
      </c>
      <c r="I393" t="s">
        <v>1864</v>
      </c>
      <c r="J393" t="s">
        <v>1865</v>
      </c>
      <c r="K393" t="s">
        <v>1866</v>
      </c>
      <c r="L393" t="s">
        <v>1866</v>
      </c>
      <c r="N393" t="s">
        <v>1867</v>
      </c>
      <c r="O393" t="s">
        <v>117</v>
      </c>
      <c r="Q393" t="s">
        <v>1868</v>
      </c>
      <c r="S393" t="s">
        <v>146</v>
      </c>
      <c r="AI393" t="s">
        <v>149</v>
      </c>
      <c r="AL393" t="s">
        <v>132</v>
      </c>
      <c r="AM393" t="s">
        <v>196</v>
      </c>
      <c r="AS393" t="s">
        <v>135</v>
      </c>
      <c r="BG393">
        <v>60</v>
      </c>
      <c r="BN393">
        <v>1</v>
      </c>
      <c r="BP393" t="s">
        <v>1194</v>
      </c>
      <c r="CA393" t="s">
        <v>132</v>
      </c>
      <c r="CB393" t="s">
        <v>132</v>
      </c>
      <c r="CD393" t="s">
        <v>204</v>
      </c>
      <c r="CM393">
        <v>1</v>
      </c>
      <c r="CN393" t="s">
        <v>1869</v>
      </c>
    </row>
    <row r="394" spans="1:92" x14ac:dyDescent="0.2">
      <c r="A394" t="s">
        <v>111</v>
      </c>
      <c r="B394" t="b">
        <v>1</v>
      </c>
      <c r="E394">
        <v>423</v>
      </c>
      <c r="F394" t="str">
        <f>HYPERLINK("https://portal.dnb.de/opac.htm?method=simpleSearch&amp;cqlMode=true&amp;query=idn%3D999014935", "Portal")</f>
        <v>Portal</v>
      </c>
      <c r="G394" t="s">
        <v>112</v>
      </c>
      <c r="H394" t="s">
        <v>1870</v>
      </c>
      <c r="I394" t="s">
        <v>1871</v>
      </c>
      <c r="J394" t="s">
        <v>1872</v>
      </c>
      <c r="K394" t="s">
        <v>1872</v>
      </c>
      <c r="L394" t="s">
        <v>1872</v>
      </c>
      <c r="N394" t="s">
        <v>1873</v>
      </c>
      <c r="O394" t="s">
        <v>117</v>
      </c>
      <c r="R394" t="s">
        <v>120</v>
      </c>
      <c r="S394" t="s">
        <v>121</v>
      </c>
      <c r="T394" t="s">
        <v>122</v>
      </c>
      <c r="U394" t="s">
        <v>123</v>
      </c>
      <c r="Y394">
        <v>0</v>
      </c>
      <c r="BN394">
        <v>0</v>
      </c>
    </row>
    <row r="395" spans="1:92" x14ac:dyDescent="0.2">
      <c r="A395" t="s">
        <v>111</v>
      </c>
      <c r="B395" t="b">
        <v>1</v>
      </c>
      <c r="E395">
        <v>455</v>
      </c>
      <c r="F395" t="str">
        <f>HYPERLINK("https://portal.dnb.de/opac.htm?method=simpleSearch&amp;cqlMode=true&amp;query=idn%3D999640356", "Portal")</f>
        <v>Portal</v>
      </c>
      <c r="G395" t="s">
        <v>112</v>
      </c>
      <c r="H395" t="s">
        <v>1874</v>
      </c>
      <c r="I395" t="s">
        <v>1875</v>
      </c>
      <c r="J395" t="s">
        <v>1876</v>
      </c>
      <c r="K395" t="s">
        <v>1876</v>
      </c>
      <c r="L395" t="s">
        <v>1877</v>
      </c>
      <c r="N395" t="s">
        <v>1878</v>
      </c>
      <c r="O395" t="s">
        <v>117</v>
      </c>
      <c r="P395" t="s">
        <v>118</v>
      </c>
      <c r="R395" t="s">
        <v>145</v>
      </c>
      <c r="S395" t="s">
        <v>121</v>
      </c>
      <c r="T395" t="s">
        <v>122</v>
      </c>
      <c r="U395" t="s">
        <v>123</v>
      </c>
      <c r="W395" t="s">
        <v>147</v>
      </c>
      <c r="X395" t="s">
        <v>124</v>
      </c>
      <c r="Y395">
        <v>1</v>
      </c>
      <c r="BN395">
        <v>0</v>
      </c>
    </row>
    <row r="396" spans="1:92" x14ac:dyDescent="0.2">
      <c r="A396" t="s">
        <v>111</v>
      </c>
      <c r="B396" t="b">
        <v>1</v>
      </c>
      <c r="E396">
        <v>424</v>
      </c>
      <c r="F396" t="str">
        <f>HYPERLINK("https://portal.dnb.de/opac.htm?method=simpleSearch&amp;cqlMode=true&amp;query=idn%3D1000186962", "Portal")</f>
        <v>Portal</v>
      </c>
      <c r="G396" t="s">
        <v>112</v>
      </c>
      <c r="H396" t="s">
        <v>1879</v>
      </c>
      <c r="I396" t="s">
        <v>1880</v>
      </c>
      <c r="J396" t="s">
        <v>1881</v>
      </c>
      <c r="K396" t="s">
        <v>1881</v>
      </c>
      <c r="L396" t="s">
        <v>1881</v>
      </c>
      <c r="N396" t="s">
        <v>1882</v>
      </c>
      <c r="O396" t="s">
        <v>117</v>
      </c>
      <c r="R396" t="s">
        <v>145</v>
      </c>
      <c r="S396" t="s">
        <v>121</v>
      </c>
      <c r="T396" t="s">
        <v>122</v>
      </c>
      <c r="U396" t="s">
        <v>203</v>
      </c>
      <c r="W396" t="s">
        <v>147</v>
      </c>
      <c r="X396" t="s">
        <v>124</v>
      </c>
      <c r="Y396">
        <v>1</v>
      </c>
      <c r="AI396" t="s">
        <v>133</v>
      </c>
      <c r="AM396" t="s">
        <v>150</v>
      </c>
      <c r="AS396" t="s">
        <v>135</v>
      </c>
      <c r="BG396">
        <v>110</v>
      </c>
      <c r="BM396" t="s">
        <v>137</v>
      </c>
      <c r="BN396">
        <v>0</v>
      </c>
      <c r="BR396" t="s">
        <v>132</v>
      </c>
      <c r="BV396" t="s">
        <v>647</v>
      </c>
    </row>
    <row r="397" spans="1:92" x14ac:dyDescent="0.2">
      <c r="A397" t="s">
        <v>111</v>
      </c>
      <c r="B397" t="b">
        <v>1</v>
      </c>
      <c r="E397">
        <v>460</v>
      </c>
      <c r="F397" t="str">
        <f>HYPERLINK("https://portal.dnb.de/opac.htm?method=simpleSearch&amp;cqlMode=true&amp;query=idn%3D1066859388", "Portal")</f>
        <v>Portal</v>
      </c>
      <c r="G397" t="s">
        <v>125</v>
      </c>
      <c r="H397" t="s">
        <v>1883</v>
      </c>
      <c r="I397" t="s">
        <v>1884</v>
      </c>
      <c r="J397" t="s">
        <v>1885</v>
      </c>
      <c r="K397" t="s">
        <v>1885</v>
      </c>
      <c r="L397" t="s">
        <v>1885</v>
      </c>
      <c r="N397" t="s">
        <v>1886</v>
      </c>
      <c r="O397" t="s">
        <v>117</v>
      </c>
      <c r="P397" t="s">
        <v>118</v>
      </c>
      <c r="R397" t="s">
        <v>190</v>
      </c>
      <c r="S397" t="s">
        <v>146</v>
      </c>
      <c r="T397" t="s">
        <v>122</v>
      </c>
      <c r="U397" t="s">
        <v>203</v>
      </c>
      <c r="Y397">
        <v>1</v>
      </c>
      <c r="AI397" t="s">
        <v>365</v>
      </c>
      <c r="AM397" t="s">
        <v>134</v>
      </c>
      <c r="AS397" t="s">
        <v>135</v>
      </c>
      <c r="BG397">
        <v>110</v>
      </c>
      <c r="BM397" t="s">
        <v>137</v>
      </c>
      <c r="BN397">
        <v>0</v>
      </c>
      <c r="BV397" t="s">
        <v>355</v>
      </c>
    </row>
    <row r="398" spans="1:92" x14ac:dyDescent="0.2">
      <c r="A398" t="s">
        <v>111</v>
      </c>
      <c r="B398" t="b">
        <v>1</v>
      </c>
      <c r="C398" t="s">
        <v>132</v>
      </c>
      <c r="E398">
        <v>461</v>
      </c>
      <c r="F398" t="str">
        <f>HYPERLINK("https://portal.dnb.de/opac.htm?method=simpleSearch&amp;cqlMode=true&amp;query=idn%3D999973878", "Portal")</f>
        <v>Portal</v>
      </c>
      <c r="G398" t="s">
        <v>112</v>
      </c>
      <c r="H398" t="s">
        <v>1887</v>
      </c>
      <c r="I398" t="s">
        <v>1888</v>
      </c>
      <c r="J398" t="s">
        <v>1889</v>
      </c>
      <c r="K398" t="s">
        <v>1889</v>
      </c>
      <c r="L398" t="s">
        <v>1889</v>
      </c>
      <c r="N398" t="s">
        <v>1890</v>
      </c>
      <c r="O398" t="s">
        <v>117</v>
      </c>
      <c r="P398" t="s">
        <v>118</v>
      </c>
      <c r="R398" t="s">
        <v>120</v>
      </c>
      <c r="S398" t="s">
        <v>121</v>
      </c>
      <c r="T398" t="s">
        <v>130</v>
      </c>
      <c r="U398" t="s">
        <v>740</v>
      </c>
      <c r="Y398">
        <v>1</v>
      </c>
      <c r="AI398" t="s">
        <v>133</v>
      </c>
      <c r="AM398" t="s">
        <v>179</v>
      </c>
      <c r="AS398" t="s">
        <v>135</v>
      </c>
      <c r="BG398">
        <v>60</v>
      </c>
      <c r="BM398" t="s">
        <v>180</v>
      </c>
      <c r="BN398">
        <v>1</v>
      </c>
      <c r="BZ398" t="s">
        <v>132</v>
      </c>
      <c r="CA398" t="s">
        <v>132</v>
      </c>
      <c r="CB398" t="s">
        <v>132</v>
      </c>
      <c r="CM398">
        <v>1</v>
      </c>
      <c r="CN398" t="s">
        <v>1891</v>
      </c>
    </row>
    <row r="399" spans="1:92" x14ac:dyDescent="0.2">
      <c r="A399" t="s">
        <v>111</v>
      </c>
      <c r="B399" t="b">
        <v>1</v>
      </c>
      <c r="E399">
        <v>462</v>
      </c>
      <c r="F399" t="str">
        <f>HYPERLINK("https://portal.dnb.de/opac.htm?method=simpleSearch&amp;cqlMode=true&amp;query=idn%3D106696145X", "Portal")</f>
        <v>Portal</v>
      </c>
      <c r="G399" t="s">
        <v>125</v>
      </c>
      <c r="H399" t="s">
        <v>1892</v>
      </c>
      <c r="I399" t="s">
        <v>1893</v>
      </c>
      <c r="J399" t="s">
        <v>1894</v>
      </c>
      <c r="K399" t="s">
        <v>1894</v>
      </c>
      <c r="L399" t="s">
        <v>1894</v>
      </c>
      <c r="N399" t="s">
        <v>1895</v>
      </c>
      <c r="O399" t="s">
        <v>117</v>
      </c>
      <c r="P399" t="s">
        <v>118</v>
      </c>
      <c r="R399" t="s">
        <v>163</v>
      </c>
      <c r="S399" t="s">
        <v>121</v>
      </c>
      <c r="T399" t="s">
        <v>122</v>
      </c>
      <c r="U399" t="s">
        <v>203</v>
      </c>
      <c r="Y399">
        <v>0</v>
      </c>
      <c r="BN399">
        <v>0</v>
      </c>
    </row>
    <row r="400" spans="1:92" x14ac:dyDescent="0.2">
      <c r="A400" t="s">
        <v>111</v>
      </c>
      <c r="B400" t="b">
        <v>1</v>
      </c>
      <c r="E400">
        <v>463</v>
      </c>
      <c r="F400" t="str">
        <f>HYPERLINK("https://portal.dnb.de/opac.htm?method=simpleSearch&amp;cqlMode=true&amp;query=idn%3D1066786194", "Portal")</f>
        <v>Portal</v>
      </c>
      <c r="G400" t="s">
        <v>125</v>
      </c>
      <c r="H400" t="s">
        <v>1896</v>
      </c>
      <c r="I400" t="s">
        <v>1897</v>
      </c>
      <c r="J400" t="s">
        <v>1898</v>
      </c>
      <c r="K400" t="s">
        <v>1898</v>
      </c>
      <c r="L400" t="s">
        <v>1898</v>
      </c>
      <c r="N400" t="s">
        <v>1899</v>
      </c>
      <c r="O400" t="s">
        <v>117</v>
      </c>
      <c r="P400" t="s">
        <v>118</v>
      </c>
      <c r="R400" t="s">
        <v>190</v>
      </c>
      <c r="S400" t="s">
        <v>121</v>
      </c>
      <c r="T400" t="s">
        <v>122</v>
      </c>
      <c r="U400" t="s">
        <v>203</v>
      </c>
      <c r="Y400">
        <v>0</v>
      </c>
      <c r="BN400">
        <v>0</v>
      </c>
    </row>
    <row r="401" spans="1:92" x14ac:dyDescent="0.2">
      <c r="A401" t="s">
        <v>111</v>
      </c>
      <c r="B401" t="b">
        <v>1</v>
      </c>
      <c r="F401" t="str">
        <f>HYPERLINK("https://portal.dnb.de/opac.htm?method=simpleSearch&amp;cqlMode=true&amp;query=idn%3D1137969016", "Portal")</f>
        <v>Portal</v>
      </c>
      <c r="G401" t="s">
        <v>319</v>
      </c>
      <c r="H401" t="s">
        <v>1900</v>
      </c>
      <c r="I401" t="s">
        <v>1901</v>
      </c>
      <c r="J401" t="s">
        <v>1902</v>
      </c>
      <c r="K401" t="s">
        <v>1902</v>
      </c>
      <c r="L401" t="s">
        <v>1902</v>
      </c>
      <c r="N401" t="s">
        <v>1903</v>
      </c>
      <c r="O401" t="s">
        <v>117</v>
      </c>
      <c r="P401" t="s">
        <v>118</v>
      </c>
      <c r="R401" t="s">
        <v>223</v>
      </c>
      <c r="S401" t="s">
        <v>146</v>
      </c>
      <c r="T401" t="s">
        <v>122</v>
      </c>
      <c r="U401" t="s">
        <v>203</v>
      </c>
      <c r="W401" t="s">
        <v>147</v>
      </c>
      <c r="X401" t="s">
        <v>124</v>
      </c>
      <c r="Y401">
        <v>0</v>
      </c>
      <c r="BN401">
        <v>0</v>
      </c>
    </row>
    <row r="402" spans="1:92" x14ac:dyDescent="0.2">
      <c r="A402" t="s">
        <v>111</v>
      </c>
      <c r="B402" t="b">
        <v>1</v>
      </c>
      <c r="F402" t="str">
        <f>HYPERLINK("https://portal.dnb.de/opac.htm?method=simpleSearch&amp;cqlMode=true&amp;query=idn%3D1137969253", "Portal")</f>
        <v>Portal</v>
      </c>
      <c r="G402" t="s">
        <v>319</v>
      </c>
      <c r="H402" t="s">
        <v>1904</v>
      </c>
      <c r="I402" t="s">
        <v>1905</v>
      </c>
      <c r="J402" t="s">
        <v>1906</v>
      </c>
      <c r="K402" t="s">
        <v>1906</v>
      </c>
      <c r="L402" t="s">
        <v>1906</v>
      </c>
      <c r="N402" t="s">
        <v>1907</v>
      </c>
      <c r="O402" t="s">
        <v>117</v>
      </c>
      <c r="P402" t="s">
        <v>118</v>
      </c>
      <c r="R402" t="s">
        <v>223</v>
      </c>
      <c r="S402" t="s">
        <v>146</v>
      </c>
      <c r="T402" t="s">
        <v>122</v>
      </c>
      <c r="U402" t="s">
        <v>203</v>
      </c>
      <c r="W402" t="s">
        <v>147</v>
      </c>
      <c r="X402" t="s">
        <v>124</v>
      </c>
      <c r="Y402">
        <v>0</v>
      </c>
      <c r="BN402">
        <v>0</v>
      </c>
    </row>
    <row r="403" spans="1:92" x14ac:dyDescent="0.2">
      <c r="A403" t="s">
        <v>111</v>
      </c>
      <c r="B403" t="b">
        <v>1</v>
      </c>
      <c r="E403">
        <v>471</v>
      </c>
      <c r="F403" t="str">
        <f>HYPERLINK("https://portal.dnb.de/opac.htm?method=simpleSearch&amp;cqlMode=true&amp;query=idn%3D1066959412", "Portal")</f>
        <v>Portal</v>
      </c>
      <c r="G403" t="s">
        <v>125</v>
      </c>
      <c r="H403" t="s">
        <v>1908</v>
      </c>
      <c r="I403" t="s">
        <v>1909</v>
      </c>
      <c r="J403" t="s">
        <v>1910</v>
      </c>
      <c r="K403" t="s">
        <v>1910</v>
      </c>
      <c r="L403" t="s">
        <v>1910</v>
      </c>
      <c r="N403" t="s">
        <v>1911</v>
      </c>
      <c r="O403" t="s">
        <v>117</v>
      </c>
      <c r="P403" t="s">
        <v>118</v>
      </c>
      <c r="R403" t="s">
        <v>223</v>
      </c>
      <c r="S403" t="s">
        <v>121</v>
      </c>
      <c r="T403" t="s">
        <v>130</v>
      </c>
      <c r="U403" t="s">
        <v>203</v>
      </c>
      <c r="W403" t="s">
        <v>147</v>
      </c>
      <c r="X403" t="s">
        <v>124</v>
      </c>
      <c r="Y403">
        <v>0</v>
      </c>
      <c r="BN403">
        <v>0</v>
      </c>
    </row>
    <row r="404" spans="1:92" x14ac:dyDescent="0.2">
      <c r="A404" t="s">
        <v>111</v>
      </c>
      <c r="B404" t="b">
        <v>1</v>
      </c>
      <c r="E404">
        <v>472</v>
      </c>
      <c r="F404" t="str">
        <f>HYPERLINK("https://portal.dnb.de/opac.htm?method=simpleSearch&amp;cqlMode=true&amp;query=idn%3D1066940452", "Portal")</f>
        <v>Portal</v>
      </c>
      <c r="G404" t="s">
        <v>125</v>
      </c>
      <c r="H404" t="s">
        <v>1912</v>
      </c>
      <c r="I404" t="s">
        <v>1913</v>
      </c>
      <c r="J404" t="s">
        <v>1914</v>
      </c>
      <c r="K404" t="s">
        <v>1914</v>
      </c>
      <c r="L404" t="s">
        <v>1914</v>
      </c>
      <c r="N404" t="s">
        <v>1915</v>
      </c>
      <c r="O404" t="s">
        <v>117</v>
      </c>
      <c r="P404" t="s">
        <v>118</v>
      </c>
      <c r="R404" t="s">
        <v>145</v>
      </c>
      <c r="S404" t="s">
        <v>1193</v>
      </c>
      <c r="T404" t="s">
        <v>130</v>
      </c>
      <c r="U404" t="s">
        <v>458</v>
      </c>
      <c r="W404" t="s">
        <v>67</v>
      </c>
      <c r="X404" t="s">
        <v>124</v>
      </c>
      <c r="Y404">
        <v>0</v>
      </c>
      <c r="AI404" t="s">
        <v>149</v>
      </c>
      <c r="AL404" t="s">
        <v>132</v>
      </c>
      <c r="AM404" t="s">
        <v>196</v>
      </c>
      <c r="AR404" t="s">
        <v>132</v>
      </c>
      <c r="AS404" t="s">
        <v>135</v>
      </c>
      <c r="BC404" t="s">
        <v>1768</v>
      </c>
      <c r="BD404" t="s">
        <v>132</v>
      </c>
      <c r="BE404">
        <v>0</v>
      </c>
      <c r="BF404" t="s">
        <v>132</v>
      </c>
      <c r="BG404">
        <v>110</v>
      </c>
      <c r="BM404" t="s">
        <v>137</v>
      </c>
      <c r="BN404">
        <v>0</v>
      </c>
      <c r="BP404" t="s">
        <v>727</v>
      </c>
    </row>
    <row r="405" spans="1:92" x14ac:dyDescent="0.2">
      <c r="A405" t="s">
        <v>111</v>
      </c>
      <c r="B405" t="b">
        <v>1</v>
      </c>
      <c r="F405" t="str">
        <f>HYPERLINK("https://portal.dnb.de/opac.htm?method=simpleSearch&amp;cqlMode=true&amp;query=idn%3D1137895519", "Portal")</f>
        <v>Portal</v>
      </c>
      <c r="G405" t="s">
        <v>319</v>
      </c>
      <c r="H405" t="s">
        <v>1916</v>
      </c>
      <c r="I405" t="s">
        <v>1917</v>
      </c>
      <c r="J405" t="s">
        <v>1918</v>
      </c>
      <c r="K405" t="s">
        <v>1918</v>
      </c>
      <c r="L405" t="s">
        <v>1918</v>
      </c>
      <c r="N405" t="s">
        <v>338</v>
      </c>
      <c r="O405" t="s">
        <v>117</v>
      </c>
      <c r="P405" t="s">
        <v>118</v>
      </c>
      <c r="R405" t="s">
        <v>145</v>
      </c>
      <c r="S405" t="s">
        <v>121</v>
      </c>
      <c r="T405" t="s">
        <v>130</v>
      </c>
      <c r="U405" t="s">
        <v>178</v>
      </c>
      <c r="W405" t="s">
        <v>67</v>
      </c>
      <c r="X405" t="s">
        <v>124</v>
      </c>
      <c r="Y405">
        <v>0</v>
      </c>
      <c r="BN405">
        <v>0</v>
      </c>
    </row>
    <row r="406" spans="1:92" x14ac:dyDescent="0.2">
      <c r="A406" t="s">
        <v>111</v>
      </c>
      <c r="B406" t="b">
        <v>1</v>
      </c>
      <c r="E406">
        <v>496</v>
      </c>
      <c r="F406" t="str">
        <f>HYPERLINK("https://portal.dnb.de/opac.htm?method=simpleSearch&amp;cqlMode=true&amp;query=idn%3D1001987322", "Portal")</f>
        <v>Portal</v>
      </c>
      <c r="G406" t="s">
        <v>112</v>
      </c>
      <c r="H406" t="s">
        <v>1919</v>
      </c>
      <c r="I406" t="s">
        <v>1920</v>
      </c>
      <c r="J406" t="s">
        <v>1921</v>
      </c>
      <c r="K406" t="s">
        <v>1921</v>
      </c>
      <c r="L406" t="s">
        <v>1922</v>
      </c>
      <c r="N406" t="s">
        <v>1923</v>
      </c>
      <c r="O406" t="s">
        <v>117</v>
      </c>
      <c r="R406" t="s">
        <v>257</v>
      </c>
      <c r="S406" t="s">
        <v>121</v>
      </c>
      <c r="T406" t="s">
        <v>122</v>
      </c>
      <c r="U406" t="s">
        <v>203</v>
      </c>
      <c r="W406" t="s">
        <v>67</v>
      </c>
      <c r="X406" t="s">
        <v>124</v>
      </c>
      <c r="Y406">
        <v>0</v>
      </c>
      <c r="BN406">
        <v>0</v>
      </c>
    </row>
    <row r="407" spans="1:92" x14ac:dyDescent="0.2">
      <c r="A407" t="s">
        <v>111</v>
      </c>
      <c r="B407" t="b">
        <v>1</v>
      </c>
      <c r="F407" t="str">
        <f>HYPERLINK("https://portal.dnb.de/opac.htm?method=simpleSearch&amp;cqlMode=true&amp;query=idn%3D1137896175", "Portal")</f>
        <v>Portal</v>
      </c>
      <c r="G407" t="s">
        <v>319</v>
      </c>
      <c r="H407" t="s">
        <v>1924</v>
      </c>
      <c r="I407" t="s">
        <v>1925</v>
      </c>
      <c r="J407" t="s">
        <v>1926</v>
      </c>
      <c r="K407" t="s">
        <v>1926</v>
      </c>
      <c r="L407" t="s">
        <v>1926</v>
      </c>
      <c r="N407" t="s">
        <v>1927</v>
      </c>
      <c r="O407" t="s">
        <v>117</v>
      </c>
      <c r="P407" t="s">
        <v>118</v>
      </c>
      <c r="R407" t="s">
        <v>223</v>
      </c>
      <c r="S407" t="s">
        <v>146</v>
      </c>
      <c r="T407" t="s">
        <v>122</v>
      </c>
      <c r="U407" t="s">
        <v>203</v>
      </c>
      <c r="W407" t="s">
        <v>147</v>
      </c>
      <c r="X407" t="s">
        <v>124</v>
      </c>
      <c r="Y407">
        <v>0</v>
      </c>
      <c r="BN407">
        <v>0</v>
      </c>
    </row>
    <row r="408" spans="1:92" x14ac:dyDescent="0.2">
      <c r="A408" t="s">
        <v>111</v>
      </c>
      <c r="B408" t="b">
        <v>1</v>
      </c>
      <c r="E408">
        <v>475</v>
      </c>
      <c r="F408" t="str">
        <f>HYPERLINK("https://portal.dnb.de/opac.htm?method=simpleSearch&amp;cqlMode=true&amp;query=idn%3D1066849633", "Portal")</f>
        <v>Portal</v>
      </c>
      <c r="G408" t="s">
        <v>125</v>
      </c>
      <c r="H408" t="s">
        <v>1928</v>
      </c>
      <c r="I408" t="s">
        <v>1929</v>
      </c>
      <c r="J408" t="s">
        <v>1930</v>
      </c>
      <c r="K408" t="s">
        <v>1930</v>
      </c>
      <c r="L408" t="s">
        <v>1930</v>
      </c>
      <c r="N408" t="s">
        <v>1931</v>
      </c>
      <c r="O408" t="s">
        <v>117</v>
      </c>
      <c r="P408" t="s">
        <v>118</v>
      </c>
      <c r="R408" t="s">
        <v>480</v>
      </c>
      <c r="S408" t="s">
        <v>121</v>
      </c>
      <c r="T408" t="s">
        <v>130</v>
      </c>
      <c r="U408" t="s">
        <v>203</v>
      </c>
      <c r="Y408">
        <v>0</v>
      </c>
      <c r="AA408" t="s">
        <v>1932</v>
      </c>
      <c r="BN408">
        <v>0</v>
      </c>
    </row>
    <row r="409" spans="1:92" x14ac:dyDescent="0.2">
      <c r="A409" t="s">
        <v>111</v>
      </c>
      <c r="B409" t="b">
        <v>1</v>
      </c>
      <c r="E409">
        <v>476</v>
      </c>
      <c r="F409" t="str">
        <f>HYPERLINK("https://portal.dnb.de/opac.htm?method=simpleSearch&amp;cqlMode=true&amp;query=idn%3D1066940851", "Portal")</f>
        <v>Portal</v>
      </c>
      <c r="G409" t="s">
        <v>125</v>
      </c>
      <c r="H409" t="s">
        <v>1933</v>
      </c>
      <c r="I409" t="s">
        <v>1934</v>
      </c>
      <c r="J409" t="s">
        <v>1935</v>
      </c>
      <c r="K409" t="s">
        <v>1935</v>
      </c>
      <c r="L409" t="s">
        <v>1935</v>
      </c>
      <c r="N409" t="s">
        <v>1936</v>
      </c>
      <c r="O409" t="s">
        <v>117</v>
      </c>
      <c r="P409" t="s">
        <v>118</v>
      </c>
      <c r="R409" t="s">
        <v>480</v>
      </c>
      <c r="S409" t="s">
        <v>121</v>
      </c>
      <c r="T409" t="s">
        <v>130</v>
      </c>
      <c r="U409" t="s">
        <v>210</v>
      </c>
      <c r="Y409">
        <v>0</v>
      </c>
      <c r="AA409" t="s">
        <v>1932</v>
      </c>
      <c r="BN409">
        <v>0</v>
      </c>
    </row>
    <row r="410" spans="1:92" x14ac:dyDescent="0.2">
      <c r="A410" t="s">
        <v>111</v>
      </c>
      <c r="B410" t="b">
        <v>1</v>
      </c>
      <c r="E410">
        <v>477</v>
      </c>
      <c r="F410" t="str">
        <f>HYPERLINK("https://portal.dnb.de/opac.htm?method=simpleSearch&amp;cqlMode=true&amp;query=idn%3D1066935866", "Portal")</f>
        <v>Portal</v>
      </c>
      <c r="G410" t="s">
        <v>125</v>
      </c>
      <c r="H410" t="s">
        <v>1937</v>
      </c>
      <c r="I410" t="s">
        <v>1938</v>
      </c>
      <c r="J410" t="s">
        <v>1939</v>
      </c>
      <c r="K410" t="s">
        <v>1939</v>
      </c>
      <c r="L410" t="s">
        <v>1939</v>
      </c>
      <c r="N410" t="s">
        <v>1940</v>
      </c>
      <c r="O410" t="s">
        <v>117</v>
      </c>
      <c r="P410" t="s">
        <v>118</v>
      </c>
      <c r="R410" t="s">
        <v>480</v>
      </c>
      <c r="S410" t="s">
        <v>121</v>
      </c>
      <c r="T410" t="s">
        <v>130</v>
      </c>
      <c r="U410" t="s">
        <v>210</v>
      </c>
      <c r="Y410">
        <v>0</v>
      </c>
      <c r="AA410" t="s">
        <v>1932</v>
      </c>
      <c r="BN410">
        <v>0</v>
      </c>
    </row>
    <row r="411" spans="1:92" x14ac:dyDescent="0.2">
      <c r="A411" t="s">
        <v>111</v>
      </c>
      <c r="B411" t="b">
        <v>1</v>
      </c>
      <c r="F411" t="str">
        <f>HYPERLINK("https://portal.dnb.de/opac.htm?method=simpleSearch&amp;cqlMode=true&amp;query=idn%3D1137888539", "Portal")</f>
        <v>Portal</v>
      </c>
      <c r="G411" t="s">
        <v>319</v>
      </c>
      <c r="H411" t="s">
        <v>1941</v>
      </c>
      <c r="I411" t="s">
        <v>1942</v>
      </c>
      <c r="J411" t="s">
        <v>1943</v>
      </c>
      <c r="K411" t="s">
        <v>1943</v>
      </c>
      <c r="L411" t="s">
        <v>1943</v>
      </c>
      <c r="N411" t="s">
        <v>338</v>
      </c>
      <c r="O411" t="s">
        <v>117</v>
      </c>
      <c r="P411" t="s">
        <v>118</v>
      </c>
      <c r="R411" t="s">
        <v>120</v>
      </c>
      <c r="S411" t="s">
        <v>121</v>
      </c>
      <c r="T411" t="s">
        <v>130</v>
      </c>
      <c r="U411" t="s">
        <v>178</v>
      </c>
      <c r="W411" t="s">
        <v>67</v>
      </c>
      <c r="X411" t="s">
        <v>124</v>
      </c>
      <c r="Y411">
        <v>0</v>
      </c>
      <c r="BN411">
        <v>0</v>
      </c>
    </row>
    <row r="412" spans="1:92" x14ac:dyDescent="0.2">
      <c r="A412" t="s">
        <v>111</v>
      </c>
      <c r="B412" t="b">
        <v>1</v>
      </c>
      <c r="E412">
        <v>499</v>
      </c>
      <c r="F412" t="str">
        <f>HYPERLINK("https://portal.dnb.de/opac.htm?method=simpleSearch&amp;cqlMode=true&amp;query=idn%3D994509766", "Portal")</f>
        <v>Portal</v>
      </c>
      <c r="G412" t="s">
        <v>542</v>
      </c>
      <c r="H412" t="s">
        <v>1944</v>
      </c>
      <c r="I412" t="s">
        <v>1945</v>
      </c>
      <c r="J412" t="s">
        <v>1946</v>
      </c>
      <c r="K412" t="s">
        <v>1946</v>
      </c>
      <c r="L412" t="s">
        <v>1947</v>
      </c>
      <c r="N412" t="s">
        <v>1948</v>
      </c>
      <c r="O412" t="s">
        <v>1949</v>
      </c>
      <c r="P412" t="s">
        <v>118</v>
      </c>
      <c r="Q412" t="s">
        <v>324</v>
      </c>
      <c r="R412" t="s">
        <v>120</v>
      </c>
      <c r="S412" t="s">
        <v>121</v>
      </c>
      <c r="T412" t="s">
        <v>130</v>
      </c>
      <c r="U412" t="s">
        <v>123</v>
      </c>
      <c r="W412" t="s">
        <v>67</v>
      </c>
      <c r="X412" t="s">
        <v>124</v>
      </c>
      <c r="Y412">
        <v>0</v>
      </c>
      <c r="BN412">
        <v>0</v>
      </c>
    </row>
    <row r="413" spans="1:92" x14ac:dyDescent="0.2">
      <c r="A413" t="s">
        <v>111</v>
      </c>
      <c r="B413" t="b">
        <v>1</v>
      </c>
      <c r="E413">
        <v>500</v>
      </c>
      <c r="F413" t="str">
        <f>HYPERLINK("https://portal.dnb.de/opac.htm?method=simpleSearch&amp;cqlMode=true&amp;query=idn%3D100231917X", "Portal")</f>
        <v>Portal</v>
      </c>
      <c r="G413" t="s">
        <v>542</v>
      </c>
      <c r="H413" t="s">
        <v>1950</v>
      </c>
      <c r="I413" t="s">
        <v>1951</v>
      </c>
      <c r="J413" t="s">
        <v>1952</v>
      </c>
      <c r="K413" t="s">
        <v>1952</v>
      </c>
      <c r="L413" t="s">
        <v>1953</v>
      </c>
      <c r="N413" t="s">
        <v>1954</v>
      </c>
      <c r="O413" t="s">
        <v>713</v>
      </c>
      <c r="BN413">
        <v>0</v>
      </c>
    </row>
    <row r="414" spans="1:92" x14ac:dyDescent="0.2">
      <c r="A414" t="s">
        <v>111</v>
      </c>
      <c r="B414" t="b">
        <v>1</v>
      </c>
      <c r="C414" t="s">
        <v>132</v>
      </c>
      <c r="E414">
        <v>479</v>
      </c>
      <c r="F414" t="str">
        <f>HYPERLINK("https://portal.dnb.de/opac.htm?method=simpleSearch&amp;cqlMode=true&amp;query=idn%3D1132616654", "Portal")</f>
        <v>Portal</v>
      </c>
      <c r="G414" t="s">
        <v>125</v>
      </c>
      <c r="H414" t="s">
        <v>1955</v>
      </c>
      <c r="I414" t="s">
        <v>1956</v>
      </c>
      <c r="J414" t="s">
        <v>1957</v>
      </c>
      <c r="K414" t="s">
        <v>1957</v>
      </c>
      <c r="L414" t="s">
        <v>1957</v>
      </c>
      <c r="N414" t="s">
        <v>1958</v>
      </c>
      <c r="O414" t="s">
        <v>117</v>
      </c>
      <c r="P414" t="s">
        <v>118</v>
      </c>
      <c r="R414" t="s">
        <v>120</v>
      </c>
      <c r="S414" t="s">
        <v>121</v>
      </c>
      <c r="T414" t="s">
        <v>130</v>
      </c>
      <c r="U414" t="s">
        <v>123</v>
      </c>
      <c r="W414" t="s">
        <v>1959</v>
      </c>
      <c r="X414" t="s">
        <v>124</v>
      </c>
      <c r="Y414">
        <v>2</v>
      </c>
      <c r="AH414" t="s">
        <v>132</v>
      </c>
      <c r="AI414" t="s">
        <v>133</v>
      </c>
      <c r="AM414" t="s">
        <v>179</v>
      </c>
      <c r="AS414" t="s">
        <v>135</v>
      </c>
      <c r="BG414">
        <v>0</v>
      </c>
      <c r="BH414" t="s">
        <v>1960</v>
      </c>
      <c r="BM414" t="s">
        <v>1961</v>
      </c>
      <c r="BN414">
        <v>6</v>
      </c>
      <c r="BP414" t="s">
        <v>181</v>
      </c>
      <c r="BV414" t="s">
        <v>1962</v>
      </c>
      <c r="BZ414" t="s">
        <v>132</v>
      </c>
      <c r="CA414" t="s">
        <v>132</v>
      </c>
      <c r="CB414" t="s">
        <v>132</v>
      </c>
      <c r="CD414" t="s">
        <v>204</v>
      </c>
      <c r="CM414">
        <v>6</v>
      </c>
      <c r="CN414" t="s">
        <v>1963</v>
      </c>
    </row>
    <row r="415" spans="1:92" x14ac:dyDescent="0.2">
      <c r="A415" t="s">
        <v>111</v>
      </c>
      <c r="B415" t="b">
        <v>1</v>
      </c>
      <c r="E415">
        <v>480</v>
      </c>
      <c r="F415" t="str">
        <f>HYPERLINK("https://portal.dnb.de/opac.htm?method=simpleSearch&amp;cqlMode=true&amp;query=idn%3D994214782", "Portal")</f>
        <v>Portal</v>
      </c>
      <c r="G415" t="s">
        <v>112</v>
      </c>
      <c r="H415" t="s">
        <v>1964</v>
      </c>
      <c r="I415" t="s">
        <v>1965</v>
      </c>
      <c r="J415" t="s">
        <v>1966</v>
      </c>
      <c r="K415" t="s">
        <v>1966</v>
      </c>
      <c r="L415" t="s">
        <v>1966</v>
      </c>
      <c r="N415" t="s">
        <v>1967</v>
      </c>
      <c r="O415" t="s">
        <v>117</v>
      </c>
      <c r="R415" t="s">
        <v>145</v>
      </c>
      <c r="S415" t="s">
        <v>470</v>
      </c>
      <c r="T415" t="s">
        <v>130</v>
      </c>
      <c r="U415" t="s">
        <v>458</v>
      </c>
      <c r="W415" t="s">
        <v>68</v>
      </c>
      <c r="X415" t="s">
        <v>124</v>
      </c>
      <c r="Y415">
        <v>0</v>
      </c>
      <c r="AI415" t="s">
        <v>149</v>
      </c>
      <c r="AL415" t="s">
        <v>132</v>
      </c>
      <c r="AM415" t="s">
        <v>196</v>
      </c>
      <c r="AS415" t="s">
        <v>135</v>
      </c>
      <c r="BE415">
        <v>0</v>
      </c>
      <c r="BF415" t="s">
        <v>132</v>
      </c>
      <c r="BG415" t="s">
        <v>793</v>
      </c>
      <c r="BM415" t="s">
        <v>137</v>
      </c>
      <c r="BN415">
        <v>0</v>
      </c>
      <c r="BQ415" t="s">
        <v>132</v>
      </c>
    </row>
    <row r="416" spans="1:92" x14ac:dyDescent="0.2">
      <c r="A416" t="s">
        <v>111</v>
      </c>
      <c r="B416" t="b">
        <v>1</v>
      </c>
      <c r="E416">
        <v>481</v>
      </c>
      <c r="F416" t="str">
        <f>HYPERLINK("https://portal.dnb.de/opac.htm?method=simpleSearch&amp;cqlMode=true&amp;query=idn%3D100264612X", "Portal")</f>
        <v>Portal</v>
      </c>
      <c r="G416" t="s">
        <v>112</v>
      </c>
      <c r="H416" t="s">
        <v>1968</v>
      </c>
      <c r="I416" t="s">
        <v>1969</v>
      </c>
      <c r="J416" t="s">
        <v>1970</v>
      </c>
      <c r="K416" t="s">
        <v>1970</v>
      </c>
      <c r="L416" t="s">
        <v>1970</v>
      </c>
      <c r="N416" t="s">
        <v>1971</v>
      </c>
      <c r="O416" t="s">
        <v>117</v>
      </c>
      <c r="BN416">
        <v>0</v>
      </c>
    </row>
    <row r="417" spans="1:111" x14ac:dyDescent="0.2">
      <c r="A417" t="s">
        <v>111</v>
      </c>
      <c r="B417" t="b">
        <v>1</v>
      </c>
      <c r="E417">
        <v>482</v>
      </c>
      <c r="F417" t="str">
        <f>HYPERLINK("https://portal.dnb.de/opac.htm?method=simpleSearch&amp;cqlMode=true&amp;query=idn%3D994458029", "Portal")</f>
        <v>Portal</v>
      </c>
      <c r="G417" t="s">
        <v>542</v>
      </c>
      <c r="H417" t="s">
        <v>1972</v>
      </c>
      <c r="I417" t="s">
        <v>1973</v>
      </c>
      <c r="J417" t="s">
        <v>1974</v>
      </c>
      <c r="K417" t="s">
        <v>1974</v>
      </c>
      <c r="L417" t="s">
        <v>1975</v>
      </c>
      <c r="N417" t="s">
        <v>1976</v>
      </c>
      <c r="O417" t="s">
        <v>1977</v>
      </c>
      <c r="S417" t="s">
        <v>470</v>
      </c>
      <c r="AI417" t="s">
        <v>792</v>
      </c>
      <c r="AL417" t="s">
        <v>132</v>
      </c>
      <c r="AM417" t="s">
        <v>134</v>
      </c>
      <c r="AS417" t="s">
        <v>135</v>
      </c>
      <c r="BG417">
        <v>110</v>
      </c>
      <c r="BL417" t="s">
        <v>132</v>
      </c>
      <c r="BM417" t="s">
        <v>137</v>
      </c>
      <c r="BN417">
        <v>0</v>
      </c>
    </row>
    <row r="418" spans="1:111" x14ac:dyDescent="0.2">
      <c r="A418" t="s">
        <v>111</v>
      </c>
      <c r="B418" t="b">
        <v>1</v>
      </c>
      <c r="E418">
        <v>483</v>
      </c>
      <c r="F418" t="str">
        <f>HYPERLINK("https://portal.dnb.de/opac.htm?method=simpleSearch&amp;cqlMode=true&amp;query=idn%3D99445807X", "Portal")</f>
        <v>Portal</v>
      </c>
      <c r="G418" t="s">
        <v>542</v>
      </c>
      <c r="H418" t="s">
        <v>1978</v>
      </c>
      <c r="I418" t="s">
        <v>1979</v>
      </c>
      <c r="J418" t="s">
        <v>1974</v>
      </c>
      <c r="K418" t="s">
        <v>1974</v>
      </c>
      <c r="L418" t="s">
        <v>1980</v>
      </c>
      <c r="N418" t="s">
        <v>1976</v>
      </c>
      <c r="O418" t="s">
        <v>1981</v>
      </c>
      <c r="S418" t="s">
        <v>470</v>
      </c>
      <c r="AI418" t="s">
        <v>792</v>
      </c>
      <c r="AL418" t="s">
        <v>132</v>
      </c>
      <c r="AM418" t="s">
        <v>134</v>
      </c>
      <c r="AS418" t="s">
        <v>135</v>
      </c>
      <c r="BG418">
        <v>110</v>
      </c>
      <c r="BL418" t="s">
        <v>132</v>
      </c>
      <c r="BM418" t="s">
        <v>137</v>
      </c>
      <c r="BN418">
        <v>0</v>
      </c>
    </row>
    <row r="419" spans="1:111" x14ac:dyDescent="0.2">
      <c r="A419" t="s">
        <v>111</v>
      </c>
      <c r="B419" t="b">
        <v>1</v>
      </c>
      <c r="E419">
        <v>491</v>
      </c>
      <c r="F419" t="str">
        <f>HYPERLINK("https://portal.dnb.de/opac.htm?method=simpleSearch&amp;cqlMode=true&amp;query=idn%3D994684444", "Portal")</f>
        <v>Portal</v>
      </c>
      <c r="G419" t="s">
        <v>542</v>
      </c>
      <c r="H419" t="s">
        <v>1982</v>
      </c>
      <c r="I419" t="s">
        <v>1983</v>
      </c>
      <c r="J419" t="s">
        <v>1984</v>
      </c>
      <c r="K419" t="s">
        <v>1984</v>
      </c>
      <c r="L419" t="s">
        <v>1985</v>
      </c>
      <c r="N419" t="s">
        <v>1986</v>
      </c>
      <c r="O419" t="s">
        <v>1987</v>
      </c>
      <c r="P419" t="s">
        <v>118</v>
      </c>
      <c r="R419" t="s">
        <v>163</v>
      </c>
      <c r="S419" t="s">
        <v>470</v>
      </c>
      <c r="T419" t="s">
        <v>130</v>
      </c>
      <c r="U419" t="s">
        <v>131</v>
      </c>
      <c r="Y419">
        <v>0</v>
      </c>
      <c r="AI419" t="s">
        <v>149</v>
      </c>
      <c r="AL419" t="s">
        <v>132</v>
      </c>
      <c r="AM419" t="s">
        <v>196</v>
      </c>
      <c r="AS419" t="s">
        <v>135</v>
      </c>
      <c r="AX419" t="s">
        <v>132</v>
      </c>
      <c r="BC419" t="s">
        <v>1768</v>
      </c>
      <c r="BD419" t="s">
        <v>132</v>
      </c>
      <c r="BE419">
        <v>0</v>
      </c>
      <c r="BF419" t="s">
        <v>132</v>
      </c>
      <c r="BG419">
        <v>60</v>
      </c>
      <c r="BM419" t="s">
        <v>137</v>
      </c>
      <c r="BN419">
        <v>0</v>
      </c>
      <c r="BP419" t="s">
        <v>181</v>
      </c>
    </row>
    <row r="420" spans="1:111" x14ac:dyDescent="0.2">
      <c r="A420" t="s">
        <v>111</v>
      </c>
      <c r="B420" t="b">
        <v>1</v>
      </c>
      <c r="E420">
        <v>490</v>
      </c>
      <c r="F420" t="str">
        <f>HYPERLINK("https://portal.dnb.de/opac.htm?method=simpleSearch&amp;cqlMode=true&amp;query=idn%3D994684622", "Portal")</f>
        <v>Portal</v>
      </c>
      <c r="G420" t="s">
        <v>542</v>
      </c>
      <c r="H420" t="s">
        <v>1988</v>
      </c>
      <c r="I420" t="s">
        <v>1989</v>
      </c>
      <c r="J420" t="s">
        <v>1984</v>
      </c>
      <c r="K420" t="s">
        <v>1984</v>
      </c>
      <c r="L420" t="s">
        <v>1990</v>
      </c>
      <c r="N420" t="s">
        <v>1986</v>
      </c>
      <c r="O420" t="s">
        <v>1991</v>
      </c>
      <c r="R420" t="s">
        <v>163</v>
      </c>
      <c r="S420" t="s">
        <v>470</v>
      </c>
      <c r="T420" t="s">
        <v>130</v>
      </c>
      <c r="U420" t="s">
        <v>224</v>
      </c>
      <c r="Y420">
        <v>1</v>
      </c>
      <c r="AI420" t="s">
        <v>149</v>
      </c>
      <c r="AL420" t="s">
        <v>132</v>
      </c>
      <c r="AM420" t="s">
        <v>196</v>
      </c>
      <c r="AS420" t="s">
        <v>135</v>
      </c>
      <c r="AX420" t="s">
        <v>132</v>
      </c>
      <c r="BC420" t="s">
        <v>1768</v>
      </c>
      <c r="BD420" t="s">
        <v>132</v>
      </c>
      <c r="BE420">
        <v>0</v>
      </c>
      <c r="BF420" t="s">
        <v>132</v>
      </c>
      <c r="BG420">
        <v>80</v>
      </c>
      <c r="BM420" t="s">
        <v>137</v>
      </c>
      <c r="BN420">
        <v>0</v>
      </c>
      <c r="BP420" t="s">
        <v>181</v>
      </c>
    </row>
    <row r="421" spans="1:111" x14ac:dyDescent="0.2">
      <c r="A421" t="s">
        <v>111</v>
      </c>
      <c r="B421" t="b">
        <v>1</v>
      </c>
      <c r="E421">
        <v>493</v>
      </c>
      <c r="F421" t="str">
        <f>HYPERLINK("https://portal.dnb.de/opac.htm?method=simpleSearch&amp;cqlMode=true&amp;query=idn%3D994684754", "Portal")</f>
        <v>Portal</v>
      </c>
      <c r="G421" t="s">
        <v>542</v>
      </c>
      <c r="H421" t="s">
        <v>1992</v>
      </c>
      <c r="I421" t="s">
        <v>1993</v>
      </c>
      <c r="J421" t="s">
        <v>1984</v>
      </c>
      <c r="K421" t="s">
        <v>1984</v>
      </c>
      <c r="L421" t="s">
        <v>1994</v>
      </c>
      <c r="N421" t="s">
        <v>1986</v>
      </c>
      <c r="O421" t="s">
        <v>1995</v>
      </c>
      <c r="R421" t="s">
        <v>145</v>
      </c>
      <c r="S421" t="s">
        <v>1193</v>
      </c>
      <c r="T421" t="s">
        <v>130</v>
      </c>
      <c r="U421" t="s">
        <v>458</v>
      </c>
      <c r="W421" t="s">
        <v>67</v>
      </c>
      <c r="X421" t="s">
        <v>124</v>
      </c>
      <c r="Y421">
        <v>0</v>
      </c>
      <c r="AI421" t="s">
        <v>149</v>
      </c>
      <c r="AL421" t="s">
        <v>132</v>
      </c>
      <c r="AM421" t="s">
        <v>196</v>
      </c>
      <c r="AS421" t="s">
        <v>135</v>
      </c>
      <c r="AX421" t="s">
        <v>132</v>
      </c>
      <c r="BC421" t="s">
        <v>1768</v>
      </c>
      <c r="BD421" t="s">
        <v>132</v>
      </c>
      <c r="BE421">
        <v>0</v>
      </c>
      <c r="BF421" t="s">
        <v>132</v>
      </c>
      <c r="BG421">
        <v>80</v>
      </c>
      <c r="BM421" t="s">
        <v>137</v>
      </c>
      <c r="BN421">
        <v>0</v>
      </c>
      <c r="BP421" t="s">
        <v>181</v>
      </c>
    </row>
    <row r="422" spans="1:111" x14ac:dyDescent="0.2">
      <c r="A422" t="s">
        <v>111</v>
      </c>
      <c r="B422" t="b">
        <v>1</v>
      </c>
      <c r="E422">
        <v>492</v>
      </c>
      <c r="F422" t="str">
        <f>HYPERLINK("https://portal.dnb.de/opac.htm?method=simpleSearch&amp;cqlMode=true&amp;query=idn%3D994685009", "Portal")</f>
        <v>Portal</v>
      </c>
      <c r="G422" t="s">
        <v>542</v>
      </c>
      <c r="H422" t="s">
        <v>1996</v>
      </c>
      <c r="I422" t="s">
        <v>1997</v>
      </c>
      <c r="J422" t="s">
        <v>1984</v>
      </c>
      <c r="K422" t="s">
        <v>1984</v>
      </c>
      <c r="L422" t="s">
        <v>1998</v>
      </c>
      <c r="N422" t="s">
        <v>1986</v>
      </c>
      <c r="O422" t="s">
        <v>1999</v>
      </c>
      <c r="R422" t="s">
        <v>145</v>
      </c>
      <c r="S422" t="s">
        <v>1193</v>
      </c>
      <c r="T422" t="s">
        <v>130</v>
      </c>
      <c r="U422" t="s">
        <v>458</v>
      </c>
      <c r="W422" t="s">
        <v>67</v>
      </c>
      <c r="X422" t="s">
        <v>124</v>
      </c>
      <c r="Y422">
        <v>0</v>
      </c>
      <c r="AI422" t="s">
        <v>149</v>
      </c>
      <c r="AL422" t="s">
        <v>132</v>
      </c>
      <c r="AM422" t="s">
        <v>196</v>
      </c>
      <c r="AS422" t="s">
        <v>135</v>
      </c>
      <c r="AX422" t="s">
        <v>132</v>
      </c>
      <c r="BC422" t="s">
        <v>1768</v>
      </c>
      <c r="BD422" t="s">
        <v>132</v>
      </c>
      <c r="BE422">
        <v>0</v>
      </c>
      <c r="BF422" t="s">
        <v>132</v>
      </c>
      <c r="BG422">
        <v>80</v>
      </c>
      <c r="BM422" t="s">
        <v>137</v>
      </c>
      <c r="BN422">
        <v>0</v>
      </c>
      <c r="BP422" t="s">
        <v>181</v>
      </c>
    </row>
    <row r="423" spans="1:111" x14ac:dyDescent="0.2">
      <c r="A423" t="s">
        <v>111</v>
      </c>
      <c r="B423" t="b">
        <v>1</v>
      </c>
      <c r="E423">
        <v>485</v>
      </c>
      <c r="F423" t="str">
        <f>HYPERLINK("https://portal.dnb.de/opac.htm?method=simpleSearch&amp;cqlMode=true&amp;query=idn%3D100028736X", "Portal")</f>
        <v>Portal</v>
      </c>
      <c r="G423" t="s">
        <v>542</v>
      </c>
      <c r="H423" t="s">
        <v>2000</v>
      </c>
      <c r="I423" t="s">
        <v>2001</v>
      </c>
      <c r="J423" t="s">
        <v>2002</v>
      </c>
      <c r="K423" t="s">
        <v>2002</v>
      </c>
      <c r="L423" t="s">
        <v>2002</v>
      </c>
      <c r="N423" t="s">
        <v>2003</v>
      </c>
      <c r="O423" t="s">
        <v>547</v>
      </c>
      <c r="BN423">
        <v>0</v>
      </c>
    </row>
    <row r="424" spans="1:111" x14ac:dyDescent="0.2">
      <c r="A424" t="s">
        <v>111</v>
      </c>
      <c r="B424" t="b">
        <v>1</v>
      </c>
      <c r="E424">
        <v>484</v>
      </c>
      <c r="F424" t="str">
        <f>HYPERLINK("https://portal.dnb.de/opac.htm?method=simpleSearch&amp;cqlMode=true&amp;query=idn%3D1000287688", "Portal")</f>
        <v>Portal</v>
      </c>
      <c r="G424" t="s">
        <v>542</v>
      </c>
      <c r="H424" t="s">
        <v>2004</v>
      </c>
      <c r="I424" t="s">
        <v>2005</v>
      </c>
      <c r="J424" t="s">
        <v>2002</v>
      </c>
      <c r="K424" t="s">
        <v>2002</v>
      </c>
      <c r="L424" t="s">
        <v>2006</v>
      </c>
      <c r="N424" t="s">
        <v>2003</v>
      </c>
      <c r="O424" t="s">
        <v>2007</v>
      </c>
      <c r="R424" t="s">
        <v>120</v>
      </c>
      <c r="S424" t="s">
        <v>146</v>
      </c>
      <c r="T424" t="s">
        <v>130</v>
      </c>
      <c r="U424" t="s">
        <v>178</v>
      </c>
      <c r="W424" t="s">
        <v>67</v>
      </c>
      <c r="X424" t="s">
        <v>124</v>
      </c>
      <c r="Y424">
        <v>0</v>
      </c>
      <c r="BN424">
        <v>0</v>
      </c>
    </row>
    <row r="425" spans="1:111" x14ac:dyDescent="0.2">
      <c r="A425" t="s">
        <v>111</v>
      </c>
      <c r="B425" t="b">
        <v>1</v>
      </c>
      <c r="E425">
        <v>486</v>
      </c>
      <c r="F425" t="str">
        <f>HYPERLINK("https://portal.dnb.de/opac.htm?method=simpleSearch&amp;cqlMode=true&amp;query=idn%3D993865046", "Portal")</f>
        <v>Portal</v>
      </c>
      <c r="G425" t="s">
        <v>112</v>
      </c>
      <c r="H425" t="s">
        <v>2008</v>
      </c>
      <c r="I425" t="s">
        <v>2009</v>
      </c>
      <c r="J425" t="s">
        <v>2010</v>
      </c>
      <c r="K425" t="s">
        <v>2010</v>
      </c>
      <c r="L425" t="s">
        <v>2010</v>
      </c>
      <c r="N425" t="s">
        <v>2011</v>
      </c>
      <c r="O425" t="s">
        <v>117</v>
      </c>
      <c r="BN425">
        <v>0</v>
      </c>
    </row>
    <row r="426" spans="1:111" x14ac:dyDescent="0.2">
      <c r="A426" t="s">
        <v>111</v>
      </c>
      <c r="B426" t="b">
        <v>1</v>
      </c>
      <c r="C426" t="s">
        <v>132</v>
      </c>
      <c r="F426" t="str">
        <f>HYPERLINK("https://portal.dnb.de/opac.htm?method=simpleSearch&amp;cqlMode=true&amp;query=idn%3D1250541085", "Portal")</f>
        <v>Portal</v>
      </c>
      <c r="G426" t="s">
        <v>319</v>
      </c>
      <c r="H426" t="s">
        <v>2012</v>
      </c>
      <c r="I426" t="s">
        <v>2013</v>
      </c>
      <c r="J426" t="s">
        <v>2014</v>
      </c>
      <c r="K426" t="s">
        <v>2014</v>
      </c>
      <c r="L426" t="s">
        <v>2014</v>
      </c>
      <c r="N426" t="s">
        <v>2015</v>
      </c>
      <c r="O426" t="s">
        <v>117</v>
      </c>
      <c r="P426" t="s">
        <v>118</v>
      </c>
      <c r="Q426" t="s">
        <v>2016</v>
      </c>
      <c r="R426" t="s">
        <v>120</v>
      </c>
      <c r="S426" t="s">
        <v>146</v>
      </c>
      <c r="T426" t="s">
        <v>130</v>
      </c>
      <c r="U426" t="s">
        <v>913</v>
      </c>
      <c r="W426" t="s">
        <v>67</v>
      </c>
      <c r="X426" t="s">
        <v>124</v>
      </c>
      <c r="Y426">
        <v>0</v>
      </c>
      <c r="AI426" t="s">
        <v>133</v>
      </c>
      <c r="AL426" t="s">
        <v>132</v>
      </c>
      <c r="AM426" t="s">
        <v>134</v>
      </c>
      <c r="AS426" t="s">
        <v>135</v>
      </c>
      <c r="AZ426" t="s">
        <v>132</v>
      </c>
      <c r="BA426" t="s">
        <v>2017</v>
      </c>
      <c r="BG426">
        <v>110</v>
      </c>
      <c r="BK426" t="s">
        <v>132</v>
      </c>
      <c r="BM426" t="s">
        <v>180</v>
      </c>
      <c r="BN426">
        <v>0.5</v>
      </c>
      <c r="BP426" t="s">
        <v>181</v>
      </c>
      <c r="CW426" t="s">
        <v>132</v>
      </c>
      <c r="DF426">
        <v>0.5</v>
      </c>
      <c r="DG426" t="s">
        <v>2018</v>
      </c>
    </row>
    <row r="427" spans="1:111" x14ac:dyDescent="0.2">
      <c r="A427" t="s">
        <v>111</v>
      </c>
      <c r="B427" t="b">
        <v>1</v>
      </c>
      <c r="E427">
        <v>489</v>
      </c>
      <c r="F427" t="str">
        <f>HYPERLINK("https://portal.dnb.de/opac.htm?method=simpleSearch&amp;cqlMode=true&amp;query=idn%3D1066800626", "Portal")</f>
        <v>Portal</v>
      </c>
      <c r="G427" t="s">
        <v>125</v>
      </c>
      <c r="H427" t="s">
        <v>2019</v>
      </c>
      <c r="I427" t="s">
        <v>2020</v>
      </c>
      <c r="J427" t="s">
        <v>2021</v>
      </c>
      <c r="K427" t="s">
        <v>2021</v>
      </c>
      <c r="L427" t="s">
        <v>2021</v>
      </c>
      <c r="N427" t="s">
        <v>2022</v>
      </c>
      <c r="O427" t="s">
        <v>117</v>
      </c>
      <c r="P427" t="s">
        <v>118</v>
      </c>
      <c r="Q427" t="s">
        <v>324</v>
      </c>
      <c r="R427" t="s">
        <v>120</v>
      </c>
      <c r="S427" t="s">
        <v>121</v>
      </c>
      <c r="T427" t="s">
        <v>834</v>
      </c>
      <c r="U427" t="s">
        <v>123</v>
      </c>
      <c r="W427" t="s">
        <v>67</v>
      </c>
      <c r="X427" t="s">
        <v>124</v>
      </c>
      <c r="Y427">
        <v>0</v>
      </c>
      <c r="AI427" t="s">
        <v>133</v>
      </c>
      <c r="AL427" t="s">
        <v>132</v>
      </c>
      <c r="AM427" t="s">
        <v>179</v>
      </c>
      <c r="AS427" t="s">
        <v>135</v>
      </c>
      <c r="BE427">
        <v>4</v>
      </c>
      <c r="BG427">
        <v>0</v>
      </c>
      <c r="BH427" t="s">
        <v>2023</v>
      </c>
      <c r="BM427" t="s">
        <v>137</v>
      </c>
      <c r="BN427">
        <v>0</v>
      </c>
      <c r="BP427" t="s">
        <v>181</v>
      </c>
    </row>
    <row r="428" spans="1:111" x14ac:dyDescent="0.2">
      <c r="A428" t="s">
        <v>111</v>
      </c>
      <c r="B428" t="b">
        <v>1</v>
      </c>
      <c r="F428" t="str">
        <f>HYPERLINK("https://portal.dnb.de/opac.htm?method=simpleSearch&amp;cqlMode=true&amp;query=idn%3D1138316458", "Portal")</f>
        <v>Portal</v>
      </c>
      <c r="G428" t="s">
        <v>319</v>
      </c>
      <c r="H428" t="s">
        <v>2024</v>
      </c>
      <c r="I428" t="s">
        <v>2025</v>
      </c>
      <c r="J428" t="s">
        <v>2026</v>
      </c>
      <c r="K428" t="s">
        <v>2026</v>
      </c>
      <c r="L428" t="s">
        <v>2026</v>
      </c>
      <c r="N428" t="s">
        <v>323</v>
      </c>
      <c r="O428" t="s">
        <v>117</v>
      </c>
      <c r="BN428">
        <v>0</v>
      </c>
    </row>
    <row r="429" spans="1:111" x14ac:dyDescent="0.2">
      <c r="A429" t="s">
        <v>111</v>
      </c>
      <c r="B429" t="b">
        <v>1</v>
      </c>
      <c r="E429">
        <v>502</v>
      </c>
      <c r="F429" t="str">
        <f>HYPERLINK("https://portal.dnb.de/opac.htm?method=simpleSearch&amp;cqlMode=true&amp;query=idn%3D993918859", "Portal")</f>
        <v>Portal</v>
      </c>
      <c r="G429" t="s">
        <v>112</v>
      </c>
      <c r="H429" t="s">
        <v>2027</v>
      </c>
      <c r="I429" t="s">
        <v>2028</v>
      </c>
      <c r="J429" t="s">
        <v>2029</v>
      </c>
      <c r="K429" t="s">
        <v>2029</v>
      </c>
      <c r="L429" t="s">
        <v>2029</v>
      </c>
      <c r="N429" t="s">
        <v>2030</v>
      </c>
      <c r="O429" t="s">
        <v>117</v>
      </c>
      <c r="P429" t="s">
        <v>118</v>
      </c>
      <c r="R429" t="s">
        <v>480</v>
      </c>
      <c r="S429" t="s">
        <v>121</v>
      </c>
      <c r="T429" t="s">
        <v>130</v>
      </c>
      <c r="U429" t="s">
        <v>203</v>
      </c>
      <c r="Y429">
        <v>0</v>
      </c>
      <c r="BN429">
        <v>0</v>
      </c>
    </row>
    <row r="430" spans="1:111" x14ac:dyDescent="0.2">
      <c r="A430" t="s">
        <v>111</v>
      </c>
      <c r="B430" t="b">
        <v>1</v>
      </c>
      <c r="E430">
        <v>503</v>
      </c>
      <c r="F430" t="str">
        <f>HYPERLINK("https://portal.dnb.de/opac.htm?method=simpleSearch&amp;cqlMode=true&amp;query=idn%3D1066961964", "Portal")</f>
        <v>Portal</v>
      </c>
      <c r="G430" t="s">
        <v>125</v>
      </c>
      <c r="H430" t="s">
        <v>2031</v>
      </c>
      <c r="I430" t="s">
        <v>2032</v>
      </c>
      <c r="J430" t="s">
        <v>2033</v>
      </c>
      <c r="K430" t="s">
        <v>2033</v>
      </c>
      <c r="L430" t="s">
        <v>2033</v>
      </c>
      <c r="N430" t="s">
        <v>2034</v>
      </c>
      <c r="O430" t="s">
        <v>117</v>
      </c>
      <c r="BN430">
        <v>0</v>
      </c>
    </row>
    <row r="431" spans="1:111" x14ac:dyDescent="0.2">
      <c r="A431" t="s">
        <v>111</v>
      </c>
      <c r="B431" t="b">
        <v>1</v>
      </c>
      <c r="E431">
        <v>505</v>
      </c>
      <c r="F431" t="str">
        <f>HYPERLINK("https://portal.dnb.de/opac.htm?method=simpleSearch&amp;cqlMode=true&amp;query=idn%3D99897188X", "Portal")</f>
        <v>Portal</v>
      </c>
      <c r="G431" t="s">
        <v>112</v>
      </c>
      <c r="H431" t="s">
        <v>2035</v>
      </c>
      <c r="I431" t="s">
        <v>2036</v>
      </c>
      <c r="J431" t="s">
        <v>2037</v>
      </c>
      <c r="K431" t="s">
        <v>2037</v>
      </c>
      <c r="L431" t="s">
        <v>2037</v>
      </c>
      <c r="N431" t="s">
        <v>2038</v>
      </c>
      <c r="O431" t="s">
        <v>117</v>
      </c>
      <c r="R431" t="s">
        <v>257</v>
      </c>
      <c r="S431" t="s">
        <v>121</v>
      </c>
      <c r="T431" t="s">
        <v>122</v>
      </c>
      <c r="Y431">
        <v>0</v>
      </c>
      <c r="BN431">
        <v>0</v>
      </c>
    </row>
    <row r="432" spans="1:111" x14ac:dyDescent="0.2">
      <c r="A432" t="s">
        <v>111</v>
      </c>
      <c r="B432" t="b">
        <v>1</v>
      </c>
      <c r="E432">
        <v>506</v>
      </c>
      <c r="F432" t="str">
        <f>HYPERLINK("https://portal.dnb.de/opac.htm?method=simpleSearch&amp;cqlMode=true&amp;query=idn%3D993918581", "Portal")</f>
        <v>Portal</v>
      </c>
      <c r="G432" t="s">
        <v>112</v>
      </c>
      <c r="H432" t="s">
        <v>2039</v>
      </c>
      <c r="I432" t="s">
        <v>2040</v>
      </c>
      <c r="J432" t="s">
        <v>2041</v>
      </c>
      <c r="K432" t="s">
        <v>2041</v>
      </c>
      <c r="L432" t="s">
        <v>2041</v>
      </c>
      <c r="N432" t="s">
        <v>2042</v>
      </c>
      <c r="O432" t="s">
        <v>117</v>
      </c>
      <c r="BN432">
        <v>0</v>
      </c>
    </row>
    <row r="433" spans="1:66" x14ac:dyDescent="0.2">
      <c r="A433" t="s">
        <v>111</v>
      </c>
      <c r="B433" t="b">
        <v>1</v>
      </c>
      <c r="E433">
        <v>507</v>
      </c>
      <c r="F433" t="str">
        <f>HYPERLINK("https://portal.dnb.de/opac.htm?method=simpleSearch&amp;cqlMode=true&amp;query=idn%3D993931456", "Portal")</f>
        <v>Portal</v>
      </c>
      <c r="G433" t="s">
        <v>112</v>
      </c>
      <c r="H433" t="s">
        <v>2043</v>
      </c>
      <c r="I433" t="s">
        <v>2044</v>
      </c>
      <c r="J433" t="s">
        <v>2045</v>
      </c>
      <c r="K433" t="s">
        <v>2045</v>
      </c>
      <c r="L433" t="s">
        <v>2045</v>
      </c>
      <c r="N433" t="s">
        <v>2046</v>
      </c>
      <c r="O433" t="s">
        <v>117</v>
      </c>
      <c r="R433" t="s">
        <v>163</v>
      </c>
      <c r="S433" t="s">
        <v>121</v>
      </c>
      <c r="T433" t="s">
        <v>122</v>
      </c>
      <c r="Y433">
        <v>0</v>
      </c>
      <c r="BN433">
        <v>0</v>
      </c>
    </row>
    <row r="434" spans="1:66" x14ac:dyDescent="0.2">
      <c r="A434" t="s">
        <v>111</v>
      </c>
      <c r="B434" t="b">
        <v>1</v>
      </c>
      <c r="E434">
        <v>508</v>
      </c>
      <c r="F434" t="str">
        <f>HYPERLINK("https://portal.dnb.de/opac.htm?method=simpleSearch&amp;cqlMode=true&amp;query=idn%3D993850308", "Portal")</f>
        <v>Portal</v>
      </c>
      <c r="G434" t="s">
        <v>112</v>
      </c>
      <c r="H434" t="s">
        <v>2047</v>
      </c>
      <c r="I434" t="s">
        <v>2048</v>
      </c>
      <c r="J434" t="s">
        <v>2049</v>
      </c>
      <c r="K434" t="s">
        <v>2049</v>
      </c>
      <c r="L434" t="s">
        <v>2049</v>
      </c>
      <c r="N434" t="s">
        <v>2050</v>
      </c>
      <c r="O434" t="s">
        <v>117</v>
      </c>
      <c r="BN434">
        <v>0</v>
      </c>
    </row>
    <row r="435" spans="1:66" x14ac:dyDescent="0.2">
      <c r="A435" t="s">
        <v>111</v>
      </c>
      <c r="B435" t="b">
        <v>1</v>
      </c>
      <c r="E435">
        <v>509</v>
      </c>
      <c r="F435" t="str">
        <f>HYPERLINK("https://portal.dnb.de/opac.htm?method=simpleSearch&amp;cqlMode=true&amp;query=idn%3D999128655", "Portal")</f>
        <v>Portal</v>
      </c>
      <c r="G435" t="s">
        <v>112</v>
      </c>
      <c r="H435" t="s">
        <v>2051</v>
      </c>
      <c r="I435" t="s">
        <v>2052</v>
      </c>
      <c r="J435" t="s">
        <v>2053</v>
      </c>
      <c r="K435" t="s">
        <v>2053</v>
      </c>
      <c r="L435" t="s">
        <v>2053</v>
      </c>
      <c r="N435" t="s">
        <v>2054</v>
      </c>
      <c r="O435" t="s">
        <v>117</v>
      </c>
      <c r="R435" t="s">
        <v>257</v>
      </c>
      <c r="S435" t="s">
        <v>121</v>
      </c>
      <c r="T435" t="s">
        <v>122</v>
      </c>
      <c r="U435" t="s">
        <v>203</v>
      </c>
      <c r="X435" t="s">
        <v>168</v>
      </c>
      <c r="Y435">
        <v>0</v>
      </c>
      <c r="BN435">
        <v>0</v>
      </c>
    </row>
    <row r="436" spans="1:66" x14ac:dyDescent="0.2">
      <c r="A436" t="s">
        <v>111</v>
      </c>
      <c r="B436" t="b">
        <v>1</v>
      </c>
      <c r="E436">
        <v>510</v>
      </c>
      <c r="F436" t="str">
        <f>HYPERLINK("https://portal.dnb.de/opac.htm?method=simpleSearch&amp;cqlMode=true&amp;query=idn%3D999794914", "Portal")</f>
        <v>Portal</v>
      </c>
      <c r="G436" t="s">
        <v>112</v>
      </c>
      <c r="H436" t="s">
        <v>2055</v>
      </c>
      <c r="I436" t="s">
        <v>2056</v>
      </c>
      <c r="J436" t="s">
        <v>2057</v>
      </c>
      <c r="K436" t="s">
        <v>2057</v>
      </c>
      <c r="L436" t="s">
        <v>2057</v>
      </c>
      <c r="N436" t="s">
        <v>2058</v>
      </c>
      <c r="O436" t="s">
        <v>117</v>
      </c>
      <c r="BN436">
        <v>0</v>
      </c>
    </row>
    <row r="437" spans="1:66" x14ac:dyDescent="0.2">
      <c r="A437" t="s">
        <v>111</v>
      </c>
      <c r="B437" t="b">
        <v>1</v>
      </c>
      <c r="E437">
        <v>511</v>
      </c>
      <c r="F437" t="str">
        <f>HYPERLINK("https://portal.dnb.de/opac.htm?method=simpleSearch&amp;cqlMode=true&amp;query=idn%3D994116098", "Portal")</f>
        <v>Portal</v>
      </c>
      <c r="G437" t="s">
        <v>112</v>
      </c>
      <c r="H437" t="s">
        <v>2059</v>
      </c>
      <c r="I437" t="s">
        <v>2060</v>
      </c>
      <c r="J437" t="s">
        <v>2061</v>
      </c>
      <c r="K437" t="s">
        <v>2061</v>
      </c>
      <c r="L437" t="s">
        <v>2061</v>
      </c>
      <c r="N437" t="s">
        <v>2062</v>
      </c>
      <c r="O437" t="s">
        <v>117</v>
      </c>
      <c r="BN437">
        <v>0</v>
      </c>
    </row>
    <row r="438" spans="1:66" x14ac:dyDescent="0.2">
      <c r="A438" t="s">
        <v>111</v>
      </c>
      <c r="B438" t="b">
        <v>1</v>
      </c>
      <c r="E438">
        <v>512</v>
      </c>
      <c r="F438" t="str">
        <f>HYPERLINK("https://portal.dnb.de/opac.htm?method=simpleSearch&amp;cqlMode=true&amp;query=idn%3D994252374", "Portal")</f>
        <v>Portal</v>
      </c>
      <c r="G438" t="s">
        <v>112</v>
      </c>
      <c r="H438" t="s">
        <v>2063</v>
      </c>
      <c r="I438" t="s">
        <v>2064</v>
      </c>
      <c r="J438" t="s">
        <v>2065</v>
      </c>
      <c r="K438" t="s">
        <v>2065</v>
      </c>
      <c r="L438" t="s">
        <v>2065</v>
      </c>
      <c r="N438" t="s">
        <v>2066</v>
      </c>
      <c r="O438" t="s">
        <v>117</v>
      </c>
      <c r="R438" t="s">
        <v>163</v>
      </c>
      <c r="S438" t="s">
        <v>121</v>
      </c>
      <c r="T438" t="s">
        <v>122</v>
      </c>
      <c r="U438" t="s">
        <v>203</v>
      </c>
      <c r="Y438">
        <v>0</v>
      </c>
      <c r="BN438">
        <v>0</v>
      </c>
    </row>
    <row r="439" spans="1:66" x14ac:dyDescent="0.2">
      <c r="A439" t="s">
        <v>111</v>
      </c>
      <c r="B439" t="b">
        <v>1</v>
      </c>
      <c r="E439">
        <v>513</v>
      </c>
      <c r="F439" t="str">
        <f>HYPERLINK("https://portal.dnb.de/opac.htm?method=simpleSearch&amp;cqlMode=true&amp;query=idn%3D572342640", "Portal")</f>
        <v>Portal</v>
      </c>
      <c r="G439" t="s">
        <v>112</v>
      </c>
      <c r="H439" t="s">
        <v>2067</v>
      </c>
      <c r="I439" t="s">
        <v>2068</v>
      </c>
      <c r="J439" t="s">
        <v>2069</v>
      </c>
      <c r="K439" t="s">
        <v>2069</v>
      </c>
      <c r="L439" t="s">
        <v>2069</v>
      </c>
      <c r="N439" t="s">
        <v>2070</v>
      </c>
      <c r="O439" t="s">
        <v>117</v>
      </c>
      <c r="R439" t="s">
        <v>163</v>
      </c>
      <c r="S439" t="s">
        <v>121</v>
      </c>
      <c r="T439" t="s">
        <v>122</v>
      </c>
      <c r="Y439">
        <v>0</v>
      </c>
      <c r="BN439">
        <v>0</v>
      </c>
    </row>
    <row r="440" spans="1:66" x14ac:dyDescent="0.2">
      <c r="A440" t="s">
        <v>111</v>
      </c>
      <c r="B440" t="b">
        <v>1</v>
      </c>
      <c r="E440">
        <v>514</v>
      </c>
      <c r="F440" t="str">
        <f>HYPERLINK("https://portal.dnb.de/opac.htm?method=simpleSearch&amp;cqlMode=true&amp;query=idn%3D572342640", "Portal")</f>
        <v>Portal</v>
      </c>
      <c r="G440" t="s">
        <v>112</v>
      </c>
      <c r="H440" t="s">
        <v>2071</v>
      </c>
      <c r="I440" t="s">
        <v>2068</v>
      </c>
      <c r="J440" t="s">
        <v>2072</v>
      </c>
      <c r="K440" t="s">
        <v>2072</v>
      </c>
      <c r="L440" t="s">
        <v>2072</v>
      </c>
      <c r="N440" t="s">
        <v>2070</v>
      </c>
      <c r="O440" t="s">
        <v>117</v>
      </c>
      <c r="BN440">
        <v>0</v>
      </c>
    </row>
    <row r="441" spans="1:66" x14ac:dyDescent="0.2">
      <c r="A441" t="s">
        <v>111</v>
      </c>
      <c r="B441" t="b">
        <v>1</v>
      </c>
      <c r="E441">
        <v>515</v>
      </c>
      <c r="F441" t="str">
        <f>HYPERLINK("https://portal.dnb.de/opac.htm?method=simpleSearch&amp;cqlMode=true&amp;query=idn%3D995380783", "Portal")</f>
        <v>Portal</v>
      </c>
      <c r="G441" t="s">
        <v>112</v>
      </c>
      <c r="H441" t="s">
        <v>2073</v>
      </c>
      <c r="I441" t="s">
        <v>2074</v>
      </c>
      <c r="J441" t="s">
        <v>2075</v>
      </c>
      <c r="K441" t="s">
        <v>2075</v>
      </c>
      <c r="L441" t="s">
        <v>2075</v>
      </c>
      <c r="N441" t="s">
        <v>2076</v>
      </c>
      <c r="O441" t="s">
        <v>117</v>
      </c>
      <c r="R441" t="s">
        <v>163</v>
      </c>
      <c r="S441" t="s">
        <v>121</v>
      </c>
      <c r="T441" t="s">
        <v>122</v>
      </c>
      <c r="Y441">
        <v>0</v>
      </c>
      <c r="BN441">
        <v>0</v>
      </c>
    </row>
    <row r="442" spans="1:66" x14ac:dyDescent="0.2">
      <c r="A442" t="s">
        <v>111</v>
      </c>
      <c r="B442" t="b">
        <v>1</v>
      </c>
      <c r="E442">
        <v>516</v>
      </c>
      <c r="F442" t="str">
        <f>HYPERLINK("https://portal.dnb.de/opac.htm?method=simpleSearch&amp;cqlMode=true&amp;query=idn%3D998859680", "Portal")</f>
        <v>Portal</v>
      </c>
      <c r="G442" t="s">
        <v>112</v>
      </c>
      <c r="H442" t="s">
        <v>2077</v>
      </c>
      <c r="I442" t="s">
        <v>2078</v>
      </c>
      <c r="J442" t="s">
        <v>2079</v>
      </c>
      <c r="K442" t="s">
        <v>2079</v>
      </c>
      <c r="L442" t="s">
        <v>2079</v>
      </c>
      <c r="N442" t="s">
        <v>2080</v>
      </c>
      <c r="O442" t="s">
        <v>117</v>
      </c>
      <c r="R442" t="s">
        <v>163</v>
      </c>
      <c r="S442" t="s">
        <v>121</v>
      </c>
      <c r="T442" t="s">
        <v>122</v>
      </c>
      <c r="U442" t="s">
        <v>203</v>
      </c>
      <c r="Y442">
        <v>0</v>
      </c>
      <c r="BN442">
        <v>0</v>
      </c>
    </row>
    <row r="443" spans="1:66" x14ac:dyDescent="0.2">
      <c r="A443" t="s">
        <v>111</v>
      </c>
      <c r="B443" t="b">
        <v>1</v>
      </c>
      <c r="E443">
        <v>517</v>
      </c>
      <c r="F443" t="str">
        <f>HYPERLINK("https://portal.dnb.de/opac.htm?method=simpleSearch&amp;cqlMode=true&amp;query=idn%3D1003362400", "Portal")</f>
        <v>Portal</v>
      </c>
      <c r="G443" t="s">
        <v>112</v>
      </c>
      <c r="H443" t="s">
        <v>2081</v>
      </c>
      <c r="I443" t="s">
        <v>2082</v>
      </c>
      <c r="J443" t="s">
        <v>2083</v>
      </c>
      <c r="K443" t="s">
        <v>2083</v>
      </c>
      <c r="L443" t="s">
        <v>2083</v>
      </c>
      <c r="N443" t="s">
        <v>2084</v>
      </c>
      <c r="O443" t="s">
        <v>117</v>
      </c>
      <c r="R443" t="s">
        <v>190</v>
      </c>
      <c r="S443" t="s">
        <v>121</v>
      </c>
      <c r="T443" t="s">
        <v>122</v>
      </c>
      <c r="Y443">
        <v>0</v>
      </c>
      <c r="BN443">
        <v>0</v>
      </c>
    </row>
    <row r="444" spans="1:66" x14ac:dyDescent="0.2">
      <c r="A444" t="s">
        <v>111</v>
      </c>
      <c r="B444" t="b">
        <v>1</v>
      </c>
      <c r="E444">
        <v>518</v>
      </c>
      <c r="F444" t="str">
        <f>HYPERLINK("https://portal.dnb.de/opac.htm?method=simpleSearch&amp;cqlMode=true&amp;query=idn%3D993921655", "Portal")</f>
        <v>Portal</v>
      </c>
      <c r="G444" t="s">
        <v>112</v>
      </c>
      <c r="H444" t="s">
        <v>2085</v>
      </c>
      <c r="I444" t="s">
        <v>2086</v>
      </c>
      <c r="J444" t="s">
        <v>2087</v>
      </c>
      <c r="K444" t="s">
        <v>2087</v>
      </c>
      <c r="L444" t="s">
        <v>2087</v>
      </c>
      <c r="N444" t="s">
        <v>2088</v>
      </c>
      <c r="O444" t="s">
        <v>117</v>
      </c>
      <c r="BN444">
        <v>0</v>
      </c>
    </row>
    <row r="445" spans="1:66" x14ac:dyDescent="0.2">
      <c r="A445" t="s">
        <v>111</v>
      </c>
      <c r="B445" t="b">
        <v>1</v>
      </c>
      <c r="E445">
        <v>519</v>
      </c>
      <c r="F445" t="str">
        <f>HYPERLINK("https://portal.dnb.de/opac.htm?method=simpleSearch&amp;cqlMode=true&amp;query=idn%3D993919928", "Portal")</f>
        <v>Portal</v>
      </c>
      <c r="G445" t="s">
        <v>112</v>
      </c>
      <c r="H445" t="s">
        <v>2089</v>
      </c>
      <c r="I445" t="s">
        <v>2090</v>
      </c>
      <c r="J445" t="s">
        <v>2091</v>
      </c>
      <c r="K445" t="s">
        <v>2091</v>
      </c>
      <c r="L445" t="s">
        <v>2091</v>
      </c>
      <c r="N445" t="s">
        <v>2092</v>
      </c>
      <c r="O445" t="s">
        <v>117</v>
      </c>
      <c r="BN445">
        <v>0</v>
      </c>
    </row>
    <row r="446" spans="1:66" x14ac:dyDescent="0.2">
      <c r="A446" t="s">
        <v>111</v>
      </c>
      <c r="B446" t="b">
        <v>1</v>
      </c>
      <c r="E446">
        <v>520</v>
      </c>
      <c r="F446" t="str">
        <f>HYPERLINK("https://portal.dnb.de/opac.htm?method=simpleSearch&amp;cqlMode=true&amp;query=idn%3D993919243", "Portal")</f>
        <v>Portal</v>
      </c>
      <c r="G446" t="s">
        <v>112</v>
      </c>
      <c r="H446" t="s">
        <v>2093</v>
      </c>
      <c r="I446" t="s">
        <v>2094</v>
      </c>
      <c r="J446" t="s">
        <v>2095</v>
      </c>
      <c r="K446" t="s">
        <v>2095</v>
      </c>
      <c r="L446" t="s">
        <v>2095</v>
      </c>
      <c r="N446" t="s">
        <v>2096</v>
      </c>
      <c r="O446" t="s">
        <v>117</v>
      </c>
      <c r="R446" t="s">
        <v>163</v>
      </c>
      <c r="S446" t="s">
        <v>121</v>
      </c>
      <c r="T446" t="s">
        <v>122</v>
      </c>
      <c r="Y446">
        <v>0</v>
      </c>
      <c r="BN446">
        <v>0</v>
      </c>
    </row>
    <row r="447" spans="1:66" x14ac:dyDescent="0.2">
      <c r="A447" t="s">
        <v>111</v>
      </c>
      <c r="B447" t="b">
        <v>1</v>
      </c>
      <c r="E447">
        <v>521</v>
      </c>
      <c r="F447" t="str">
        <f>HYPERLINK("https://portal.dnb.de/opac.htm?method=simpleSearch&amp;cqlMode=true&amp;query=idn%3D996746560", "Portal")</f>
        <v>Portal</v>
      </c>
      <c r="G447" t="s">
        <v>112</v>
      </c>
      <c r="H447" t="s">
        <v>2097</v>
      </c>
      <c r="I447" t="s">
        <v>2098</v>
      </c>
      <c r="J447" t="s">
        <v>2099</v>
      </c>
      <c r="K447" t="s">
        <v>2099</v>
      </c>
      <c r="L447" t="s">
        <v>2099</v>
      </c>
      <c r="N447" t="s">
        <v>2096</v>
      </c>
      <c r="O447" t="s">
        <v>117</v>
      </c>
      <c r="R447" t="s">
        <v>163</v>
      </c>
      <c r="S447" t="s">
        <v>121</v>
      </c>
      <c r="T447" t="s">
        <v>122</v>
      </c>
      <c r="Y447">
        <v>0</v>
      </c>
      <c r="BN447">
        <v>0</v>
      </c>
    </row>
    <row r="448" spans="1:66" x14ac:dyDescent="0.2">
      <c r="A448" t="s">
        <v>111</v>
      </c>
      <c r="B448" t="b">
        <v>1</v>
      </c>
      <c r="E448">
        <v>522</v>
      </c>
      <c r="F448" t="str">
        <f>HYPERLINK("https://portal.dnb.de/opac.htm?method=simpleSearch&amp;cqlMode=true&amp;query=idn%3D998861545", "Portal")</f>
        <v>Portal</v>
      </c>
      <c r="G448" t="s">
        <v>112</v>
      </c>
      <c r="H448" t="s">
        <v>2100</v>
      </c>
      <c r="I448" t="s">
        <v>2101</v>
      </c>
      <c r="J448" t="s">
        <v>2102</v>
      </c>
      <c r="K448" t="s">
        <v>2102</v>
      </c>
      <c r="L448" t="s">
        <v>2102</v>
      </c>
      <c r="N448" t="s">
        <v>2103</v>
      </c>
      <c r="O448" t="s">
        <v>117</v>
      </c>
      <c r="BN448">
        <v>0</v>
      </c>
    </row>
    <row r="449" spans="1:76" x14ac:dyDescent="0.2">
      <c r="A449" t="s">
        <v>111</v>
      </c>
      <c r="B449" t="b">
        <v>1</v>
      </c>
      <c r="E449">
        <v>523</v>
      </c>
      <c r="F449" t="str">
        <f>HYPERLINK("https://portal.dnb.de/opac.htm?method=simpleSearch&amp;cqlMode=true&amp;query=idn%3D993944442", "Portal")</f>
        <v>Portal</v>
      </c>
      <c r="G449" t="s">
        <v>112</v>
      </c>
      <c r="H449" t="s">
        <v>2104</v>
      </c>
      <c r="I449" t="s">
        <v>2105</v>
      </c>
      <c r="J449" t="s">
        <v>2106</v>
      </c>
      <c r="K449" t="s">
        <v>2106</v>
      </c>
      <c r="L449" t="s">
        <v>2106</v>
      </c>
      <c r="N449" t="s">
        <v>2107</v>
      </c>
      <c r="O449" t="s">
        <v>117</v>
      </c>
      <c r="R449" t="s">
        <v>163</v>
      </c>
      <c r="S449" t="s">
        <v>121</v>
      </c>
      <c r="T449" t="s">
        <v>122</v>
      </c>
      <c r="Y449">
        <v>0</v>
      </c>
      <c r="BN449">
        <v>0</v>
      </c>
    </row>
    <row r="450" spans="1:76" x14ac:dyDescent="0.2">
      <c r="A450" t="s">
        <v>111</v>
      </c>
      <c r="B450" t="b">
        <v>1</v>
      </c>
      <c r="E450">
        <v>524</v>
      </c>
      <c r="F450" t="str">
        <f>HYPERLINK("https://portal.dnb.de/opac.htm?method=simpleSearch&amp;cqlMode=true&amp;query=idn%3D1000481581", "Portal")</f>
        <v>Portal</v>
      </c>
      <c r="G450" t="s">
        <v>112</v>
      </c>
      <c r="H450" t="s">
        <v>2108</v>
      </c>
      <c r="I450" t="s">
        <v>2109</v>
      </c>
      <c r="J450" t="s">
        <v>2110</v>
      </c>
      <c r="K450" t="s">
        <v>2110</v>
      </c>
      <c r="L450" t="s">
        <v>2110</v>
      </c>
      <c r="N450" t="s">
        <v>2111</v>
      </c>
      <c r="O450" t="s">
        <v>117</v>
      </c>
      <c r="BN450">
        <v>0</v>
      </c>
    </row>
    <row r="451" spans="1:76" x14ac:dyDescent="0.2">
      <c r="A451" t="s">
        <v>111</v>
      </c>
      <c r="B451" t="b">
        <v>1</v>
      </c>
      <c r="E451">
        <v>525</v>
      </c>
      <c r="F451" t="str">
        <f>HYPERLINK("https://portal.dnb.de/opac.htm?method=simpleSearch&amp;cqlMode=true&amp;query=idn%3D1000481581", "Portal")</f>
        <v>Portal</v>
      </c>
      <c r="G451" t="s">
        <v>112</v>
      </c>
      <c r="H451" t="s">
        <v>2112</v>
      </c>
      <c r="I451" t="s">
        <v>2109</v>
      </c>
      <c r="J451" t="s">
        <v>2113</v>
      </c>
      <c r="K451" t="s">
        <v>2113</v>
      </c>
      <c r="L451" t="s">
        <v>2113</v>
      </c>
      <c r="N451" t="s">
        <v>2111</v>
      </c>
      <c r="O451" t="s">
        <v>117</v>
      </c>
      <c r="S451" t="s">
        <v>121</v>
      </c>
      <c r="AI451" t="s">
        <v>792</v>
      </c>
      <c r="AL451" t="s">
        <v>132</v>
      </c>
      <c r="AM451" t="s">
        <v>134</v>
      </c>
      <c r="AS451" t="s">
        <v>135</v>
      </c>
      <c r="BG451">
        <v>110</v>
      </c>
      <c r="BM451" t="s">
        <v>137</v>
      </c>
      <c r="BN451">
        <v>0</v>
      </c>
    </row>
    <row r="452" spans="1:76" x14ac:dyDescent="0.2">
      <c r="A452" t="s">
        <v>111</v>
      </c>
      <c r="B452" t="b">
        <v>1</v>
      </c>
      <c r="E452">
        <v>526</v>
      </c>
      <c r="F452" t="str">
        <f>HYPERLINK("https://portal.dnb.de/opac.htm?method=simpleSearch&amp;cqlMode=true&amp;query=idn%3D998904147", "Portal")</f>
        <v>Portal</v>
      </c>
      <c r="G452" t="s">
        <v>112</v>
      </c>
      <c r="H452" t="s">
        <v>2114</v>
      </c>
      <c r="I452" t="s">
        <v>2115</v>
      </c>
      <c r="J452" t="s">
        <v>2116</v>
      </c>
      <c r="K452" t="s">
        <v>2116</v>
      </c>
      <c r="L452" t="s">
        <v>2116</v>
      </c>
      <c r="N452" t="s">
        <v>2117</v>
      </c>
      <c r="O452" t="s">
        <v>117</v>
      </c>
      <c r="R452" t="s">
        <v>157</v>
      </c>
      <c r="S452" t="s">
        <v>146</v>
      </c>
      <c r="T452" t="s">
        <v>122</v>
      </c>
      <c r="U452" t="s">
        <v>2118</v>
      </c>
      <c r="W452" t="s">
        <v>229</v>
      </c>
      <c r="X452" t="s">
        <v>302</v>
      </c>
      <c r="Y452">
        <v>0</v>
      </c>
      <c r="AI452" t="s">
        <v>646</v>
      </c>
      <c r="AL452" t="s">
        <v>132</v>
      </c>
      <c r="AM452" t="s">
        <v>134</v>
      </c>
      <c r="AN452" t="s">
        <v>132</v>
      </c>
      <c r="AS452" t="s">
        <v>135</v>
      </c>
      <c r="BG452">
        <v>110</v>
      </c>
      <c r="BM452" t="s">
        <v>137</v>
      </c>
      <c r="BN452">
        <v>0</v>
      </c>
      <c r="BT452" t="s">
        <v>562</v>
      </c>
      <c r="BU452" t="s">
        <v>132</v>
      </c>
      <c r="BW452" t="s">
        <v>152</v>
      </c>
      <c r="BX452" t="s">
        <v>2119</v>
      </c>
    </row>
    <row r="453" spans="1:76" x14ac:dyDescent="0.2">
      <c r="A453" t="s">
        <v>111</v>
      </c>
      <c r="B453" t="b">
        <v>1</v>
      </c>
      <c r="E453">
        <v>527</v>
      </c>
      <c r="F453" t="str">
        <f>HYPERLINK("https://portal.dnb.de/opac.htm?method=simpleSearch&amp;cqlMode=true&amp;query=idn%3D994160615", "Portal")</f>
        <v>Portal</v>
      </c>
      <c r="G453" t="s">
        <v>112</v>
      </c>
      <c r="H453" t="s">
        <v>2120</v>
      </c>
      <c r="I453" t="s">
        <v>2121</v>
      </c>
      <c r="J453" t="s">
        <v>2122</v>
      </c>
      <c r="K453" t="s">
        <v>2122</v>
      </c>
      <c r="L453" t="s">
        <v>2123</v>
      </c>
      <c r="N453" t="s">
        <v>2124</v>
      </c>
      <c r="O453" t="s">
        <v>117</v>
      </c>
      <c r="BN453">
        <v>0</v>
      </c>
    </row>
    <row r="454" spans="1:76" x14ac:dyDescent="0.2">
      <c r="A454" t="s">
        <v>111</v>
      </c>
      <c r="B454" t="b">
        <v>1</v>
      </c>
      <c r="E454">
        <v>528</v>
      </c>
      <c r="F454" t="str">
        <f>HYPERLINK("https://portal.dnb.de/opac.htm?method=simpleSearch&amp;cqlMode=true&amp;query=idn%3D995662185", "Portal")</f>
        <v>Portal</v>
      </c>
      <c r="G454" t="s">
        <v>112</v>
      </c>
      <c r="H454" t="s">
        <v>2125</v>
      </c>
      <c r="I454" t="s">
        <v>2126</v>
      </c>
      <c r="J454" t="s">
        <v>2127</v>
      </c>
      <c r="K454" t="s">
        <v>2127</v>
      </c>
      <c r="L454" t="s">
        <v>2127</v>
      </c>
      <c r="N454" t="s">
        <v>2128</v>
      </c>
      <c r="O454" t="s">
        <v>117</v>
      </c>
      <c r="BN454">
        <v>0</v>
      </c>
    </row>
    <row r="455" spans="1:76" x14ac:dyDescent="0.2">
      <c r="A455" t="s">
        <v>111</v>
      </c>
      <c r="B455" t="b">
        <v>1</v>
      </c>
      <c r="E455">
        <v>529</v>
      </c>
      <c r="F455" t="str">
        <f>HYPERLINK("https://portal.dnb.de/opac.htm?method=simpleSearch&amp;cqlMode=true&amp;query=idn%3D993930492", "Portal")</f>
        <v>Portal</v>
      </c>
      <c r="G455" t="s">
        <v>112</v>
      </c>
      <c r="H455" t="s">
        <v>2129</v>
      </c>
      <c r="I455" t="s">
        <v>2130</v>
      </c>
      <c r="J455" t="s">
        <v>2131</v>
      </c>
      <c r="K455" t="s">
        <v>2131</v>
      </c>
      <c r="L455" t="s">
        <v>2131</v>
      </c>
      <c r="N455" t="s">
        <v>2132</v>
      </c>
      <c r="O455" t="s">
        <v>117</v>
      </c>
      <c r="R455" t="s">
        <v>163</v>
      </c>
      <c r="S455" t="s">
        <v>121</v>
      </c>
      <c r="T455" t="s">
        <v>122</v>
      </c>
      <c r="Y455">
        <v>0</v>
      </c>
      <c r="BN455">
        <v>0</v>
      </c>
    </row>
    <row r="456" spans="1:76" x14ac:dyDescent="0.2">
      <c r="A456" t="s">
        <v>111</v>
      </c>
      <c r="B456" t="b">
        <v>1</v>
      </c>
      <c r="E456">
        <v>530</v>
      </c>
      <c r="F456" t="str">
        <f>HYPERLINK("https://portal.dnb.de/opac.htm?method=simpleSearch&amp;cqlMode=true&amp;query=idn%3D993885411", "Portal")</f>
        <v>Portal</v>
      </c>
      <c r="G456" t="s">
        <v>112</v>
      </c>
      <c r="H456" t="s">
        <v>2133</v>
      </c>
      <c r="I456" t="s">
        <v>2134</v>
      </c>
      <c r="J456" t="s">
        <v>2135</v>
      </c>
      <c r="K456" t="s">
        <v>2135</v>
      </c>
      <c r="L456" t="s">
        <v>2135</v>
      </c>
      <c r="N456" t="s">
        <v>2136</v>
      </c>
      <c r="O456" t="s">
        <v>117</v>
      </c>
      <c r="R456" t="s">
        <v>163</v>
      </c>
      <c r="S456" t="s">
        <v>121</v>
      </c>
      <c r="T456" t="s">
        <v>130</v>
      </c>
      <c r="U456" t="s">
        <v>203</v>
      </c>
      <c r="Y456">
        <v>0</v>
      </c>
      <c r="BN456">
        <v>0</v>
      </c>
    </row>
    <row r="457" spans="1:76" x14ac:dyDescent="0.2">
      <c r="A457" t="s">
        <v>111</v>
      </c>
      <c r="B457" t="b">
        <v>1</v>
      </c>
      <c r="E457">
        <v>531</v>
      </c>
      <c r="F457" t="str">
        <f>HYPERLINK("https://portal.dnb.de/opac.htm?method=simpleSearch&amp;cqlMode=true&amp;query=idn%3D995663084", "Portal")</f>
        <v>Portal</v>
      </c>
      <c r="G457" t="s">
        <v>112</v>
      </c>
      <c r="H457" t="s">
        <v>2137</v>
      </c>
      <c r="I457" t="s">
        <v>2138</v>
      </c>
      <c r="J457" t="s">
        <v>2139</v>
      </c>
      <c r="K457" t="s">
        <v>2139</v>
      </c>
      <c r="L457" t="s">
        <v>2139</v>
      </c>
      <c r="N457" t="s">
        <v>2140</v>
      </c>
      <c r="O457" t="s">
        <v>117</v>
      </c>
      <c r="BN457">
        <v>0</v>
      </c>
    </row>
    <row r="458" spans="1:76" x14ac:dyDescent="0.2">
      <c r="A458" t="s">
        <v>111</v>
      </c>
      <c r="B458" t="b">
        <v>0</v>
      </c>
      <c r="E458">
        <v>532</v>
      </c>
      <c r="F458" t="str">
        <f>HYPERLINK("https://portal.dnb.de/opac.htm?method=simpleSearch&amp;cqlMode=true&amp;query=idn%3D1001606396", "Portal")</f>
        <v>Portal</v>
      </c>
      <c r="H458" t="s">
        <v>2141</v>
      </c>
      <c r="I458" t="s">
        <v>2142</v>
      </c>
      <c r="L458" t="s">
        <v>2139</v>
      </c>
      <c r="BN458">
        <v>0</v>
      </c>
    </row>
    <row r="459" spans="1:76" x14ac:dyDescent="0.2">
      <c r="A459" t="s">
        <v>111</v>
      </c>
      <c r="B459" t="b">
        <v>1</v>
      </c>
      <c r="E459">
        <v>533</v>
      </c>
      <c r="F459" t="str">
        <f>HYPERLINK("https://portal.dnb.de/opac.htm?method=simpleSearch&amp;cqlMode=true&amp;query=idn%3D1003301878", "Portal")</f>
        <v>Portal</v>
      </c>
      <c r="G459" t="s">
        <v>112</v>
      </c>
      <c r="H459" t="s">
        <v>2143</v>
      </c>
      <c r="I459" t="s">
        <v>2144</v>
      </c>
      <c r="J459" t="s">
        <v>2145</v>
      </c>
      <c r="K459" t="s">
        <v>2145</v>
      </c>
      <c r="L459" t="s">
        <v>2145</v>
      </c>
      <c r="N459" t="s">
        <v>2146</v>
      </c>
      <c r="O459" t="s">
        <v>117</v>
      </c>
      <c r="R459" t="s">
        <v>163</v>
      </c>
      <c r="S459" t="s">
        <v>121</v>
      </c>
      <c r="T459" t="s">
        <v>122</v>
      </c>
      <c r="Y459">
        <v>0</v>
      </c>
      <c r="BN459">
        <v>0</v>
      </c>
    </row>
    <row r="460" spans="1:76" x14ac:dyDescent="0.2">
      <c r="A460" t="s">
        <v>111</v>
      </c>
      <c r="B460" t="b">
        <v>1</v>
      </c>
      <c r="E460">
        <v>534</v>
      </c>
      <c r="F460" t="str">
        <f>HYPERLINK("https://portal.dnb.de/opac.htm?method=simpleSearch&amp;cqlMode=true&amp;query=idn%3D99886126X", "Portal")</f>
        <v>Portal</v>
      </c>
      <c r="G460" t="s">
        <v>112</v>
      </c>
      <c r="H460" t="s">
        <v>2147</v>
      </c>
      <c r="I460" t="s">
        <v>2148</v>
      </c>
      <c r="J460" t="s">
        <v>2149</v>
      </c>
      <c r="K460" t="s">
        <v>2149</v>
      </c>
      <c r="L460" t="s">
        <v>2149</v>
      </c>
      <c r="N460" t="s">
        <v>2150</v>
      </c>
      <c r="O460" t="s">
        <v>117</v>
      </c>
      <c r="R460" t="s">
        <v>163</v>
      </c>
      <c r="S460" t="s">
        <v>121</v>
      </c>
      <c r="T460" t="s">
        <v>122</v>
      </c>
      <c r="U460" t="s">
        <v>203</v>
      </c>
      <c r="Y460">
        <v>0</v>
      </c>
      <c r="BN460">
        <v>0</v>
      </c>
    </row>
    <row r="461" spans="1:76" x14ac:dyDescent="0.2">
      <c r="A461" t="s">
        <v>111</v>
      </c>
      <c r="B461" t="b">
        <v>1</v>
      </c>
      <c r="E461">
        <v>535</v>
      </c>
      <c r="F461" t="str">
        <f>HYPERLINK("https://portal.dnb.de/opac.htm?method=simpleSearch&amp;cqlMode=true&amp;query=idn%3D993920780", "Portal")</f>
        <v>Portal</v>
      </c>
      <c r="G461" t="s">
        <v>112</v>
      </c>
      <c r="H461" t="s">
        <v>2151</v>
      </c>
      <c r="I461" t="s">
        <v>2152</v>
      </c>
      <c r="J461" t="s">
        <v>2153</v>
      </c>
      <c r="K461" t="s">
        <v>2153</v>
      </c>
      <c r="L461" t="s">
        <v>2153</v>
      </c>
      <c r="N461" t="s">
        <v>2154</v>
      </c>
      <c r="O461" t="s">
        <v>117</v>
      </c>
      <c r="P461" t="s">
        <v>118</v>
      </c>
      <c r="R461" t="s">
        <v>257</v>
      </c>
      <c r="S461" t="s">
        <v>121</v>
      </c>
      <c r="T461" t="s">
        <v>122</v>
      </c>
      <c r="Y461">
        <v>0</v>
      </c>
      <c r="BN461">
        <v>0</v>
      </c>
    </row>
    <row r="462" spans="1:76" x14ac:dyDescent="0.2">
      <c r="A462" t="s">
        <v>111</v>
      </c>
      <c r="B462" t="b">
        <v>1</v>
      </c>
      <c r="E462">
        <v>536</v>
      </c>
      <c r="F462" t="str">
        <f>HYPERLINK("https://portal.dnb.de/opac.htm?method=simpleSearch&amp;cqlMode=true&amp;query=idn%3D993920780", "Portal")</f>
        <v>Portal</v>
      </c>
      <c r="G462" t="s">
        <v>112</v>
      </c>
      <c r="H462" t="s">
        <v>2155</v>
      </c>
      <c r="I462" t="s">
        <v>2152</v>
      </c>
      <c r="J462" t="s">
        <v>2156</v>
      </c>
      <c r="K462" t="s">
        <v>2156</v>
      </c>
      <c r="L462" t="s">
        <v>2156</v>
      </c>
      <c r="N462" t="s">
        <v>2154</v>
      </c>
      <c r="O462" t="s">
        <v>117</v>
      </c>
      <c r="BN462">
        <v>0</v>
      </c>
    </row>
    <row r="463" spans="1:76" x14ac:dyDescent="0.2">
      <c r="A463" t="s">
        <v>111</v>
      </c>
      <c r="B463" t="b">
        <v>1</v>
      </c>
      <c r="E463">
        <v>537</v>
      </c>
      <c r="F463" t="str">
        <f>HYPERLINK("https://portal.dnb.de/opac.htm?method=simpleSearch&amp;cqlMode=true&amp;query=idn%3D993920780", "Portal")</f>
        <v>Portal</v>
      </c>
      <c r="G463" t="s">
        <v>112</v>
      </c>
      <c r="H463" t="s">
        <v>2157</v>
      </c>
      <c r="I463" t="s">
        <v>2152</v>
      </c>
      <c r="J463" t="s">
        <v>2158</v>
      </c>
      <c r="K463" t="s">
        <v>2158</v>
      </c>
      <c r="L463" t="s">
        <v>2158</v>
      </c>
      <c r="N463" t="s">
        <v>2154</v>
      </c>
      <c r="O463" t="s">
        <v>117</v>
      </c>
      <c r="R463" t="s">
        <v>163</v>
      </c>
      <c r="S463" t="s">
        <v>121</v>
      </c>
      <c r="T463" t="s">
        <v>122</v>
      </c>
      <c r="Y463">
        <v>0</v>
      </c>
      <c r="BN463">
        <v>0</v>
      </c>
    </row>
    <row r="464" spans="1:76" x14ac:dyDescent="0.2">
      <c r="A464" t="s">
        <v>111</v>
      </c>
      <c r="B464" t="b">
        <v>1</v>
      </c>
      <c r="E464">
        <v>538</v>
      </c>
      <c r="F464" t="str">
        <f>HYPERLINK("https://portal.dnb.de/opac.htm?method=simpleSearch&amp;cqlMode=true&amp;query=idn%3D993931057", "Portal")</f>
        <v>Portal</v>
      </c>
      <c r="G464" t="s">
        <v>112</v>
      </c>
      <c r="H464" t="s">
        <v>2159</v>
      </c>
      <c r="I464" t="s">
        <v>2160</v>
      </c>
      <c r="J464" t="s">
        <v>2161</v>
      </c>
      <c r="K464" t="s">
        <v>2161</v>
      </c>
      <c r="L464" t="s">
        <v>2161</v>
      </c>
      <c r="N464" t="s">
        <v>2162</v>
      </c>
      <c r="O464" t="s">
        <v>117</v>
      </c>
      <c r="BN464">
        <v>0</v>
      </c>
    </row>
    <row r="465" spans="1:92" x14ac:dyDescent="0.2">
      <c r="A465" t="s">
        <v>111</v>
      </c>
      <c r="B465" t="b">
        <v>1</v>
      </c>
      <c r="E465">
        <v>539</v>
      </c>
      <c r="F465" t="str">
        <f>HYPERLINK("https://portal.dnb.de/opac.htm?method=simpleSearch&amp;cqlMode=true&amp;query=idn%3D998071609", "Portal")</f>
        <v>Portal</v>
      </c>
      <c r="G465" t="s">
        <v>112</v>
      </c>
      <c r="H465" t="s">
        <v>2163</v>
      </c>
      <c r="I465" t="s">
        <v>2164</v>
      </c>
      <c r="J465" t="s">
        <v>2165</v>
      </c>
      <c r="K465" t="s">
        <v>2165</v>
      </c>
      <c r="L465" t="s">
        <v>2165</v>
      </c>
      <c r="N465" t="s">
        <v>2166</v>
      </c>
      <c r="O465" t="s">
        <v>117</v>
      </c>
      <c r="R465" t="s">
        <v>257</v>
      </c>
      <c r="S465" t="s">
        <v>121</v>
      </c>
      <c r="T465" t="s">
        <v>122</v>
      </c>
      <c r="X465" t="s">
        <v>168</v>
      </c>
      <c r="Y465">
        <v>0</v>
      </c>
      <c r="BN465">
        <v>0</v>
      </c>
    </row>
    <row r="466" spans="1:92" x14ac:dyDescent="0.2">
      <c r="A466" t="s">
        <v>111</v>
      </c>
      <c r="B466" t="b">
        <v>1</v>
      </c>
      <c r="E466">
        <v>540</v>
      </c>
      <c r="F466" t="str">
        <f>HYPERLINK("https://portal.dnb.de/opac.htm?method=simpleSearch&amp;cqlMode=true&amp;query=idn%3D998072052", "Portal")</f>
        <v>Portal</v>
      </c>
      <c r="G466" t="s">
        <v>112</v>
      </c>
      <c r="H466" t="s">
        <v>2167</v>
      </c>
      <c r="I466" t="s">
        <v>2168</v>
      </c>
      <c r="J466" t="s">
        <v>2169</v>
      </c>
      <c r="K466" t="s">
        <v>2169</v>
      </c>
      <c r="L466" t="s">
        <v>2169</v>
      </c>
      <c r="N466" t="s">
        <v>2170</v>
      </c>
      <c r="O466" t="s">
        <v>117</v>
      </c>
      <c r="P466" t="s">
        <v>118</v>
      </c>
      <c r="R466" t="s">
        <v>284</v>
      </c>
      <c r="S466" t="s">
        <v>121</v>
      </c>
      <c r="T466" t="s">
        <v>122</v>
      </c>
      <c r="BN466">
        <v>0</v>
      </c>
    </row>
    <row r="467" spans="1:92" x14ac:dyDescent="0.2">
      <c r="A467" t="s">
        <v>111</v>
      </c>
      <c r="B467" t="b">
        <v>0</v>
      </c>
      <c r="E467">
        <v>541</v>
      </c>
      <c r="F467" t="str">
        <f>HYPERLINK("https://portal.dnb.de/opac.htm?method=simpleSearch&amp;cqlMode=true&amp;query=idn%3D993921310", "Portal")</f>
        <v>Portal</v>
      </c>
      <c r="H467" t="s">
        <v>2171</v>
      </c>
      <c r="I467" t="s">
        <v>2172</v>
      </c>
      <c r="L467" t="s">
        <v>2173</v>
      </c>
      <c r="BN467">
        <v>0</v>
      </c>
    </row>
    <row r="468" spans="1:92" x14ac:dyDescent="0.2">
      <c r="A468" t="s">
        <v>111</v>
      </c>
      <c r="B468" t="b">
        <v>1</v>
      </c>
      <c r="E468">
        <v>542</v>
      </c>
      <c r="F468" t="str">
        <f>HYPERLINK("https://portal.dnb.de/opac.htm?method=simpleSearch&amp;cqlMode=true&amp;query=idn%3D994149603", "Portal")</f>
        <v>Portal</v>
      </c>
      <c r="G468" t="s">
        <v>112</v>
      </c>
      <c r="H468" t="s">
        <v>2174</v>
      </c>
      <c r="I468" t="s">
        <v>2175</v>
      </c>
      <c r="J468" t="s">
        <v>2176</v>
      </c>
      <c r="K468" t="s">
        <v>2176</v>
      </c>
      <c r="L468" t="s">
        <v>2176</v>
      </c>
      <c r="N468" t="s">
        <v>2177</v>
      </c>
      <c r="O468" t="s">
        <v>117</v>
      </c>
      <c r="BN468">
        <v>0</v>
      </c>
    </row>
    <row r="469" spans="1:92" x14ac:dyDescent="0.2">
      <c r="A469" t="s">
        <v>111</v>
      </c>
      <c r="B469" t="b">
        <v>1</v>
      </c>
      <c r="E469">
        <v>543</v>
      </c>
      <c r="F469" t="str">
        <f>HYPERLINK("https://portal.dnb.de/opac.htm?method=simpleSearch&amp;cqlMode=true&amp;query=idn%3D1066864748", "Portal")</f>
        <v>Portal</v>
      </c>
      <c r="G469" t="s">
        <v>125</v>
      </c>
      <c r="H469" t="s">
        <v>2178</v>
      </c>
      <c r="I469" t="s">
        <v>2179</v>
      </c>
      <c r="J469" t="s">
        <v>2180</v>
      </c>
      <c r="K469" t="s">
        <v>2180</v>
      </c>
      <c r="L469" t="s">
        <v>2180</v>
      </c>
      <c r="N469" t="s">
        <v>2181</v>
      </c>
      <c r="O469" t="s">
        <v>117</v>
      </c>
      <c r="S469" t="s">
        <v>146</v>
      </c>
      <c r="AI469" t="s">
        <v>365</v>
      </c>
      <c r="AK469" t="s">
        <v>132</v>
      </c>
      <c r="AL469" t="s">
        <v>132</v>
      </c>
      <c r="AM469" t="s">
        <v>134</v>
      </c>
      <c r="AS469" t="s">
        <v>135</v>
      </c>
      <c r="BG469" t="s">
        <v>793</v>
      </c>
      <c r="BM469" t="s">
        <v>137</v>
      </c>
      <c r="BN469">
        <v>0</v>
      </c>
      <c r="BV469" t="s">
        <v>355</v>
      </c>
    </row>
    <row r="470" spans="1:92" x14ac:dyDescent="0.2">
      <c r="A470" t="s">
        <v>111</v>
      </c>
      <c r="B470" t="b">
        <v>1</v>
      </c>
      <c r="E470">
        <v>544</v>
      </c>
      <c r="F470" t="str">
        <f>HYPERLINK("https://portal.dnb.de/opac.htm?method=simpleSearch&amp;cqlMode=true&amp;query=idn%3D1066858721", "Portal")</f>
        <v>Portal</v>
      </c>
      <c r="G470" t="s">
        <v>125</v>
      </c>
      <c r="H470" t="s">
        <v>2182</v>
      </c>
      <c r="I470" t="s">
        <v>2183</v>
      </c>
      <c r="J470" t="s">
        <v>2184</v>
      </c>
      <c r="K470" t="s">
        <v>2184</v>
      </c>
      <c r="L470" t="s">
        <v>2184</v>
      </c>
      <c r="N470" t="s">
        <v>2185</v>
      </c>
      <c r="O470" t="s">
        <v>117</v>
      </c>
      <c r="P470" t="s">
        <v>118</v>
      </c>
      <c r="R470" t="s">
        <v>223</v>
      </c>
      <c r="S470" t="s">
        <v>146</v>
      </c>
      <c r="T470" t="s">
        <v>130</v>
      </c>
      <c r="U470" t="s">
        <v>203</v>
      </c>
      <c r="W470" t="s">
        <v>147</v>
      </c>
      <c r="X470" t="s">
        <v>124</v>
      </c>
      <c r="Y470">
        <v>0</v>
      </c>
      <c r="AI470" t="s">
        <v>365</v>
      </c>
      <c r="AK470" t="s">
        <v>132</v>
      </c>
      <c r="AL470" t="s">
        <v>132</v>
      </c>
      <c r="AM470" t="s">
        <v>134</v>
      </c>
      <c r="AS470" t="s">
        <v>135</v>
      </c>
      <c r="BG470">
        <v>45</v>
      </c>
      <c r="BM470" t="s">
        <v>137</v>
      </c>
      <c r="BN470">
        <v>0</v>
      </c>
      <c r="BR470" t="s">
        <v>132</v>
      </c>
    </row>
    <row r="471" spans="1:92" x14ac:dyDescent="0.2">
      <c r="A471" t="s">
        <v>111</v>
      </c>
      <c r="B471" t="b">
        <v>1</v>
      </c>
      <c r="E471">
        <v>545</v>
      </c>
      <c r="F471" t="str">
        <f>HYPERLINK("https://portal.dnb.de/opac.htm?method=simpleSearch&amp;cqlMode=true&amp;query=idn%3D1066779449", "Portal")</f>
        <v>Portal</v>
      </c>
      <c r="G471" t="s">
        <v>125</v>
      </c>
      <c r="H471" t="s">
        <v>2186</v>
      </c>
      <c r="I471" t="s">
        <v>2187</v>
      </c>
      <c r="J471" t="s">
        <v>2188</v>
      </c>
      <c r="K471" t="s">
        <v>2188</v>
      </c>
      <c r="L471" t="s">
        <v>2188</v>
      </c>
      <c r="N471" t="s">
        <v>2189</v>
      </c>
      <c r="O471" t="s">
        <v>117</v>
      </c>
      <c r="P471" t="s">
        <v>118</v>
      </c>
      <c r="R471" t="s">
        <v>145</v>
      </c>
      <c r="S471" t="s">
        <v>146</v>
      </c>
      <c r="T471" t="s">
        <v>122</v>
      </c>
      <c r="U471" t="s">
        <v>123</v>
      </c>
      <c r="W471" t="s">
        <v>147</v>
      </c>
      <c r="X471" t="s">
        <v>124</v>
      </c>
      <c r="Y471">
        <v>1</v>
      </c>
      <c r="AI471" t="s">
        <v>133</v>
      </c>
      <c r="AM471" t="s">
        <v>179</v>
      </c>
      <c r="AS471" t="s">
        <v>135</v>
      </c>
      <c r="BG471">
        <v>60</v>
      </c>
      <c r="BM471" t="s">
        <v>137</v>
      </c>
      <c r="BN471">
        <v>0</v>
      </c>
      <c r="BR471" t="s">
        <v>132</v>
      </c>
    </row>
    <row r="472" spans="1:92" x14ac:dyDescent="0.2">
      <c r="A472" t="s">
        <v>111</v>
      </c>
      <c r="B472" t="b">
        <v>1</v>
      </c>
      <c r="E472">
        <v>546</v>
      </c>
      <c r="F472" t="str">
        <f>HYPERLINK("https://portal.dnb.de/opac.htm?method=simpleSearch&amp;cqlMode=true&amp;query=idn%3D1066776202", "Portal")</f>
        <v>Portal</v>
      </c>
      <c r="G472" t="s">
        <v>125</v>
      </c>
      <c r="H472" t="s">
        <v>2190</v>
      </c>
      <c r="I472" t="s">
        <v>2191</v>
      </c>
      <c r="J472" t="s">
        <v>2192</v>
      </c>
      <c r="K472" t="s">
        <v>2192</v>
      </c>
      <c r="L472" t="s">
        <v>2192</v>
      </c>
      <c r="N472" t="s">
        <v>2193</v>
      </c>
      <c r="O472" t="s">
        <v>117</v>
      </c>
      <c r="BN472">
        <v>0</v>
      </c>
    </row>
    <row r="473" spans="1:92" x14ac:dyDescent="0.2">
      <c r="A473" t="s">
        <v>111</v>
      </c>
      <c r="B473" t="b">
        <v>1</v>
      </c>
      <c r="E473">
        <v>547</v>
      </c>
      <c r="F473" t="str">
        <f>HYPERLINK("https://portal.dnb.de/opac.htm?method=simpleSearch&amp;cqlMode=true&amp;query=idn%3D1066956421", "Portal")</f>
        <v>Portal</v>
      </c>
      <c r="G473" t="s">
        <v>125</v>
      </c>
      <c r="H473" t="s">
        <v>2194</v>
      </c>
      <c r="I473" t="s">
        <v>2195</v>
      </c>
      <c r="J473" t="s">
        <v>2196</v>
      </c>
      <c r="K473" t="s">
        <v>2196</v>
      </c>
      <c r="L473" t="s">
        <v>2196</v>
      </c>
      <c r="N473" t="s">
        <v>2197</v>
      </c>
      <c r="O473" t="s">
        <v>117</v>
      </c>
      <c r="BN473">
        <v>0</v>
      </c>
    </row>
    <row r="474" spans="1:92" x14ac:dyDescent="0.2">
      <c r="A474" t="s">
        <v>111</v>
      </c>
      <c r="B474" t="b">
        <v>1</v>
      </c>
      <c r="C474" t="s">
        <v>132</v>
      </c>
      <c r="E474">
        <v>548</v>
      </c>
      <c r="F474" t="str">
        <f>HYPERLINK("https://portal.dnb.de/opac.htm?method=simpleSearch&amp;cqlMode=true&amp;query=idn%3D1066941939", "Portal")</f>
        <v>Portal</v>
      </c>
      <c r="G474" t="s">
        <v>125</v>
      </c>
      <c r="H474" t="s">
        <v>2198</v>
      </c>
      <c r="I474" t="s">
        <v>2199</v>
      </c>
      <c r="J474" t="s">
        <v>2200</v>
      </c>
      <c r="K474" t="s">
        <v>2200</v>
      </c>
      <c r="L474" t="s">
        <v>2200</v>
      </c>
      <c r="N474" t="s">
        <v>2201</v>
      </c>
      <c r="O474" t="s">
        <v>117</v>
      </c>
      <c r="S474" t="s">
        <v>121</v>
      </c>
      <c r="AI474" t="s">
        <v>135</v>
      </c>
      <c r="AK474" t="s">
        <v>132</v>
      </c>
      <c r="AM474" t="s">
        <v>134</v>
      </c>
      <c r="AS474" t="s">
        <v>135</v>
      </c>
      <c r="BG474">
        <v>110</v>
      </c>
      <c r="BM474" t="s">
        <v>180</v>
      </c>
      <c r="BN474">
        <v>0.5</v>
      </c>
      <c r="BP474" t="s">
        <v>1194</v>
      </c>
      <c r="BZ474" t="s">
        <v>132</v>
      </c>
      <c r="CB474" t="s">
        <v>132</v>
      </c>
      <c r="CM474">
        <v>0.5</v>
      </c>
      <c r="CN474" t="s">
        <v>2202</v>
      </c>
    </row>
    <row r="475" spans="1:92" x14ac:dyDescent="0.2">
      <c r="A475" t="s">
        <v>111</v>
      </c>
      <c r="B475" t="b">
        <v>1</v>
      </c>
      <c r="E475">
        <v>549</v>
      </c>
      <c r="F475" t="str">
        <f>HYPERLINK("https://portal.dnb.de/opac.htm?method=simpleSearch&amp;cqlMode=true&amp;query=idn%3D1066963673", "Portal")</f>
        <v>Portal</v>
      </c>
      <c r="G475" t="s">
        <v>125</v>
      </c>
      <c r="H475" t="s">
        <v>2203</v>
      </c>
      <c r="I475" t="s">
        <v>2204</v>
      </c>
      <c r="J475" t="s">
        <v>2205</v>
      </c>
      <c r="K475" t="s">
        <v>2205</v>
      </c>
      <c r="L475" t="s">
        <v>2205</v>
      </c>
      <c r="N475" t="s">
        <v>2206</v>
      </c>
      <c r="O475" t="s">
        <v>117</v>
      </c>
      <c r="BN475">
        <v>0</v>
      </c>
    </row>
    <row r="476" spans="1:92" x14ac:dyDescent="0.2">
      <c r="A476" t="s">
        <v>111</v>
      </c>
      <c r="B476" t="b">
        <v>1</v>
      </c>
      <c r="E476">
        <v>550</v>
      </c>
      <c r="F476" t="str">
        <f>HYPERLINK("https://portal.dnb.de/opac.htm?method=simpleSearch&amp;cqlMode=true&amp;query=idn%3D1066962332", "Portal")</f>
        <v>Portal</v>
      </c>
      <c r="G476" t="s">
        <v>125</v>
      </c>
      <c r="H476" t="s">
        <v>2207</v>
      </c>
      <c r="I476" t="s">
        <v>2208</v>
      </c>
      <c r="J476" t="s">
        <v>2209</v>
      </c>
      <c r="K476" t="s">
        <v>2209</v>
      </c>
      <c r="L476" t="s">
        <v>2209</v>
      </c>
      <c r="N476" t="s">
        <v>2210</v>
      </c>
      <c r="O476" t="s">
        <v>117</v>
      </c>
      <c r="BN476">
        <v>0</v>
      </c>
    </row>
    <row r="477" spans="1:92" x14ac:dyDescent="0.2">
      <c r="A477" t="s">
        <v>111</v>
      </c>
      <c r="B477" t="b">
        <v>1</v>
      </c>
      <c r="E477">
        <v>551</v>
      </c>
      <c r="F477" t="str">
        <f>HYPERLINK("https://portal.dnb.de/opac.htm?method=simpleSearch&amp;cqlMode=true&amp;query=idn%3D1066848513", "Portal")</f>
        <v>Portal</v>
      </c>
      <c r="G477" t="s">
        <v>125</v>
      </c>
      <c r="H477" t="s">
        <v>2211</v>
      </c>
      <c r="I477" t="s">
        <v>2212</v>
      </c>
      <c r="J477" t="s">
        <v>2213</v>
      </c>
      <c r="K477" t="s">
        <v>2213</v>
      </c>
      <c r="L477" t="s">
        <v>2213</v>
      </c>
      <c r="N477" t="s">
        <v>2214</v>
      </c>
      <c r="O477" t="s">
        <v>117</v>
      </c>
      <c r="P477" t="s">
        <v>118</v>
      </c>
      <c r="R477" t="s">
        <v>145</v>
      </c>
      <c r="S477" t="s">
        <v>146</v>
      </c>
      <c r="T477" t="s">
        <v>130</v>
      </c>
      <c r="W477" t="s">
        <v>147</v>
      </c>
      <c r="X477" t="s">
        <v>860</v>
      </c>
      <c r="Y477">
        <v>0</v>
      </c>
      <c r="AI477" t="s">
        <v>133</v>
      </c>
      <c r="AK477" t="s">
        <v>132</v>
      </c>
      <c r="AM477" t="s">
        <v>134</v>
      </c>
      <c r="AQ477" t="s">
        <v>132</v>
      </c>
      <c r="AS477" t="s">
        <v>135</v>
      </c>
      <c r="BC477" t="s">
        <v>1768</v>
      </c>
      <c r="BD477" t="s">
        <v>132</v>
      </c>
      <c r="BG477">
        <v>45</v>
      </c>
      <c r="BM477" t="s">
        <v>137</v>
      </c>
      <c r="BN477">
        <v>0</v>
      </c>
      <c r="BR477" t="s">
        <v>132</v>
      </c>
      <c r="BW477" t="s">
        <v>139</v>
      </c>
    </row>
    <row r="478" spans="1:92" x14ac:dyDescent="0.2">
      <c r="A478" t="s">
        <v>111</v>
      </c>
      <c r="B478" t="b">
        <v>0</v>
      </c>
      <c r="E478">
        <v>552</v>
      </c>
      <c r="F478" t="str">
        <f>HYPERLINK("https://portal.dnb.de/opac.htm?method=simpleSearch&amp;cqlMode=true&amp;query=idn%3D1066671311", "Portal")</f>
        <v>Portal</v>
      </c>
      <c r="H478" t="s">
        <v>2215</v>
      </c>
      <c r="I478" t="s">
        <v>2216</v>
      </c>
      <c r="L478" t="s">
        <v>2217</v>
      </c>
      <c r="BN478">
        <v>0</v>
      </c>
    </row>
    <row r="479" spans="1:92" x14ac:dyDescent="0.2">
      <c r="A479" t="s">
        <v>111</v>
      </c>
      <c r="B479" t="b">
        <v>1</v>
      </c>
      <c r="E479">
        <v>553</v>
      </c>
      <c r="F479" t="str">
        <f>HYPERLINK("https://portal.dnb.de/opac.htm?method=simpleSearch&amp;cqlMode=true&amp;query=idn%3D994273215", "Portal")</f>
        <v>Portal</v>
      </c>
      <c r="G479" t="s">
        <v>112</v>
      </c>
      <c r="H479" t="s">
        <v>2218</v>
      </c>
      <c r="I479" t="s">
        <v>2219</v>
      </c>
      <c r="J479" t="s">
        <v>2220</v>
      </c>
      <c r="K479" t="s">
        <v>2220</v>
      </c>
      <c r="L479" t="s">
        <v>2220</v>
      </c>
      <c r="N479" t="s">
        <v>2221</v>
      </c>
      <c r="O479" t="s">
        <v>117</v>
      </c>
      <c r="BN479">
        <v>0</v>
      </c>
    </row>
    <row r="480" spans="1:92" x14ac:dyDescent="0.2">
      <c r="A480" t="s">
        <v>111</v>
      </c>
      <c r="B480" t="b">
        <v>1</v>
      </c>
      <c r="C480" t="s">
        <v>132</v>
      </c>
      <c r="E480">
        <v>554</v>
      </c>
      <c r="F480" t="str">
        <f>HYPERLINK("https://portal.dnb.de/opac.htm?method=simpleSearch&amp;cqlMode=true&amp;query=idn%3D1066956650", "Portal")</f>
        <v>Portal</v>
      </c>
      <c r="G480" t="s">
        <v>415</v>
      </c>
      <c r="H480" t="s">
        <v>2222</v>
      </c>
      <c r="I480" t="s">
        <v>2223</v>
      </c>
      <c r="J480" t="s">
        <v>2224</v>
      </c>
      <c r="K480" t="s">
        <v>2224</v>
      </c>
      <c r="L480" t="s">
        <v>2224</v>
      </c>
      <c r="N480" t="s">
        <v>2197</v>
      </c>
      <c r="O480" t="s">
        <v>117</v>
      </c>
      <c r="S480" t="s">
        <v>146</v>
      </c>
      <c r="AI480" t="s">
        <v>133</v>
      </c>
      <c r="AL480" t="s">
        <v>132</v>
      </c>
      <c r="AM480" t="s">
        <v>179</v>
      </c>
      <c r="AS480" t="s">
        <v>135</v>
      </c>
      <c r="BG480">
        <v>80</v>
      </c>
      <c r="BM480" t="s">
        <v>180</v>
      </c>
      <c r="BN480">
        <v>6</v>
      </c>
      <c r="BR480" t="s">
        <v>132</v>
      </c>
      <c r="BZ480" t="s">
        <v>132</v>
      </c>
      <c r="CA480" t="s">
        <v>132</v>
      </c>
      <c r="CB480" t="s">
        <v>132</v>
      </c>
      <c r="CD480" t="s">
        <v>204</v>
      </c>
      <c r="CM480">
        <v>6</v>
      </c>
      <c r="CN480" t="s">
        <v>2225</v>
      </c>
    </row>
    <row r="481" spans="1:92" x14ac:dyDescent="0.2">
      <c r="A481" t="s">
        <v>111</v>
      </c>
      <c r="B481" t="b">
        <v>1</v>
      </c>
      <c r="E481">
        <v>555</v>
      </c>
      <c r="F481" t="str">
        <f>HYPERLINK("https://portal.dnb.de/opac.htm?method=simpleSearch&amp;cqlMode=true&amp;query=idn%3D1066956464", "Portal")</f>
        <v>Portal</v>
      </c>
      <c r="G481" t="s">
        <v>125</v>
      </c>
      <c r="H481" t="s">
        <v>2226</v>
      </c>
      <c r="I481" t="s">
        <v>2227</v>
      </c>
      <c r="J481" t="s">
        <v>2228</v>
      </c>
      <c r="K481" t="s">
        <v>2228</v>
      </c>
      <c r="L481" t="s">
        <v>2228</v>
      </c>
      <c r="N481" t="s">
        <v>2229</v>
      </c>
      <c r="O481" t="s">
        <v>117</v>
      </c>
      <c r="BN481">
        <v>0</v>
      </c>
    </row>
    <row r="482" spans="1:92" x14ac:dyDescent="0.2">
      <c r="A482" t="s">
        <v>111</v>
      </c>
      <c r="B482" t="b">
        <v>1</v>
      </c>
      <c r="E482">
        <v>556</v>
      </c>
      <c r="F482" t="str">
        <f>HYPERLINK("https://portal.dnb.de/opac.htm?method=simpleSearch&amp;cqlMode=true&amp;query=idn%3D1066962812", "Portal")</f>
        <v>Portal</v>
      </c>
      <c r="G482" t="s">
        <v>125</v>
      </c>
      <c r="H482" t="s">
        <v>2230</v>
      </c>
      <c r="I482" t="s">
        <v>2231</v>
      </c>
      <c r="J482" t="s">
        <v>2232</v>
      </c>
      <c r="K482" t="s">
        <v>2232</v>
      </c>
      <c r="L482" t="s">
        <v>2232</v>
      </c>
      <c r="N482" t="s">
        <v>2233</v>
      </c>
      <c r="O482" t="s">
        <v>117</v>
      </c>
      <c r="S482" t="s">
        <v>146</v>
      </c>
      <c r="AI482" t="s">
        <v>133</v>
      </c>
      <c r="AM482" t="s">
        <v>179</v>
      </c>
      <c r="AS482" t="s">
        <v>135</v>
      </c>
      <c r="BG482">
        <v>80</v>
      </c>
      <c r="BM482" t="s">
        <v>137</v>
      </c>
      <c r="BN482">
        <v>0</v>
      </c>
      <c r="BR482" t="s">
        <v>132</v>
      </c>
      <c r="BV482" t="s">
        <v>355</v>
      </c>
    </row>
    <row r="483" spans="1:92" x14ac:dyDescent="0.2">
      <c r="A483" t="s">
        <v>111</v>
      </c>
      <c r="B483" t="b">
        <v>1</v>
      </c>
      <c r="E483">
        <v>557</v>
      </c>
      <c r="F483" t="str">
        <f>HYPERLINK("https://portal.dnb.de/opac.htm?method=simpleSearch&amp;cqlMode=true&amp;query=idn%3D1066964084", "Portal")</f>
        <v>Portal</v>
      </c>
      <c r="G483" t="s">
        <v>125</v>
      </c>
      <c r="H483" t="s">
        <v>2234</v>
      </c>
      <c r="I483" t="s">
        <v>2235</v>
      </c>
      <c r="J483" t="s">
        <v>2236</v>
      </c>
      <c r="K483" t="s">
        <v>2237</v>
      </c>
      <c r="L483" t="s">
        <v>2237</v>
      </c>
      <c r="N483" t="s">
        <v>2238</v>
      </c>
      <c r="O483" t="s">
        <v>117</v>
      </c>
      <c r="S483" t="s">
        <v>146</v>
      </c>
      <c r="AI483" t="s">
        <v>133</v>
      </c>
      <c r="AK483" t="s">
        <v>132</v>
      </c>
      <c r="AM483" t="s">
        <v>134</v>
      </c>
      <c r="AS483" t="s">
        <v>135</v>
      </c>
      <c r="BC483" t="s">
        <v>1768</v>
      </c>
      <c r="BD483" t="s">
        <v>132</v>
      </c>
      <c r="BG483">
        <v>110</v>
      </c>
      <c r="BM483" t="s">
        <v>137</v>
      </c>
      <c r="BN483">
        <v>0</v>
      </c>
      <c r="BV483" t="s">
        <v>2239</v>
      </c>
    </row>
    <row r="484" spans="1:92" x14ac:dyDescent="0.2">
      <c r="A484" t="s">
        <v>111</v>
      </c>
      <c r="B484" t="b">
        <v>1</v>
      </c>
      <c r="E484">
        <v>558</v>
      </c>
      <c r="F484" t="str">
        <f>HYPERLINK("https://portal.dnb.de/opac.htm?method=simpleSearch&amp;cqlMode=true&amp;query=idn%3D1066962502", "Portal")</f>
        <v>Portal</v>
      </c>
      <c r="G484" t="s">
        <v>125</v>
      </c>
      <c r="H484" t="s">
        <v>2240</v>
      </c>
      <c r="I484" t="s">
        <v>2241</v>
      </c>
      <c r="J484" t="s">
        <v>2242</v>
      </c>
      <c r="K484" t="s">
        <v>2242</v>
      </c>
      <c r="L484" t="s">
        <v>2242</v>
      </c>
      <c r="N484" t="s">
        <v>2243</v>
      </c>
      <c r="O484" t="s">
        <v>117</v>
      </c>
      <c r="BN484">
        <v>0</v>
      </c>
    </row>
    <row r="485" spans="1:92" x14ac:dyDescent="0.2">
      <c r="A485" t="s">
        <v>111</v>
      </c>
      <c r="B485" t="b">
        <v>1</v>
      </c>
      <c r="C485" t="s">
        <v>132</v>
      </c>
      <c r="E485">
        <v>559</v>
      </c>
      <c r="F485" t="str">
        <f>HYPERLINK("https://portal.dnb.de/opac.htm?method=simpleSearch&amp;cqlMode=true&amp;query=idn%3D106667292X", "Portal")</f>
        <v>Portal</v>
      </c>
      <c r="G485" t="s">
        <v>125</v>
      </c>
      <c r="H485" t="s">
        <v>2244</v>
      </c>
      <c r="I485" t="s">
        <v>2245</v>
      </c>
      <c r="J485" t="s">
        <v>2246</v>
      </c>
      <c r="K485" t="s">
        <v>2246</v>
      </c>
      <c r="L485" t="s">
        <v>2246</v>
      </c>
      <c r="N485" t="s">
        <v>2247</v>
      </c>
      <c r="O485" t="s">
        <v>117</v>
      </c>
      <c r="S485" t="s">
        <v>146</v>
      </c>
      <c r="AI485" t="s">
        <v>149</v>
      </c>
      <c r="AK485" t="s">
        <v>132</v>
      </c>
      <c r="AM485" t="s">
        <v>179</v>
      </c>
      <c r="AR485" t="s">
        <v>132</v>
      </c>
      <c r="AS485" t="s">
        <v>135</v>
      </c>
      <c r="BG485">
        <v>60</v>
      </c>
      <c r="BM485" t="s">
        <v>180</v>
      </c>
      <c r="BN485">
        <v>1</v>
      </c>
      <c r="BR485" t="s">
        <v>132</v>
      </c>
      <c r="BV485" t="s">
        <v>2248</v>
      </c>
      <c r="BZ485" t="s">
        <v>132</v>
      </c>
      <c r="CB485" t="s">
        <v>132</v>
      </c>
      <c r="CH485" t="s">
        <v>132</v>
      </c>
      <c r="CM485">
        <v>1</v>
      </c>
      <c r="CN485" t="s">
        <v>2249</v>
      </c>
    </row>
    <row r="486" spans="1:92" x14ac:dyDescent="0.2">
      <c r="A486" t="s">
        <v>111</v>
      </c>
      <c r="B486" t="b">
        <v>1</v>
      </c>
      <c r="E486">
        <v>560</v>
      </c>
      <c r="F486" t="str">
        <f>HYPERLINK("https://portal.dnb.de/opac.htm?method=simpleSearch&amp;cqlMode=true&amp;query=idn%3D106695660X", "Portal")</f>
        <v>Portal</v>
      </c>
      <c r="G486" t="s">
        <v>125</v>
      </c>
      <c r="H486" t="s">
        <v>2250</v>
      </c>
      <c r="I486" t="s">
        <v>2251</v>
      </c>
      <c r="J486" t="s">
        <v>2252</v>
      </c>
      <c r="K486" t="s">
        <v>2252</v>
      </c>
      <c r="L486" t="s">
        <v>2252</v>
      </c>
      <c r="N486" t="s">
        <v>2253</v>
      </c>
      <c r="O486" t="s">
        <v>117</v>
      </c>
      <c r="BN486">
        <v>0</v>
      </c>
    </row>
    <row r="487" spans="1:92" x14ac:dyDescent="0.2">
      <c r="A487" t="s">
        <v>111</v>
      </c>
      <c r="B487" t="b">
        <v>1</v>
      </c>
      <c r="E487">
        <v>561</v>
      </c>
      <c r="F487" t="str">
        <f>HYPERLINK("https://portal.dnb.de/opac.htm?method=simpleSearch&amp;cqlMode=true&amp;query=idn%3D1066956537", "Portal")</f>
        <v>Portal</v>
      </c>
      <c r="G487" t="s">
        <v>125</v>
      </c>
      <c r="H487" t="s">
        <v>2254</v>
      </c>
      <c r="I487" t="s">
        <v>2255</v>
      </c>
      <c r="J487" t="s">
        <v>2256</v>
      </c>
      <c r="K487" t="s">
        <v>2256</v>
      </c>
      <c r="L487" t="s">
        <v>2256</v>
      </c>
      <c r="N487" t="s">
        <v>2257</v>
      </c>
      <c r="O487" t="s">
        <v>117</v>
      </c>
      <c r="P487" t="s">
        <v>118</v>
      </c>
      <c r="R487" t="s">
        <v>480</v>
      </c>
      <c r="S487" t="s">
        <v>121</v>
      </c>
      <c r="T487" t="s">
        <v>122</v>
      </c>
      <c r="U487" t="s">
        <v>203</v>
      </c>
      <c r="Y487">
        <v>0</v>
      </c>
      <c r="AA487" t="s">
        <v>1932</v>
      </c>
      <c r="BN487">
        <v>0</v>
      </c>
    </row>
    <row r="488" spans="1:92" x14ac:dyDescent="0.2">
      <c r="A488" t="s">
        <v>111</v>
      </c>
      <c r="B488" t="b">
        <v>1</v>
      </c>
      <c r="E488">
        <v>562</v>
      </c>
      <c r="F488" t="str">
        <f>HYPERLINK("https://portal.dnb.de/opac.htm?method=simpleSearch&amp;cqlMode=true&amp;query=idn%3D1066959404", "Portal")</f>
        <v>Portal</v>
      </c>
      <c r="G488" t="s">
        <v>125</v>
      </c>
      <c r="H488" t="s">
        <v>2258</v>
      </c>
      <c r="I488" t="s">
        <v>2259</v>
      </c>
      <c r="J488" t="s">
        <v>2260</v>
      </c>
      <c r="K488" t="s">
        <v>2260</v>
      </c>
      <c r="L488" t="s">
        <v>2260</v>
      </c>
      <c r="N488" t="s">
        <v>2261</v>
      </c>
      <c r="O488" t="s">
        <v>117</v>
      </c>
      <c r="P488" t="s">
        <v>118</v>
      </c>
      <c r="R488" t="s">
        <v>190</v>
      </c>
      <c r="S488" t="s">
        <v>121</v>
      </c>
      <c r="T488" t="s">
        <v>122</v>
      </c>
      <c r="U488" t="s">
        <v>203</v>
      </c>
      <c r="X488" t="s">
        <v>168</v>
      </c>
      <c r="Y488">
        <v>0</v>
      </c>
      <c r="BN488">
        <v>0</v>
      </c>
    </row>
    <row r="489" spans="1:92" x14ac:dyDescent="0.2">
      <c r="A489" t="s">
        <v>111</v>
      </c>
      <c r="B489" t="b">
        <v>1</v>
      </c>
      <c r="E489">
        <v>661</v>
      </c>
      <c r="F489" t="str">
        <f>HYPERLINK("https://portal.dnb.de/opac.htm?method=simpleSearch&amp;cqlMode=true&amp;query=idn%3D1066964076", "Portal")</f>
        <v>Portal</v>
      </c>
      <c r="G489" t="s">
        <v>125</v>
      </c>
      <c r="H489" t="s">
        <v>2262</v>
      </c>
      <c r="I489" t="s">
        <v>2263</v>
      </c>
      <c r="J489" t="s">
        <v>2264</v>
      </c>
      <c r="K489" t="s">
        <v>2264</v>
      </c>
      <c r="L489" t="s">
        <v>2264</v>
      </c>
      <c r="N489" t="s">
        <v>2265</v>
      </c>
      <c r="O489" t="s">
        <v>117</v>
      </c>
      <c r="BN489">
        <v>0</v>
      </c>
    </row>
    <row r="490" spans="1:92" x14ac:dyDescent="0.2">
      <c r="A490" t="s">
        <v>111</v>
      </c>
      <c r="B490" t="b">
        <v>1</v>
      </c>
      <c r="E490">
        <v>563</v>
      </c>
      <c r="F490" t="str">
        <f>HYPERLINK("https://portal.dnb.de/opac.htm?method=simpleSearch&amp;cqlMode=true&amp;query=idn%3D1066956642", "Portal")</f>
        <v>Portal</v>
      </c>
      <c r="G490" t="s">
        <v>125</v>
      </c>
      <c r="H490" t="s">
        <v>2266</v>
      </c>
      <c r="I490" t="s">
        <v>2267</v>
      </c>
      <c r="J490" t="s">
        <v>2268</v>
      </c>
      <c r="K490" t="s">
        <v>2268</v>
      </c>
      <c r="L490" t="s">
        <v>2268</v>
      </c>
      <c r="N490" t="s">
        <v>2269</v>
      </c>
      <c r="O490" t="s">
        <v>117</v>
      </c>
      <c r="P490" t="s">
        <v>118</v>
      </c>
      <c r="R490" t="s">
        <v>354</v>
      </c>
      <c r="S490" t="s">
        <v>121</v>
      </c>
      <c r="T490" t="s">
        <v>122</v>
      </c>
      <c r="U490" t="s">
        <v>203</v>
      </c>
      <c r="W490" t="s">
        <v>147</v>
      </c>
      <c r="X490" t="s">
        <v>124</v>
      </c>
      <c r="Y490">
        <v>1</v>
      </c>
      <c r="AI490" t="s">
        <v>135</v>
      </c>
      <c r="AK490" t="s">
        <v>132</v>
      </c>
      <c r="AM490" t="s">
        <v>134</v>
      </c>
      <c r="AS490" t="s">
        <v>135</v>
      </c>
      <c r="BG490">
        <v>110</v>
      </c>
      <c r="BM490" t="s">
        <v>137</v>
      </c>
      <c r="BN490">
        <v>0</v>
      </c>
      <c r="BR490" t="s">
        <v>132</v>
      </c>
      <c r="BV490" t="s">
        <v>355</v>
      </c>
    </row>
    <row r="491" spans="1:92" x14ac:dyDescent="0.2">
      <c r="A491" t="s">
        <v>111</v>
      </c>
      <c r="B491" t="b">
        <v>1</v>
      </c>
      <c r="E491">
        <v>564</v>
      </c>
      <c r="F491" t="str">
        <f>HYPERLINK("https://portal.dnb.de/opac.htm?method=simpleSearch&amp;cqlMode=true&amp;query=idn%3D1066873240", "Portal")</f>
        <v>Portal</v>
      </c>
      <c r="G491" t="s">
        <v>125</v>
      </c>
      <c r="H491" t="s">
        <v>2270</v>
      </c>
      <c r="I491" t="s">
        <v>2271</v>
      </c>
      <c r="J491" t="s">
        <v>2272</v>
      </c>
      <c r="K491" t="s">
        <v>2272</v>
      </c>
      <c r="L491" t="s">
        <v>2272</v>
      </c>
      <c r="N491" t="s">
        <v>2273</v>
      </c>
      <c r="O491" t="s">
        <v>117</v>
      </c>
      <c r="BN491">
        <v>0</v>
      </c>
    </row>
    <row r="492" spans="1:92" x14ac:dyDescent="0.2">
      <c r="A492" t="s">
        <v>111</v>
      </c>
      <c r="B492" t="b">
        <v>1</v>
      </c>
      <c r="E492">
        <v>565</v>
      </c>
      <c r="F492" t="str">
        <f>HYPERLINK("https://portal.dnb.de/opac.htm?method=simpleSearch&amp;cqlMode=true&amp;query=idn%3D994054432", "Portal")</f>
        <v>Portal</v>
      </c>
      <c r="G492" t="s">
        <v>112</v>
      </c>
      <c r="H492" t="s">
        <v>2274</v>
      </c>
      <c r="I492" t="s">
        <v>2275</v>
      </c>
      <c r="J492" t="s">
        <v>2276</v>
      </c>
      <c r="K492" t="s">
        <v>2276</v>
      </c>
      <c r="L492" t="s">
        <v>2276</v>
      </c>
      <c r="N492" t="s">
        <v>2277</v>
      </c>
      <c r="O492" t="s">
        <v>117</v>
      </c>
      <c r="P492" t="s">
        <v>118</v>
      </c>
      <c r="R492" t="s">
        <v>145</v>
      </c>
      <c r="S492" t="s">
        <v>121</v>
      </c>
      <c r="U492" t="s">
        <v>203</v>
      </c>
      <c r="W492" t="s">
        <v>147</v>
      </c>
      <c r="X492" t="s">
        <v>124</v>
      </c>
      <c r="Y492">
        <v>0</v>
      </c>
      <c r="AA492" t="s">
        <v>1932</v>
      </c>
      <c r="BN492">
        <v>0</v>
      </c>
    </row>
    <row r="493" spans="1:92" x14ac:dyDescent="0.2">
      <c r="A493" t="s">
        <v>111</v>
      </c>
      <c r="B493" t="b">
        <v>1</v>
      </c>
      <c r="E493">
        <v>566</v>
      </c>
      <c r="F493" t="str">
        <f>HYPERLINK("https://portal.dnb.de/opac.htm?method=simpleSearch&amp;cqlMode=true&amp;query=idn%3D1079607048", "Portal")</f>
        <v>Portal</v>
      </c>
      <c r="G493" t="s">
        <v>125</v>
      </c>
      <c r="H493" t="s">
        <v>2278</v>
      </c>
      <c r="I493" t="s">
        <v>2279</v>
      </c>
      <c r="J493" t="s">
        <v>2280</v>
      </c>
      <c r="K493" t="s">
        <v>2280</v>
      </c>
      <c r="L493" t="s">
        <v>2281</v>
      </c>
      <c r="N493" t="s">
        <v>2282</v>
      </c>
      <c r="O493" t="s">
        <v>117</v>
      </c>
      <c r="P493" t="s">
        <v>118</v>
      </c>
      <c r="R493" t="s">
        <v>238</v>
      </c>
      <c r="S493" t="s">
        <v>146</v>
      </c>
      <c r="T493" t="s">
        <v>122</v>
      </c>
      <c r="U493" t="s">
        <v>203</v>
      </c>
      <c r="W493" t="s">
        <v>147</v>
      </c>
      <c r="X493" t="s">
        <v>124</v>
      </c>
      <c r="Y493">
        <v>0</v>
      </c>
      <c r="AA493" t="s">
        <v>1932</v>
      </c>
      <c r="BN493">
        <v>0</v>
      </c>
    </row>
    <row r="494" spans="1:92" x14ac:dyDescent="0.2">
      <c r="A494" t="s">
        <v>111</v>
      </c>
      <c r="B494" t="b">
        <v>1</v>
      </c>
      <c r="E494">
        <v>568</v>
      </c>
      <c r="F494" t="str">
        <f>HYPERLINK("https://portal.dnb.de/opac.htm?method=simpleSearch&amp;cqlMode=true&amp;query=idn%3D1066837856", "Portal")</f>
        <v>Portal</v>
      </c>
      <c r="G494" t="s">
        <v>125</v>
      </c>
      <c r="H494" t="s">
        <v>2283</v>
      </c>
      <c r="I494" t="s">
        <v>2284</v>
      </c>
      <c r="J494" t="s">
        <v>2285</v>
      </c>
      <c r="K494" t="s">
        <v>2285</v>
      </c>
      <c r="L494" t="s">
        <v>2285</v>
      </c>
      <c r="N494" t="s">
        <v>2286</v>
      </c>
      <c r="O494" t="s">
        <v>117</v>
      </c>
      <c r="BN494">
        <v>0</v>
      </c>
    </row>
    <row r="495" spans="1:92" x14ac:dyDescent="0.2">
      <c r="A495" t="s">
        <v>111</v>
      </c>
      <c r="B495" t="b">
        <v>1</v>
      </c>
      <c r="E495">
        <v>569</v>
      </c>
      <c r="F495" t="str">
        <f>HYPERLINK("https://portal.dnb.de/opac.htm?method=simpleSearch&amp;cqlMode=true&amp;query=idn%3D1066873720", "Portal")</f>
        <v>Portal</v>
      </c>
      <c r="G495" t="s">
        <v>125</v>
      </c>
      <c r="H495" t="s">
        <v>2287</v>
      </c>
      <c r="I495" t="s">
        <v>2288</v>
      </c>
      <c r="J495" t="s">
        <v>2289</v>
      </c>
      <c r="K495" t="s">
        <v>2289</v>
      </c>
      <c r="L495" t="s">
        <v>2289</v>
      </c>
      <c r="N495" t="s">
        <v>2290</v>
      </c>
      <c r="O495" t="s">
        <v>117</v>
      </c>
      <c r="BN495">
        <v>0</v>
      </c>
    </row>
    <row r="496" spans="1:92" x14ac:dyDescent="0.2">
      <c r="A496" t="s">
        <v>111</v>
      </c>
      <c r="B496" t="b">
        <v>1</v>
      </c>
      <c r="C496" t="s">
        <v>132</v>
      </c>
      <c r="E496">
        <v>570</v>
      </c>
      <c r="F496" t="str">
        <f>HYPERLINK("https://portal.dnb.de/opac.htm?method=simpleSearch&amp;cqlMode=true&amp;query=idn%3D1066961905", "Portal")</f>
        <v>Portal</v>
      </c>
      <c r="G496" t="s">
        <v>125</v>
      </c>
      <c r="H496" t="s">
        <v>2291</v>
      </c>
      <c r="I496" t="s">
        <v>2292</v>
      </c>
      <c r="J496" t="s">
        <v>2293</v>
      </c>
      <c r="K496" t="s">
        <v>2293</v>
      </c>
      <c r="L496" t="s">
        <v>2293</v>
      </c>
      <c r="N496" t="s">
        <v>2294</v>
      </c>
      <c r="O496" t="s">
        <v>117</v>
      </c>
      <c r="S496" t="s">
        <v>121</v>
      </c>
      <c r="AI496" t="s">
        <v>365</v>
      </c>
      <c r="AK496" t="s">
        <v>132</v>
      </c>
      <c r="AM496" t="s">
        <v>134</v>
      </c>
      <c r="AS496" t="s">
        <v>135</v>
      </c>
      <c r="BG496">
        <v>110</v>
      </c>
      <c r="BM496" t="s">
        <v>180</v>
      </c>
      <c r="BN496">
        <v>0.5</v>
      </c>
      <c r="BR496" t="s">
        <v>132</v>
      </c>
      <c r="BZ496" t="s">
        <v>132</v>
      </c>
      <c r="CA496" t="s">
        <v>132</v>
      </c>
      <c r="CB496" t="s">
        <v>132</v>
      </c>
      <c r="CM496">
        <v>0.5</v>
      </c>
    </row>
    <row r="497" spans="1:92" x14ac:dyDescent="0.2">
      <c r="A497" t="s">
        <v>111</v>
      </c>
      <c r="B497" t="b">
        <v>1</v>
      </c>
      <c r="E497">
        <v>571</v>
      </c>
      <c r="F497" t="str">
        <f>HYPERLINK("https://portal.dnb.de/opac.htm?method=simpleSearch&amp;cqlMode=true&amp;query=idn%3D1066959684", "Portal")</f>
        <v>Portal</v>
      </c>
      <c r="G497" t="s">
        <v>125</v>
      </c>
      <c r="H497" t="s">
        <v>2295</v>
      </c>
      <c r="I497" t="s">
        <v>2296</v>
      </c>
      <c r="J497" t="s">
        <v>2297</v>
      </c>
      <c r="K497" t="s">
        <v>2297</v>
      </c>
      <c r="L497" t="s">
        <v>2297</v>
      </c>
      <c r="N497" t="s">
        <v>2298</v>
      </c>
      <c r="O497" t="s">
        <v>117</v>
      </c>
      <c r="P497" t="s">
        <v>118</v>
      </c>
      <c r="R497" t="s">
        <v>238</v>
      </c>
      <c r="S497" t="s">
        <v>146</v>
      </c>
      <c r="T497" t="s">
        <v>122</v>
      </c>
      <c r="U497" t="s">
        <v>203</v>
      </c>
      <c r="W497" t="s">
        <v>147</v>
      </c>
      <c r="X497" t="s">
        <v>124</v>
      </c>
      <c r="Y497">
        <v>0</v>
      </c>
      <c r="AA497" t="s">
        <v>1932</v>
      </c>
      <c r="BN497">
        <v>0</v>
      </c>
    </row>
    <row r="498" spans="1:92" x14ac:dyDescent="0.2">
      <c r="A498" t="s">
        <v>111</v>
      </c>
      <c r="B498" t="b">
        <v>1</v>
      </c>
      <c r="E498">
        <v>662</v>
      </c>
      <c r="F498" t="str">
        <f>HYPERLINK("https://portal.dnb.de/opac.htm?method=simpleSearch&amp;cqlMode=true&amp;query=idn%3D1079607048", "Portal")</f>
        <v>Portal</v>
      </c>
      <c r="G498" t="s">
        <v>125</v>
      </c>
      <c r="H498" t="s">
        <v>2299</v>
      </c>
      <c r="I498" t="s">
        <v>2279</v>
      </c>
      <c r="J498" t="s">
        <v>2300</v>
      </c>
      <c r="K498" t="s">
        <v>2300</v>
      </c>
      <c r="L498" t="s">
        <v>2300</v>
      </c>
      <c r="N498" t="s">
        <v>2282</v>
      </c>
      <c r="O498" t="s">
        <v>117</v>
      </c>
      <c r="P498" t="s">
        <v>118</v>
      </c>
      <c r="R498" t="s">
        <v>480</v>
      </c>
      <c r="S498" t="s">
        <v>146</v>
      </c>
      <c r="T498" t="s">
        <v>122</v>
      </c>
      <c r="U498" t="s">
        <v>203</v>
      </c>
      <c r="Y498">
        <v>0</v>
      </c>
      <c r="AA498" t="s">
        <v>1932</v>
      </c>
      <c r="BN498">
        <v>0</v>
      </c>
    </row>
    <row r="499" spans="1:92" x14ac:dyDescent="0.2">
      <c r="A499" t="s">
        <v>111</v>
      </c>
      <c r="B499" t="b">
        <v>1</v>
      </c>
      <c r="E499">
        <v>573</v>
      </c>
      <c r="F499" t="str">
        <f>HYPERLINK("https://portal.dnb.de/opac.htm?method=simpleSearch&amp;cqlMode=true&amp;query=idn%3D1066940509", "Portal")</f>
        <v>Portal</v>
      </c>
      <c r="G499" t="s">
        <v>125</v>
      </c>
      <c r="H499" t="s">
        <v>2301</v>
      </c>
      <c r="I499" t="s">
        <v>2302</v>
      </c>
      <c r="J499" t="s">
        <v>2303</v>
      </c>
      <c r="K499" t="s">
        <v>2303</v>
      </c>
      <c r="L499" t="s">
        <v>2303</v>
      </c>
      <c r="N499" t="s">
        <v>2304</v>
      </c>
      <c r="O499" t="s">
        <v>117</v>
      </c>
      <c r="S499" t="s">
        <v>121</v>
      </c>
      <c r="AI499" t="s">
        <v>365</v>
      </c>
      <c r="AK499" t="s">
        <v>132</v>
      </c>
      <c r="AM499" t="s">
        <v>134</v>
      </c>
      <c r="AS499" t="s">
        <v>135</v>
      </c>
      <c r="AT499" t="s">
        <v>132</v>
      </c>
      <c r="BG499">
        <v>110</v>
      </c>
      <c r="BM499" t="s">
        <v>137</v>
      </c>
      <c r="BN499">
        <v>0</v>
      </c>
      <c r="BR499" t="s">
        <v>132</v>
      </c>
      <c r="BV499" t="s">
        <v>355</v>
      </c>
    </row>
    <row r="500" spans="1:92" x14ac:dyDescent="0.2">
      <c r="A500" t="s">
        <v>111</v>
      </c>
      <c r="B500" t="b">
        <v>1</v>
      </c>
      <c r="C500" t="s">
        <v>132</v>
      </c>
      <c r="E500">
        <v>574</v>
      </c>
      <c r="F500" t="str">
        <f>HYPERLINK("https://portal.dnb.de/opac.htm?method=simpleSearch&amp;cqlMode=true&amp;query=idn%3D1066956723", "Portal")</f>
        <v>Portal</v>
      </c>
      <c r="G500" t="s">
        <v>125</v>
      </c>
      <c r="H500" t="s">
        <v>2305</v>
      </c>
      <c r="I500" t="s">
        <v>2306</v>
      </c>
      <c r="J500" t="s">
        <v>2307</v>
      </c>
      <c r="K500" t="s">
        <v>2307</v>
      </c>
      <c r="L500" t="s">
        <v>2307</v>
      </c>
      <c r="N500" t="s">
        <v>2308</v>
      </c>
      <c r="O500" t="s">
        <v>117</v>
      </c>
      <c r="S500" t="s">
        <v>121</v>
      </c>
      <c r="AI500" t="s">
        <v>135</v>
      </c>
      <c r="AM500" t="s">
        <v>134</v>
      </c>
      <c r="AS500" t="s">
        <v>135</v>
      </c>
      <c r="BG500">
        <v>110</v>
      </c>
      <c r="BM500" t="s">
        <v>180</v>
      </c>
      <c r="BN500">
        <v>0.5</v>
      </c>
      <c r="BZ500" t="s">
        <v>132</v>
      </c>
      <c r="CB500" t="s">
        <v>132</v>
      </c>
      <c r="CM500">
        <v>0.5</v>
      </c>
      <c r="CN500" t="s">
        <v>2202</v>
      </c>
    </row>
    <row r="501" spans="1:92" x14ac:dyDescent="0.2">
      <c r="A501" t="s">
        <v>111</v>
      </c>
      <c r="B501" t="b">
        <v>1</v>
      </c>
      <c r="E501">
        <v>575</v>
      </c>
      <c r="F501" t="str">
        <f>HYPERLINK("https://portal.dnb.de/opac.htm?method=simpleSearch&amp;cqlMode=true&amp;query=idn%3D1066963401", "Portal")</f>
        <v>Portal</v>
      </c>
      <c r="G501" t="s">
        <v>125</v>
      </c>
      <c r="H501" t="s">
        <v>2309</v>
      </c>
      <c r="I501" t="s">
        <v>2310</v>
      </c>
      <c r="J501" t="s">
        <v>2311</v>
      </c>
      <c r="K501" t="s">
        <v>2311</v>
      </c>
      <c r="L501" t="s">
        <v>2311</v>
      </c>
      <c r="N501" t="s">
        <v>2312</v>
      </c>
      <c r="O501" t="s">
        <v>117</v>
      </c>
      <c r="BN501">
        <v>0</v>
      </c>
    </row>
    <row r="502" spans="1:92" x14ac:dyDescent="0.2">
      <c r="A502" t="s">
        <v>111</v>
      </c>
      <c r="B502" t="b">
        <v>1</v>
      </c>
      <c r="E502">
        <v>576</v>
      </c>
      <c r="F502" t="str">
        <f>HYPERLINK("https://portal.dnb.de/opac.htm?method=simpleSearch&amp;cqlMode=true&amp;query=idn%3D1066961743", "Portal")</f>
        <v>Portal</v>
      </c>
      <c r="G502" t="s">
        <v>125</v>
      </c>
      <c r="H502" t="s">
        <v>2313</v>
      </c>
      <c r="I502" t="s">
        <v>2314</v>
      </c>
      <c r="J502" t="s">
        <v>2315</v>
      </c>
      <c r="K502" t="s">
        <v>2315</v>
      </c>
      <c r="L502" t="s">
        <v>2315</v>
      </c>
      <c r="N502" t="s">
        <v>2316</v>
      </c>
      <c r="O502" t="s">
        <v>117</v>
      </c>
      <c r="P502" t="s">
        <v>118</v>
      </c>
      <c r="R502" t="s">
        <v>190</v>
      </c>
      <c r="S502" t="s">
        <v>146</v>
      </c>
      <c r="T502" t="s">
        <v>130</v>
      </c>
      <c r="U502" t="s">
        <v>203</v>
      </c>
      <c r="Y502">
        <v>0</v>
      </c>
      <c r="BN502">
        <v>0</v>
      </c>
    </row>
    <row r="503" spans="1:92" x14ac:dyDescent="0.2">
      <c r="A503" t="s">
        <v>111</v>
      </c>
      <c r="B503" t="b">
        <v>1</v>
      </c>
      <c r="E503">
        <v>577</v>
      </c>
      <c r="F503" t="str">
        <f>HYPERLINK("https://portal.dnb.de/opac.htm?method=simpleSearch&amp;cqlMode=true&amp;query=idn%3D1066961840", "Portal")</f>
        <v>Portal</v>
      </c>
      <c r="G503" t="s">
        <v>125</v>
      </c>
      <c r="H503" t="s">
        <v>2317</v>
      </c>
      <c r="I503" t="s">
        <v>2318</v>
      </c>
      <c r="J503" t="s">
        <v>2319</v>
      </c>
      <c r="K503" t="s">
        <v>2319</v>
      </c>
      <c r="L503" t="s">
        <v>2319</v>
      </c>
      <c r="N503" t="s">
        <v>2320</v>
      </c>
      <c r="O503" t="s">
        <v>117</v>
      </c>
      <c r="BN503">
        <v>0</v>
      </c>
    </row>
    <row r="504" spans="1:92" x14ac:dyDescent="0.2">
      <c r="A504" t="s">
        <v>111</v>
      </c>
      <c r="B504" t="b">
        <v>1</v>
      </c>
      <c r="E504">
        <v>578</v>
      </c>
      <c r="F504" t="str">
        <f>HYPERLINK("https://portal.dnb.de/opac.htm?method=simpleSearch&amp;cqlMode=true&amp;query=idn%3D1066956553", "Portal")</f>
        <v>Portal</v>
      </c>
      <c r="G504" t="s">
        <v>125</v>
      </c>
      <c r="H504" t="s">
        <v>2321</v>
      </c>
      <c r="I504" t="s">
        <v>2322</v>
      </c>
      <c r="J504" t="s">
        <v>2323</v>
      </c>
      <c r="K504" t="s">
        <v>2323</v>
      </c>
      <c r="L504" t="s">
        <v>2323</v>
      </c>
      <c r="N504" t="s">
        <v>2324</v>
      </c>
      <c r="O504" t="s">
        <v>117</v>
      </c>
      <c r="BN504">
        <v>0</v>
      </c>
    </row>
    <row r="505" spans="1:92" x14ac:dyDescent="0.2">
      <c r="A505" t="s">
        <v>111</v>
      </c>
      <c r="B505" t="b">
        <v>1</v>
      </c>
      <c r="E505">
        <v>579</v>
      </c>
      <c r="F505" t="str">
        <f>HYPERLINK("https://portal.dnb.de/opac.htm?method=simpleSearch&amp;cqlMode=true&amp;query=idn%3D1066963819", "Portal")</f>
        <v>Portal</v>
      </c>
      <c r="G505" t="s">
        <v>125</v>
      </c>
      <c r="H505" t="s">
        <v>2325</v>
      </c>
      <c r="I505" t="s">
        <v>2326</v>
      </c>
      <c r="J505" t="s">
        <v>2327</v>
      </c>
      <c r="K505" t="s">
        <v>2327</v>
      </c>
      <c r="L505" t="s">
        <v>2327</v>
      </c>
      <c r="N505" t="s">
        <v>2328</v>
      </c>
      <c r="O505" t="s">
        <v>117</v>
      </c>
      <c r="BN505">
        <v>0</v>
      </c>
    </row>
    <row r="506" spans="1:92" x14ac:dyDescent="0.2">
      <c r="A506" t="s">
        <v>111</v>
      </c>
      <c r="B506" t="b">
        <v>1</v>
      </c>
      <c r="C506" t="s">
        <v>132</v>
      </c>
      <c r="E506">
        <v>580</v>
      </c>
      <c r="F506" t="str">
        <f>HYPERLINK("https://portal.dnb.de/opac.htm?method=simpleSearch&amp;cqlMode=true&amp;query=idn%3D1066956545", "Portal")</f>
        <v>Portal</v>
      </c>
      <c r="G506" t="s">
        <v>125</v>
      </c>
      <c r="H506" t="s">
        <v>2329</v>
      </c>
      <c r="I506" t="s">
        <v>2330</v>
      </c>
      <c r="J506" t="s">
        <v>2331</v>
      </c>
      <c r="K506" t="s">
        <v>2331</v>
      </c>
      <c r="L506" t="s">
        <v>2331</v>
      </c>
      <c r="N506" t="s">
        <v>2332</v>
      </c>
      <c r="O506" t="s">
        <v>117</v>
      </c>
      <c r="S506" t="s">
        <v>146</v>
      </c>
      <c r="AI506" t="s">
        <v>133</v>
      </c>
      <c r="AM506" t="s">
        <v>179</v>
      </c>
      <c r="AS506" t="s">
        <v>135</v>
      </c>
      <c r="BG506">
        <v>80</v>
      </c>
      <c r="BM506" t="s">
        <v>180</v>
      </c>
      <c r="BN506">
        <v>1</v>
      </c>
      <c r="BZ506" t="s">
        <v>132</v>
      </c>
      <c r="CA506" t="s">
        <v>132</v>
      </c>
      <c r="CB506" t="s">
        <v>132</v>
      </c>
      <c r="CD506" t="s">
        <v>204</v>
      </c>
      <c r="CM506">
        <v>1</v>
      </c>
      <c r="CN506" t="s">
        <v>2333</v>
      </c>
    </row>
    <row r="507" spans="1:92" x14ac:dyDescent="0.2">
      <c r="A507" t="s">
        <v>111</v>
      </c>
      <c r="B507" t="b">
        <v>1</v>
      </c>
      <c r="E507">
        <v>581</v>
      </c>
      <c r="F507" t="str">
        <f>HYPERLINK("https://portal.dnb.de/opac.htm?method=simpleSearch&amp;cqlMode=true&amp;query=idn%3D1066959617", "Portal")</f>
        <v>Portal</v>
      </c>
      <c r="G507" t="s">
        <v>125</v>
      </c>
      <c r="H507" t="s">
        <v>2334</v>
      </c>
      <c r="I507" t="s">
        <v>2335</v>
      </c>
      <c r="J507" t="s">
        <v>2336</v>
      </c>
      <c r="K507" t="s">
        <v>2336</v>
      </c>
      <c r="L507" t="s">
        <v>2336</v>
      </c>
      <c r="N507" t="s">
        <v>2337</v>
      </c>
      <c r="O507" t="s">
        <v>117</v>
      </c>
      <c r="P507" t="s">
        <v>118</v>
      </c>
      <c r="R507" t="s">
        <v>223</v>
      </c>
      <c r="S507" t="s">
        <v>146</v>
      </c>
      <c r="T507" t="s">
        <v>130</v>
      </c>
      <c r="U507" t="s">
        <v>123</v>
      </c>
      <c r="W507" t="s">
        <v>147</v>
      </c>
      <c r="X507" t="s">
        <v>124</v>
      </c>
      <c r="Y507">
        <v>1</v>
      </c>
      <c r="AI507" t="s">
        <v>149</v>
      </c>
      <c r="AK507" t="s">
        <v>132</v>
      </c>
      <c r="AM507" t="s">
        <v>179</v>
      </c>
      <c r="AS507" t="s">
        <v>135</v>
      </c>
      <c r="BG507">
        <v>45</v>
      </c>
      <c r="BM507" t="s">
        <v>137</v>
      </c>
      <c r="BN507">
        <v>0</v>
      </c>
      <c r="BR507" t="s">
        <v>132</v>
      </c>
      <c r="BV507" t="s">
        <v>355</v>
      </c>
    </row>
    <row r="508" spans="1:92" x14ac:dyDescent="0.2">
      <c r="A508" t="s">
        <v>111</v>
      </c>
      <c r="B508" t="b">
        <v>1</v>
      </c>
      <c r="E508">
        <v>582</v>
      </c>
      <c r="F508" t="str">
        <f>HYPERLINK("https://portal.dnb.de/opac.htm?method=simpleSearch&amp;cqlMode=true&amp;query=idn%3D1066961484", "Portal")</f>
        <v>Portal</v>
      </c>
      <c r="G508" t="s">
        <v>125</v>
      </c>
      <c r="H508" t="s">
        <v>2338</v>
      </c>
      <c r="I508" t="s">
        <v>2339</v>
      </c>
      <c r="J508" t="s">
        <v>2340</v>
      </c>
      <c r="K508" t="s">
        <v>2340</v>
      </c>
      <c r="L508" t="s">
        <v>2340</v>
      </c>
      <c r="N508" t="s">
        <v>2341</v>
      </c>
      <c r="O508" t="s">
        <v>117</v>
      </c>
      <c r="BN508">
        <v>0</v>
      </c>
    </row>
    <row r="509" spans="1:92" x14ac:dyDescent="0.2">
      <c r="A509" t="s">
        <v>111</v>
      </c>
      <c r="B509" t="b">
        <v>1</v>
      </c>
      <c r="E509">
        <v>583</v>
      </c>
      <c r="F509" t="str">
        <f>HYPERLINK("https://portal.dnb.de/opac.htm?method=simpleSearch&amp;cqlMode=true&amp;query=idn%3D1066961662", "Portal")</f>
        <v>Portal</v>
      </c>
      <c r="G509" t="s">
        <v>125</v>
      </c>
      <c r="H509" t="s">
        <v>2342</v>
      </c>
      <c r="I509" t="s">
        <v>2343</v>
      </c>
      <c r="J509" t="s">
        <v>2344</v>
      </c>
      <c r="K509" t="s">
        <v>2344</v>
      </c>
      <c r="L509" t="s">
        <v>2344</v>
      </c>
      <c r="N509" t="s">
        <v>2345</v>
      </c>
      <c r="O509" t="s">
        <v>117</v>
      </c>
      <c r="BN509">
        <v>0</v>
      </c>
    </row>
    <row r="510" spans="1:92" x14ac:dyDescent="0.2">
      <c r="A510" t="s">
        <v>111</v>
      </c>
      <c r="B510" t="b">
        <v>1</v>
      </c>
      <c r="E510">
        <v>584</v>
      </c>
      <c r="F510" t="str">
        <f>HYPERLINK("https://portal.dnb.de/opac.htm?method=simpleSearch&amp;cqlMode=true&amp;query=idn%3D1066874581", "Portal")</f>
        <v>Portal</v>
      </c>
      <c r="G510" t="s">
        <v>125</v>
      </c>
      <c r="H510" t="s">
        <v>2346</v>
      </c>
      <c r="I510" t="s">
        <v>2347</v>
      </c>
      <c r="J510" t="s">
        <v>2348</v>
      </c>
      <c r="K510" t="s">
        <v>2348</v>
      </c>
      <c r="L510" t="s">
        <v>2348</v>
      </c>
      <c r="N510" t="s">
        <v>2349</v>
      </c>
      <c r="O510" t="s">
        <v>117</v>
      </c>
      <c r="P510" t="s">
        <v>118</v>
      </c>
      <c r="R510" t="s">
        <v>120</v>
      </c>
      <c r="S510" t="s">
        <v>121</v>
      </c>
      <c r="T510" t="s">
        <v>130</v>
      </c>
      <c r="U510" t="s">
        <v>178</v>
      </c>
      <c r="W510" t="s">
        <v>67</v>
      </c>
      <c r="X510" t="s">
        <v>124</v>
      </c>
      <c r="Y510">
        <v>0</v>
      </c>
      <c r="AA510" t="s">
        <v>2350</v>
      </c>
      <c r="BN510">
        <v>0</v>
      </c>
    </row>
    <row r="511" spans="1:92" x14ac:dyDescent="0.2">
      <c r="A511" t="s">
        <v>111</v>
      </c>
      <c r="B511" t="b">
        <v>1</v>
      </c>
      <c r="E511">
        <v>585</v>
      </c>
      <c r="F511" t="str">
        <f>HYPERLINK("https://portal.dnb.de/opac.htm?method=simpleSearch&amp;cqlMode=true&amp;query=idn%3D1066847827", "Portal")</f>
        <v>Portal</v>
      </c>
      <c r="G511" t="s">
        <v>125</v>
      </c>
      <c r="H511" t="s">
        <v>2351</v>
      </c>
      <c r="I511" t="s">
        <v>2352</v>
      </c>
      <c r="J511" t="s">
        <v>2353</v>
      </c>
      <c r="K511" t="s">
        <v>2353</v>
      </c>
      <c r="L511" t="s">
        <v>2353</v>
      </c>
      <c r="N511" t="s">
        <v>2354</v>
      </c>
      <c r="O511" t="s">
        <v>117</v>
      </c>
      <c r="BN511">
        <v>0</v>
      </c>
    </row>
    <row r="512" spans="1:92" x14ac:dyDescent="0.2">
      <c r="A512" t="s">
        <v>111</v>
      </c>
      <c r="B512" t="b">
        <v>1</v>
      </c>
      <c r="E512">
        <v>586</v>
      </c>
      <c r="F512" t="str">
        <f>HYPERLINK("https://portal.dnb.de/opac.htm?method=simpleSearch&amp;cqlMode=true&amp;query=idn%3D1002646758", "Portal")</f>
        <v>Portal</v>
      </c>
      <c r="G512" t="s">
        <v>112</v>
      </c>
      <c r="H512" t="s">
        <v>2355</v>
      </c>
      <c r="I512" t="s">
        <v>2356</v>
      </c>
      <c r="J512" t="s">
        <v>2357</v>
      </c>
      <c r="K512" t="s">
        <v>2357</v>
      </c>
      <c r="L512" t="s">
        <v>2357</v>
      </c>
      <c r="N512" t="s">
        <v>2358</v>
      </c>
      <c r="O512" t="s">
        <v>117</v>
      </c>
      <c r="BN512">
        <v>0</v>
      </c>
    </row>
    <row r="513" spans="1:91" x14ac:dyDescent="0.2">
      <c r="A513" t="s">
        <v>111</v>
      </c>
      <c r="B513" t="b">
        <v>1</v>
      </c>
      <c r="E513">
        <v>663</v>
      </c>
      <c r="F513" t="str">
        <f>HYPERLINK("https://portal.dnb.de/opac.htm?method=simpleSearch&amp;cqlMode=true&amp;query=idn%3D1002646758", "Portal")</f>
        <v>Portal</v>
      </c>
      <c r="G513" t="s">
        <v>112</v>
      </c>
      <c r="H513" t="s">
        <v>2359</v>
      </c>
      <c r="I513" t="s">
        <v>2356</v>
      </c>
      <c r="J513" t="s">
        <v>2360</v>
      </c>
      <c r="K513" t="s">
        <v>2360</v>
      </c>
      <c r="L513" t="s">
        <v>2361</v>
      </c>
      <c r="N513" t="s">
        <v>2358</v>
      </c>
      <c r="O513" t="s">
        <v>117</v>
      </c>
      <c r="P513" t="s">
        <v>118</v>
      </c>
      <c r="R513" t="s">
        <v>145</v>
      </c>
      <c r="S513" t="s">
        <v>121</v>
      </c>
      <c r="T513" t="s">
        <v>130</v>
      </c>
      <c r="U513" t="s">
        <v>203</v>
      </c>
      <c r="W513" t="s">
        <v>147</v>
      </c>
      <c r="X513" t="s">
        <v>860</v>
      </c>
      <c r="Y513">
        <v>1</v>
      </c>
      <c r="BN513">
        <v>0</v>
      </c>
    </row>
    <row r="514" spans="1:91" x14ac:dyDescent="0.2">
      <c r="A514" t="s">
        <v>111</v>
      </c>
      <c r="B514" t="b">
        <v>1</v>
      </c>
      <c r="E514">
        <v>587</v>
      </c>
      <c r="F514" t="str">
        <f>HYPERLINK("https://portal.dnb.de/opac.htm?method=simpleSearch&amp;cqlMode=true&amp;query=idn%3D1066844275", "Portal")</f>
        <v>Portal</v>
      </c>
      <c r="G514" t="s">
        <v>125</v>
      </c>
      <c r="H514" t="s">
        <v>2362</v>
      </c>
      <c r="I514" t="s">
        <v>2363</v>
      </c>
      <c r="J514" t="s">
        <v>2364</v>
      </c>
      <c r="K514" t="s">
        <v>2364</v>
      </c>
      <c r="L514" t="s">
        <v>2364</v>
      </c>
      <c r="N514" t="s">
        <v>2365</v>
      </c>
      <c r="O514" t="s">
        <v>117</v>
      </c>
      <c r="BN514">
        <v>0</v>
      </c>
    </row>
    <row r="515" spans="1:91" x14ac:dyDescent="0.2">
      <c r="A515" t="s">
        <v>111</v>
      </c>
      <c r="B515" t="b">
        <v>1</v>
      </c>
      <c r="C515" t="s">
        <v>132</v>
      </c>
      <c r="E515">
        <v>588</v>
      </c>
      <c r="F515" t="str">
        <f>HYPERLINK("https://portal.dnb.de/opac.htm?method=simpleSearch&amp;cqlMode=true&amp;query=idn%3D1066956928", "Portal")</f>
        <v>Portal</v>
      </c>
      <c r="G515" t="s">
        <v>112</v>
      </c>
      <c r="H515" t="s">
        <v>2366</v>
      </c>
      <c r="I515" t="s">
        <v>2367</v>
      </c>
      <c r="J515" t="s">
        <v>2368</v>
      </c>
      <c r="K515" t="s">
        <v>2368</v>
      </c>
      <c r="L515" t="s">
        <v>2368</v>
      </c>
      <c r="N515" t="s">
        <v>2369</v>
      </c>
      <c r="O515" t="s">
        <v>117</v>
      </c>
      <c r="P515" t="s">
        <v>118</v>
      </c>
      <c r="R515" t="s">
        <v>145</v>
      </c>
      <c r="S515" t="s">
        <v>146</v>
      </c>
      <c r="T515" t="s">
        <v>130</v>
      </c>
      <c r="U515" t="s">
        <v>2370</v>
      </c>
      <c r="W515" t="s">
        <v>147</v>
      </c>
      <c r="X515" t="s">
        <v>860</v>
      </c>
      <c r="Y515">
        <v>1</v>
      </c>
      <c r="AI515" t="s">
        <v>149</v>
      </c>
      <c r="AK515" t="s">
        <v>132</v>
      </c>
      <c r="AM515" t="s">
        <v>179</v>
      </c>
      <c r="AS515" t="s">
        <v>135</v>
      </c>
      <c r="BG515">
        <v>45</v>
      </c>
      <c r="BM515" t="s">
        <v>180</v>
      </c>
      <c r="BN515">
        <v>0.5</v>
      </c>
      <c r="BR515" t="s">
        <v>132</v>
      </c>
      <c r="BZ515" t="s">
        <v>132</v>
      </c>
      <c r="CA515" t="s">
        <v>132</v>
      </c>
      <c r="CB515" t="s">
        <v>132</v>
      </c>
      <c r="CM515">
        <v>0.5</v>
      </c>
    </row>
    <row r="516" spans="1:91" x14ac:dyDescent="0.2">
      <c r="A516" t="s">
        <v>111</v>
      </c>
      <c r="B516" t="b">
        <v>1</v>
      </c>
      <c r="E516">
        <v>589</v>
      </c>
      <c r="F516" t="str">
        <f>HYPERLINK("https://portal.dnb.de/opac.htm?method=simpleSearch&amp;cqlMode=true&amp;query=idn%3D1066960658", "Portal")</f>
        <v>Portal</v>
      </c>
      <c r="G516" t="s">
        <v>125</v>
      </c>
      <c r="H516" t="s">
        <v>2371</v>
      </c>
      <c r="I516" t="s">
        <v>2372</v>
      </c>
      <c r="J516" t="s">
        <v>2373</v>
      </c>
      <c r="K516" t="s">
        <v>2373</v>
      </c>
      <c r="L516" t="s">
        <v>2373</v>
      </c>
      <c r="N516" t="s">
        <v>2374</v>
      </c>
      <c r="O516" t="s">
        <v>117</v>
      </c>
      <c r="BN516">
        <v>0</v>
      </c>
    </row>
    <row r="517" spans="1:91" x14ac:dyDescent="0.2">
      <c r="A517" t="s">
        <v>111</v>
      </c>
      <c r="B517" t="b">
        <v>1</v>
      </c>
      <c r="E517">
        <v>590</v>
      </c>
      <c r="F517" t="str">
        <f>HYPERLINK("https://portal.dnb.de/opac.htm?method=simpleSearch&amp;cqlMode=true&amp;query=idn%3D1066870799", "Portal")</f>
        <v>Portal</v>
      </c>
      <c r="G517" t="s">
        <v>125</v>
      </c>
      <c r="H517" t="s">
        <v>2375</v>
      </c>
      <c r="I517" t="s">
        <v>2376</v>
      </c>
      <c r="J517" t="s">
        <v>2377</v>
      </c>
      <c r="K517" t="s">
        <v>2377</v>
      </c>
      <c r="L517" t="s">
        <v>2377</v>
      </c>
      <c r="N517" t="s">
        <v>2378</v>
      </c>
      <c r="O517" t="s">
        <v>117</v>
      </c>
      <c r="S517" t="s">
        <v>146</v>
      </c>
      <c r="AI517" t="s">
        <v>325</v>
      </c>
      <c r="AK517" t="s">
        <v>132</v>
      </c>
      <c r="AM517" t="s">
        <v>134</v>
      </c>
      <c r="AS517" t="s">
        <v>135</v>
      </c>
      <c r="BG517">
        <v>110</v>
      </c>
      <c r="BM517" t="s">
        <v>137</v>
      </c>
      <c r="BN517">
        <v>0</v>
      </c>
      <c r="BR517" t="s">
        <v>132</v>
      </c>
      <c r="BV517" t="s">
        <v>355</v>
      </c>
    </row>
    <row r="518" spans="1:91" x14ac:dyDescent="0.2">
      <c r="A518" t="s">
        <v>111</v>
      </c>
      <c r="B518" t="b">
        <v>1</v>
      </c>
      <c r="E518">
        <v>591</v>
      </c>
      <c r="F518" t="str">
        <f>HYPERLINK("https://portal.dnb.de/opac.htm?method=simpleSearch&amp;cqlMode=true&amp;query=idn%3D1066864837", "Portal")</f>
        <v>Portal</v>
      </c>
      <c r="G518" t="s">
        <v>125</v>
      </c>
      <c r="H518" t="s">
        <v>2379</v>
      </c>
      <c r="I518" t="s">
        <v>2380</v>
      </c>
      <c r="J518" t="s">
        <v>2381</v>
      </c>
      <c r="K518" t="s">
        <v>2381</v>
      </c>
      <c r="L518" t="s">
        <v>2381</v>
      </c>
      <c r="N518" t="s">
        <v>2382</v>
      </c>
      <c r="O518" t="s">
        <v>117</v>
      </c>
      <c r="P518" t="s">
        <v>118</v>
      </c>
      <c r="R518" t="s">
        <v>238</v>
      </c>
      <c r="S518" t="s">
        <v>121</v>
      </c>
      <c r="T518" t="s">
        <v>122</v>
      </c>
      <c r="U518" t="s">
        <v>203</v>
      </c>
      <c r="W518" t="s">
        <v>147</v>
      </c>
      <c r="X518" t="s">
        <v>124</v>
      </c>
      <c r="Y518">
        <v>2</v>
      </c>
      <c r="AI518" t="s">
        <v>365</v>
      </c>
      <c r="AK518" t="s">
        <v>132</v>
      </c>
      <c r="AM518" t="s">
        <v>134</v>
      </c>
      <c r="AS518" t="s">
        <v>135</v>
      </c>
      <c r="BG518">
        <v>110</v>
      </c>
      <c r="BM518" t="s">
        <v>137</v>
      </c>
      <c r="BN518">
        <v>0</v>
      </c>
      <c r="BR518" t="s">
        <v>132</v>
      </c>
      <c r="BV518" t="s">
        <v>355</v>
      </c>
    </row>
    <row r="519" spans="1:91" x14ac:dyDescent="0.2">
      <c r="A519" t="s">
        <v>111</v>
      </c>
      <c r="B519" t="b">
        <v>1</v>
      </c>
      <c r="E519">
        <v>592</v>
      </c>
      <c r="F519" t="str">
        <f>HYPERLINK("https://portal.dnb.de/opac.htm?method=simpleSearch&amp;cqlMode=true&amp;query=idn%3D997744367", "Portal")</f>
        <v>Portal</v>
      </c>
      <c r="G519" t="s">
        <v>112</v>
      </c>
      <c r="H519" t="s">
        <v>2383</v>
      </c>
      <c r="I519" t="s">
        <v>2384</v>
      </c>
      <c r="J519" t="s">
        <v>2385</v>
      </c>
      <c r="K519" t="s">
        <v>2385</v>
      </c>
      <c r="L519" t="s">
        <v>2385</v>
      </c>
      <c r="N519" t="s">
        <v>2386</v>
      </c>
      <c r="O519" t="s">
        <v>117</v>
      </c>
      <c r="BN519">
        <v>0</v>
      </c>
    </row>
    <row r="520" spans="1:91" x14ac:dyDescent="0.2">
      <c r="A520" t="s">
        <v>111</v>
      </c>
      <c r="B520" t="b">
        <v>0</v>
      </c>
      <c r="F520" t="str">
        <f>HYPERLINK("https://portal.dnb.de/opac.htm?method=simpleSearch&amp;cqlMode=true&amp;query=idn%3D", "Portal")</f>
        <v>Portal</v>
      </c>
      <c r="L520" t="s">
        <v>2387</v>
      </c>
      <c r="P520" t="s">
        <v>118</v>
      </c>
      <c r="R520" t="s">
        <v>120</v>
      </c>
      <c r="S520" t="s">
        <v>121</v>
      </c>
      <c r="T520" t="s">
        <v>130</v>
      </c>
      <c r="U520" t="s">
        <v>203</v>
      </c>
      <c r="Y520">
        <v>1</v>
      </c>
      <c r="BN520">
        <v>0</v>
      </c>
    </row>
    <row r="521" spans="1:91" x14ac:dyDescent="0.2">
      <c r="A521" t="s">
        <v>111</v>
      </c>
      <c r="B521" t="b">
        <v>1</v>
      </c>
      <c r="E521">
        <v>594</v>
      </c>
      <c r="F521" t="str">
        <f>HYPERLINK("https://portal.dnb.de/opac.htm?method=simpleSearch&amp;cqlMode=true&amp;query=idn%3D1066934118", "Portal")</f>
        <v>Portal</v>
      </c>
      <c r="G521" t="s">
        <v>125</v>
      </c>
      <c r="H521" t="s">
        <v>2388</v>
      </c>
      <c r="I521" t="s">
        <v>2389</v>
      </c>
      <c r="J521" t="s">
        <v>2390</v>
      </c>
      <c r="K521" t="s">
        <v>2390</v>
      </c>
      <c r="L521" t="s">
        <v>2390</v>
      </c>
      <c r="N521" t="s">
        <v>2391</v>
      </c>
      <c r="O521" t="s">
        <v>117</v>
      </c>
      <c r="S521" t="s">
        <v>121</v>
      </c>
      <c r="AI521" t="s">
        <v>365</v>
      </c>
      <c r="AK521" t="s">
        <v>132</v>
      </c>
      <c r="AM521" t="s">
        <v>134</v>
      </c>
      <c r="AS521" t="s">
        <v>135</v>
      </c>
      <c r="AT521" t="s">
        <v>132</v>
      </c>
      <c r="BG521">
        <v>110</v>
      </c>
      <c r="BM521" t="s">
        <v>137</v>
      </c>
      <c r="BN521">
        <v>0</v>
      </c>
      <c r="BR521" t="s">
        <v>132</v>
      </c>
    </row>
    <row r="522" spans="1:91" x14ac:dyDescent="0.2">
      <c r="A522" t="s">
        <v>111</v>
      </c>
      <c r="B522" t="b">
        <v>1</v>
      </c>
      <c r="E522">
        <v>595</v>
      </c>
      <c r="F522" t="str">
        <f>HYPERLINK("https://portal.dnb.de/opac.htm?method=simpleSearch&amp;cqlMode=true&amp;query=idn%3D1066957118", "Portal")</f>
        <v>Portal</v>
      </c>
      <c r="G522" t="s">
        <v>125</v>
      </c>
      <c r="H522" t="s">
        <v>2392</v>
      </c>
      <c r="I522" t="s">
        <v>2393</v>
      </c>
      <c r="J522" t="s">
        <v>2394</v>
      </c>
      <c r="K522" t="s">
        <v>2394</v>
      </c>
      <c r="L522" t="s">
        <v>2394</v>
      </c>
      <c r="N522" t="s">
        <v>2395</v>
      </c>
      <c r="O522" t="s">
        <v>117</v>
      </c>
      <c r="BN522">
        <v>0</v>
      </c>
    </row>
    <row r="523" spans="1:91" x14ac:dyDescent="0.2">
      <c r="A523" t="s">
        <v>111</v>
      </c>
      <c r="B523" t="b">
        <v>1</v>
      </c>
      <c r="E523">
        <v>596</v>
      </c>
      <c r="F523" t="str">
        <f>HYPERLINK("https://portal.dnb.de/opac.htm?method=simpleSearch&amp;cqlMode=true&amp;query=idn%3D1066957053", "Portal")</f>
        <v>Portal</v>
      </c>
      <c r="G523" t="s">
        <v>125</v>
      </c>
      <c r="H523" t="s">
        <v>2396</v>
      </c>
      <c r="I523" t="s">
        <v>2397</v>
      </c>
      <c r="J523" t="s">
        <v>2398</v>
      </c>
      <c r="K523" t="s">
        <v>2398</v>
      </c>
      <c r="L523" t="s">
        <v>2398</v>
      </c>
      <c r="N523" t="s">
        <v>2399</v>
      </c>
      <c r="O523" t="s">
        <v>117</v>
      </c>
      <c r="R523" t="s">
        <v>223</v>
      </c>
      <c r="S523" t="s">
        <v>146</v>
      </c>
      <c r="T523" t="s">
        <v>130</v>
      </c>
      <c r="U523" t="s">
        <v>178</v>
      </c>
      <c r="W523" t="s">
        <v>147</v>
      </c>
      <c r="X523" t="s">
        <v>124</v>
      </c>
      <c r="Y523">
        <v>1</v>
      </c>
      <c r="BN523">
        <v>0</v>
      </c>
    </row>
    <row r="524" spans="1:91" x14ac:dyDescent="0.2">
      <c r="A524" t="s">
        <v>111</v>
      </c>
      <c r="B524" t="b">
        <v>1</v>
      </c>
      <c r="E524">
        <v>597</v>
      </c>
      <c r="F524" t="str">
        <f>HYPERLINK("https://portal.dnb.de/opac.htm?method=simpleSearch&amp;cqlMode=true&amp;query=idn%3D1066963657", "Portal")</f>
        <v>Portal</v>
      </c>
      <c r="G524" t="s">
        <v>125</v>
      </c>
      <c r="H524" t="s">
        <v>2400</v>
      </c>
      <c r="I524" t="s">
        <v>2401</v>
      </c>
      <c r="J524" t="s">
        <v>2402</v>
      </c>
      <c r="K524" t="s">
        <v>2402</v>
      </c>
      <c r="L524" t="s">
        <v>2402</v>
      </c>
      <c r="N524" t="s">
        <v>2403</v>
      </c>
      <c r="O524" t="s">
        <v>117</v>
      </c>
      <c r="BN524">
        <v>0</v>
      </c>
    </row>
    <row r="525" spans="1:91" x14ac:dyDescent="0.2">
      <c r="A525" t="s">
        <v>111</v>
      </c>
      <c r="B525" t="b">
        <v>1</v>
      </c>
      <c r="E525">
        <v>598</v>
      </c>
      <c r="F525" t="str">
        <f>HYPERLINK("https://portal.dnb.de/opac.htm?method=simpleSearch&amp;cqlMode=true&amp;query=idn%3D1066942382", "Portal")</f>
        <v>Portal</v>
      </c>
      <c r="G525" t="s">
        <v>125</v>
      </c>
      <c r="H525" t="s">
        <v>2404</v>
      </c>
      <c r="I525" t="s">
        <v>2405</v>
      </c>
      <c r="J525" t="s">
        <v>2406</v>
      </c>
      <c r="K525" t="s">
        <v>2406</v>
      </c>
      <c r="L525" t="s">
        <v>2406</v>
      </c>
      <c r="N525" t="s">
        <v>2407</v>
      </c>
      <c r="O525" t="s">
        <v>117</v>
      </c>
      <c r="BN525">
        <v>0</v>
      </c>
    </row>
    <row r="526" spans="1:91" x14ac:dyDescent="0.2">
      <c r="A526" t="s">
        <v>111</v>
      </c>
      <c r="B526" t="b">
        <v>1</v>
      </c>
      <c r="F526" t="str">
        <f>HYPERLINK("https://portal.dnb.de/opac.htm?method=simpleSearch&amp;cqlMode=true&amp;query=idn%3D1138249351", "Portal")</f>
        <v>Portal</v>
      </c>
      <c r="G526" t="s">
        <v>319</v>
      </c>
      <c r="H526" t="s">
        <v>2408</v>
      </c>
      <c r="I526" t="s">
        <v>2409</v>
      </c>
      <c r="J526" t="s">
        <v>2410</v>
      </c>
      <c r="K526" t="s">
        <v>2410</v>
      </c>
      <c r="L526" t="s">
        <v>2410</v>
      </c>
      <c r="N526" t="s">
        <v>338</v>
      </c>
      <c r="O526" t="s">
        <v>117</v>
      </c>
      <c r="P526" t="s">
        <v>118</v>
      </c>
      <c r="R526" t="s">
        <v>120</v>
      </c>
      <c r="S526" t="s">
        <v>121</v>
      </c>
      <c r="T526" t="s">
        <v>130</v>
      </c>
      <c r="U526" t="s">
        <v>123</v>
      </c>
      <c r="Y526">
        <v>0</v>
      </c>
      <c r="BN526">
        <v>0</v>
      </c>
    </row>
    <row r="527" spans="1:91" x14ac:dyDescent="0.2">
      <c r="A527" t="s">
        <v>111</v>
      </c>
      <c r="B527" t="b">
        <v>1</v>
      </c>
      <c r="E527">
        <v>600</v>
      </c>
      <c r="F527" t="str">
        <f>HYPERLINK("https://portal.dnb.de/opac.htm?method=simpleSearch&amp;cqlMode=true&amp;query=idn%3D1066959846", "Portal")</f>
        <v>Portal</v>
      </c>
      <c r="G527" t="s">
        <v>125</v>
      </c>
      <c r="H527" t="s">
        <v>2411</v>
      </c>
      <c r="I527" t="s">
        <v>2412</v>
      </c>
      <c r="J527" t="s">
        <v>2413</v>
      </c>
      <c r="K527" t="s">
        <v>2413</v>
      </c>
      <c r="L527" t="s">
        <v>2413</v>
      </c>
      <c r="N527" t="s">
        <v>2414</v>
      </c>
      <c r="O527" t="s">
        <v>117</v>
      </c>
      <c r="BN527">
        <v>0</v>
      </c>
    </row>
    <row r="528" spans="1:91" x14ac:dyDescent="0.2">
      <c r="A528" t="s">
        <v>111</v>
      </c>
      <c r="B528" t="b">
        <v>1</v>
      </c>
      <c r="E528">
        <v>601</v>
      </c>
      <c r="F528" t="str">
        <f>HYPERLINK("https://portal.dnb.de/opac.htm?method=simpleSearch&amp;cqlMode=true&amp;query=idn%3D1066959854", "Portal")</f>
        <v>Portal</v>
      </c>
      <c r="G528" t="s">
        <v>112</v>
      </c>
      <c r="H528" t="s">
        <v>2415</v>
      </c>
      <c r="I528" t="s">
        <v>2416</v>
      </c>
      <c r="J528" t="s">
        <v>2417</v>
      </c>
      <c r="K528" t="s">
        <v>2417</v>
      </c>
      <c r="L528" t="s">
        <v>2417</v>
      </c>
      <c r="N528" t="s">
        <v>2418</v>
      </c>
      <c r="O528" t="s">
        <v>117</v>
      </c>
      <c r="P528" t="s">
        <v>118</v>
      </c>
      <c r="R528" t="s">
        <v>354</v>
      </c>
      <c r="S528" t="s">
        <v>146</v>
      </c>
      <c r="T528" t="s">
        <v>122</v>
      </c>
      <c r="U528" t="s">
        <v>203</v>
      </c>
      <c r="W528" t="s">
        <v>147</v>
      </c>
      <c r="X528" t="s">
        <v>124</v>
      </c>
      <c r="Y528">
        <v>0</v>
      </c>
      <c r="BN528">
        <v>0</v>
      </c>
    </row>
    <row r="529" spans="1:92" x14ac:dyDescent="0.2">
      <c r="A529" t="s">
        <v>111</v>
      </c>
      <c r="B529" t="b">
        <v>1</v>
      </c>
      <c r="E529">
        <v>602</v>
      </c>
      <c r="F529" t="str">
        <f>HYPERLINK("https://portal.dnb.de/opac.htm?method=simpleSearch&amp;cqlMode=true&amp;query=idn%3D106696257X", "Portal")</f>
        <v>Portal</v>
      </c>
      <c r="G529" t="s">
        <v>125</v>
      </c>
      <c r="H529" t="s">
        <v>2419</v>
      </c>
      <c r="I529" t="s">
        <v>2420</v>
      </c>
      <c r="J529" t="s">
        <v>2421</v>
      </c>
      <c r="K529" t="s">
        <v>2421</v>
      </c>
      <c r="L529" t="s">
        <v>2421</v>
      </c>
      <c r="N529" t="s">
        <v>2422</v>
      </c>
      <c r="O529" t="s">
        <v>117</v>
      </c>
      <c r="BN529">
        <v>0</v>
      </c>
    </row>
    <row r="530" spans="1:92" x14ac:dyDescent="0.2">
      <c r="A530" t="s">
        <v>111</v>
      </c>
      <c r="B530" t="b">
        <v>1</v>
      </c>
      <c r="E530">
        <v>603</v>
      </c>
      <c r="F530" t="str">
        <f>HYPERLINK("https://portal.dnb.de/opac.htm?method=simpleSearch&amp;cqlMode=true&amp;query=idn%3D106696260X", "Portal")</f>
        <v>Portal</v>
      </c>
      <c r="G530" t="s">
        <v>125</v>
      </c>
      <c r="H530" t="s">
        <v>2423</v>
      </c>
      <c r="I530" t="s">
        <v>2424</v>
      </c>
      <c r="J530" t="s">
        <v>2425</v>
      </c>
      <c r="K530" t="s">
        <v>2425</v>
      </c>
      <c r="L530" t="s">
        <v>2425</v>
      </c>
      <c r="N530" t="s">
        <v>2426</v>
      </c>
      <c r="O530" t="s">
        <v>117</v>
      </c>
      <c r="BN530">
        <v>0</v>
      </c>
    </row>
    <row r="531" spans="1:92" x14ac:dyDescent="0.2">
      <c r="A531" t="s">
        <v>111</v>
      </c>
      <c r="B531" t="b">
        <v>1</v>
      </c>
      <c r="E531">
        <v>604</v>
      </c>
      <c r="F531" t="str">
        <f>HYPERLINK("https://portal.dnb.de/opac.htm?method=simpleSearch&amp;cqlMode=true&amp;query=idn%3D1066941106", "Portal")</f>
        <v>Portal</v>
      </c>
      <c r="G531" t="s">
        <v>125</v>
      </c>
      <c r="H531" t="s">
        <v>2427</v>
      </c>
      <c r="I531" t="s">
        <v>2428</v>
      </c>
      <c r="J531" t="s">
        <v>2429</v>
      </c>
      <c r="K531" t="s">
        <v>2429</v>
      </c>
      <c r="L531" t="s">
        <v>2429</v>
      </c>
      <c r="N531" t="s">
        <v>2430</v>
      </c>
      <c r="O531" t="s">
        <v>117</v>
      </c>
      <c r="P531" t="s">
        <v>118</v>
      </c>
      <c r="R531" t="s">
        <v>257</v>
      </c>
      <c r="S531" t="s">
        <v>121</v>
      </c>
      <c r="T531" t="s">
        <v>122</v>
      </c>
      <c r="U531" t="s">
        <v>203</v>
      </c>
      <c r="Y531">
        <v>0</v>
      </c>
      <c r="BN531">
        <v>0</v>
      </c>
    </row>
    <row r="532" spans="1:92" x14ac:dyDescent="0.2">
      <c r="A532" t="s">
        <v>111</v>
      </c>
      <c r="B532" t="b">
        <v>1</v>
      </c>
      <c r="C532" t="s">
        <v>132</v>
      </c>
      <c r="E532">
        <v>605</v>
      </c>
      <c r="F532" t="str">
        <f>HYPERLINK("https://portal.dnb.de/opac.htm?method=simpleSearch&amp;cqlMode=true&amp;query=idn%3D1066962316", "Portal")</f>
        <v>Portal</v>
      </c>
      <c r="G532" t="s">
        <v>125</v>
      </c>
      <c r="H532" t="s">
        <v>2431</v>
      </c>
      <c r="I532" t="s">
        <v>2432</v>
      </c>
      <c r="J532" t="s">
        <v>2433</v>
      </c>
      <c r="K532" t="s">
        <v>2433</v>
      </c>
      <c r="L532" t="s">
        <v>2433</v>
      </c>
      <c r="N532" t="s">
        <v>2434</v>
      </c>
      <c r="O532" t="s">
        <v>117</v>
      </c>
      <c r="S532" t="s">
        <v>146</v>
      </c>
      <c r="AI532" t="s">
        <v>792</v>
      </c>
      <c r="AM532" t="s">
        <v>134</v>
      </c>
      <c r="AS532" t="s">
        <v>135</v>
      </c>
      <c r="BG532">
        <v>110</v>
      </c>
      <c r="BM532" t="s">
        <v>180</v>
      </c>
      <c r="BN532">
        <v>0.5</v>
      </c>
      <c r="BZ532" t="s">
        <v>132</v>
      </c>
      <c r="CB532" t="s">
        <v>132</v>
      </c>
      <c r="CM532">
        <v>0.5</v>
      </c>
    </row>
    <row r="533" spans="1:92" x14ac:dyDescent="0.2">
      <c r="A533" t="s">
        <v>111</v>
      </c>
      <c r="B533" t="b">
        <v>1</v>
      </c>
      <c r="E533">
        <v>606</v>
      </c>
      <c r="F533" t="str">
        <f>HYPERLINK("https://portal.dnb.de/opac.htm?method=simpleSearch&amp;cqlMode=true&amp;query=idn%3D1066857881", "Portal")</f>
        <v>Portal</v>
      </c>
      <c r="G533" t="s">
        <v>125</v>
      </c>
      <c r="H533" t="s">
        <v>2435</v>
      </c>
      <c r="I533" t="s">
        <v>2436</v>
      </c>
      <c r="J533" t="s">
        <v>2437</v>
      </c>
      <c r="K533" t="s">
        <v>2437</v>
      </c>
      <c r="L533" t="s">
        <v>2437</v>
      </c>
      <c r="N533" t="s">
        <v>2438</v>
      </c>
      <c r="O533" t="s">
        <v>117</v>
      </c>
      <c r="P533" t="s">
        <v>118</v>
      </c>
      <c r="R533" t="s">
        <v>480</v>
      </c>
      <c r="S533" t="s">
        <v>146</v>
      </c>
      <c r="T533" t="s">
        <v>130</v>
      </c>
      <c r="U533" t="s">
        <v>123</v>
      </c>
      <c r="Y533">
        <v>1</v>
      </c>
      <c r="AA533" t="s">
        <v>1932</v>
      </c>
      <c r="AI533" t="s">
        <v>325</v>
      </c>
      <c r="AK533" t="s">
        <v>132</v>
      </c>
      <c r="AM533" t="s">
        <v>134</v>
      </c>
      <c r="AS533" t="s">
        <v>135</v>
      </c>
      <c r="AT533" t="s">
        <v>132</v>
      </c>
      <c r="BG533">
        <v>110</v>
      </c>
      <c r="BM533" t="s">
        <v>137</v>
      </c>
      <c r="BN533">
        <v>0</v>
      </c>
      <c r="BV533" t="s">
        <v>355</v>
      </c>
    </row>
    <row r="534" spans="1:92" x14ac:dyDescent="0.2">
      <c r="A534" t="s">
        <v>111</v>
      </c>
      <c r="B534" t="b">
        <v>1</v>
      </c>
      <c r="E534">
        <v>607</v>
      </c>
      <c r="F534" t="str">
        <f>HYPERLINK("https://portal.dnb.de/opac.htm?method=simpleSearch&amp;cqlMode=true&amp;query=idn%3D1066962766", "Portal")</f>
        <v>Portal</v>
      </c>
      <c r="G534" t="s">
        <v>125</v>
      </c>
      <c r="H534" t="s">
        <v>2439</v>
      </c>
      <c r="I534" t="s">
        <v>2440</v>
      </c>
      <c r="J534" t="s">
        <v>2441</v>
      </c>
      <c r="K534" t="s">
        <v>2441</v>
      </c>
      <c r="L534" t="s">
        <v>2441</v>
      </c>
      <c r="N534" t="s">
        <v>2442</v>
      </c>
      <c r="O534" t="s">
        <v>117</v>
      </c>
      <c r="BN534">
        <v>0</v>
      </c>
    </row>
    <row r="535" spans="1:92" x14ac:dyDescent="0.2">
      <c r="A535" t="s">
        <v>111</v>
      </c>
      <c r="B535" t="b">
        <v>1</v>
      </c>
      <c r="E535">
        <v>608</v>
      </c>
      <c r="F535" t="str">
        <f>HYPERLINK("https://portal.dnb.de/opac.htm?method=simpleSearch&amp;cqlMode=true&amp;query=idn%3D1066963177", "Portal")</f>
        <v>Portal</v>
      </c>
      <c r="G535" t="s">
        <v>125</v>
      </c>
      <c r="H535" t="s">
        <v>2443</v>
      </c>
      <c r="I535" t="s">
        <v>2444</v>
      </c>
      <c r="J535" t="s">
        <v>2445</v>
      </c>
      <c r="K535" t="s">
        <v>2445</v>
      </c>
      <c r="L535" t="s">
        <v>2445</v>
      </c>
      <c r="N535" t="s">
        <v>2446</v>
      </c>
      <c r="O535" t="s">
        <v>117</v>
      </c>
      <c r="P535" t="s">
        <v>118</v>
      </c>
      <c r="R535" t="s">
        <v>223</v>
      </c>
      <c r="S535" t="s">
        <v>121</v>
      </c>
      <c r="T535" t="s">
        <v>122</v>
      </c>
      <c r="U535" t="s">
        <v>203</v>
      </c>
      <c r="W535" t="s">
        <v>147</v>
      </c>
      <c r="X535" t="s">
        <v>124</v>
      </c>
      <c r="Y535">
        <v>1</v>
      </c>
      <c r="AA535" t="s">
        <v>1932</v>
      </c>
      <c r="AI535" t="s">
        <v>365</v>
      </c>
      <c r="AK535" t="s">
        <v>132</v>
      </c>
      <c r="AM535" t="s">
        <v>134</v>
      </c>
      <c r="AO535" t="s">
        <v>132</v>
      </c>
      <c r="AS535" t="s">
        <v>135</v>
      </c>
      <c r="AT535" t="s">
        <v>132</v>
      </c>
      <c r="BG535">
        <v>80</v>
      </c>
      <c r="BM535" t="s">
        <v>137</v>
      </c>
      <c r="BN535">
        <v>0</v>
      </c>
      <c r="BR535" t="s">
        <v>132</v>
      </c>
      <c r="BV535" t="s">
        <v>2447</v>
      </c>
      <c r="BY535" t="s">
        <v>198</v>
      </c>
    </row>
    <row r="536" spans="1:92" x14ac:dyDescent="0.2">
      <c r="A536" t="s">
        <v>111</v>
      </c>
      <c r="B536" t="b">
        <v>1</v>
      </c>
      <c r="E536">
        <v>609</v>
      </c>
      <c r="F536" t="str">
        <f>HYPERLINK("https://portal.dnb.de/opac.htm?method=simpleSearch&amp;cqlMode=true&amp;query=idn%3D1066956812", "Portal")</f>
        <v>Portal</v>
      </c>
      <c r="G536" t="s">
        <v>125</v>
      </c>
      <c r="H536" t="s">
        <v>2448</v>
      </c>
      <c r="I536" t="s">
        <v>2449</v>
      </c>
      <c r="J536" t="s">
        <v>2450</v>
      </c>
      <c r="K536" t="s">
        <v>2450</v>
      </c>
      <c r="L536" t="s">
        <v>2450</v>
      </c>
      <c r="N536" t="s">
        <v>2451</v>
      </c>
      <c r="O536" t="s">
        <v>117</v>
      </c>
      <c r="P536" t="s">
        <v>118</v>
      </c>
      <c r="R536" t="s">
        <v>223</v>
      </c>
      <c r="S536" t="s">
        <v>121</v>
      </c>
      <c r="T536" t="s">
        <v>122</v>
      </c>
      <c r="U536" t="s">
        <v>203</v>
      </c>
      <c r="W536" t="s">
        <v>147</v>
      </c>
      <c r="X536" t="s">
        <v>124</v>
      </c>
      <c r="Y536">
        <v>1</v>
      </c>
      <c r="AA536" t="s">
        <v>1932</v>
      </c>
      <c r="AI536" t="s">
        <v>365</v>
      </c>
      <c r="AK536" t="s">
        <v>132</v>
      </c>
      <c r="AM536" t="s">
        <v>134</v>
      </c>
      <c r="AO536" t="s">
        <v>132</v>
      </c>
      <c r="AS536" t="s">
        <v>135</v>
      </c>
      <c r="AT536" t="s">
        <v>132</v>
      </c>
      <c r="BG536">
        <v>80</v>
      </c>
      <c r="BM536" t="s">
        <v>137</v>
      </c>
      <c r="BN536">
        <v>0</v>
      </c>
      <c r="BR536" t="s">
        <v>132</v>
      </c>
      <c r="BV536" t="s">
        <v>2447</v>
      </c>
      <c r="BY536" t="s">
        <v>198</v>
      </c>
    </row>
    <row r="537" spans="1:92" x14ac:dyDescent="0.2">
      <c r="A537" t="s">
        <v>111</v>
      </c>
      <c r="B537" t="b">
        <v>1</v>
      </c>
      <c r="E537">
        <v>610</v>
      </c>
      <c r="F537" t="str">
        <f>HYPERLINK("https://portal.dnb.de/opac.htm?method=simpleSearch&amp;cqlMode=true&amp;query=idn%3D1066873380", "Portal")</f>
        <v>Portal</v>
      </c>
      <c r="G537" t="s">
        <v>125</v>
      </c>
      <c r="H537" t="s">
        <v>2452</v>
      </c>
      <c r="I537" t="s">
        <v>2453</v>
      </c>
      <c r="J537" t="s">
        <v>2454</v>
      </c>
      <c r="K537" t="s">
        <v>2454</v>
      </c>
      <c r="L537" t="s">
        <v>2454</v>
      </c>
      <c r="N537" t="s">
        <v>2455</v>
      </c>
      <c r="O537" t="s">
        <v>117</v>
      </c>
      <c r="P537" t="s">
        <v>118</v>
      </c>
      <c r="R537" t="s">
        <v>163</v>
      </c>
      <c r="S537" t="s">
        <v>121</v>
      </c>
      <c r="T537" t="s">
        <v>130</v>
      </c>
      <c r="U537" t="s">
        <v>123</v>
      </c>
      <c r="Y537">
        <v>0</v>
      </c>
      <c r="AA537" t="s">
        <v>1932</v>
      </c>
      <c r="BN537">
        <v>0</v>
      </c>
    </row>
    <row r="538" spans="1:92" x14ac:dyDescent="0.2">
      <c r="A538" t="s">
        <v>111</v>
      </c>
      <c r="B538" t="b">
        <v>1</v>
      </c>
      <c r="E538">
        <v>611</v>
      </c>
      <c r="F538" t="str">
        <f>HYPERLINK("https://portal.dnb.de/opac.htm?method=simpleSearch&amp;cqlMode=true&amp;query=idn%3D997744677", "Portal")</f>
        <v>Portal</v>
      </c>
      <c r="G538" t="s">
        <v>112</v>
      </c>
      <c r="H538" t="s">
        <v>2456</v>
      </c>
      <c r="I538" t="s">
        <v>2457</v>
      </c>
      <c r="J538" t="s">
        <v>2458</v>
      </c>
      <c r="K538" t="s">
        <v>2458</v>
      </c>
      <c r="L538" t="s">
        <v>2458</v>
      </c>
      <c r="N538" t="s">
        <v>2459</v>
      </c>
      <c r="O538" t="s">
        <v>117</v>
      </c>
      <c r="P538" t="s">
        <v>118</v>
      </c>
      <c r="R538" t="s">
        <v>480</v>
      </c>
      <c r="S538" t="s">
        <v>146</v>
      </c>
      <c r="T538" t="s">
        <v>122</v>
      </c>
      <c r="U538" t="s">
        <v>123</v>
      </c>
      <c r="Y538">
        <v>1</v>
      </c>
      <c r="BN538">
        <v>0</v>
      </c>
    </row>
    <row r="539" spans="1:92" x14ac:dyDescent="0.2">
      <c r="A539" t="s">
        <v>111</v>
      </c>
      <c r="B539" t="b">
        <v>1</v>
      </c>
      <c r="E539">
        <v>612</v>
      </c>
      <c r="F539" t="str">
        <f>HYPERLINK("https://portal.dnb.de/opac.htm?method=simpleSearch&amp;cqlMode=true&amp;query=idn%3D1066963150", "Portal")</f>
        <v>Portal</v>
      </c>
      <c r="G539" t="s">
        <v>125</v>
      </c>
      <c r="H539" t="s">
        <v>2460</v>
      </c>
      <c r="I539" t="s">
        <v>2461</v>
      </c>
      <c r="J539" t="s">
        <v>2462</v>
      </c>
      <c r="K539" t="s">
        <v>2462</v>
      </c>
      <c r="L539" t="s">
        <v>2462</v>
      </c>
      <c r="N539" t="s">
        <v>2463</v>
      </c>
      <c r="O539" t="s">
        <v>117</v>
      </c>
      <c r="P539" t="s">
        <v>118</v>
      </c>
      <c r="R539" t="s">
        <v>120</v>
      </c>
      <c r="S539" t="s">
        <v>121</v>
      </c>
      <c r="T539" t="s">
        <v>130</v>
      </c>
      <c r="U539" t="s">
        <v>123</v>
      </c>
      <c r="Y539">
        <v>1</v>
      </c>
      <c r="AA539" t="s">
        <v>1932</v>
      </c>
      <c r="AH539" t="s">
        <v>132</v>
      </c>
      <c r="AI539" t="s">
        <v>133</v>
      </c>
      <c r="AL539" t="s">
        <v>132</v>
      </c>
      <c r="AS539" t="s">
        <v>135</v>
      </c>
      <c r="AT539" t="s">
        <v>132</v>
      </c>
      <c r="BG539">
        <v>110</v>
      </c>
      <c r="BM539" t="s">
        <v>137</v>
      </c>
      <c r="BN539">
        <v>0</v>
      </c>
      <c r="BV539" t="s">
        <v>355</v>
      </c>
    </row>
    <row r="540" spans="1:92" x14ac:dyDescent="0.2">
      <c r="A540" t="s">
        <v>111</v>
      </c>
      <c r="B540" t="b">
        <v>1</v>
      </c>
      <c r="E540">
        <v>613</v>
      </c>
      <c r="F540" t="str">
        <f>HYPERLINK("https://portal.dnb.de/opac.htm?method=simpleSearch&amp;cqlMode=true&amp;query=idn%3D1066957045", "Portal")</f>
        <v>Portal</v>
      </c>
      <c r="G540" t="s">
        <v>125</v>
      </c>
      <c r="H540" t="s">
        <v>2464</v>
      </c>
      <c r="I540" t="s">
        <v>2465</v>
      </c>
      <c r="J540" t="s">
        <v>2466</v>
      </c>
      <c r="K540" t="s">
        <v>2466</v>
      </c>
      <c r="L540" t="s">
        <v>2466</v>
      </c>
      <c r="N540" t="s">
        <v>2467</v>
      </c>
      <c r="O540" t="s">
        <v>117</v>
      </c>
      <c r="P540" t="s">
        <v>118</v>
      </c>
      <c r="R540" t="s">
        <v>190</v>
      </c>
      <c r="S540" t="s">
        <v>146</v>
      </c>
      <c r="T540" t="s">
        <v>130</v>
      </c>
      <c r="U540" t="s">
        <v>203</v>
      </c>
      <c r="Y540">
        <v>0</v>
      </c>
      <c r="BN540">
        <v>0</v>
      </c>
    </row>
    <row r="541" spans="1:92" x14ac:dyDescent="0.2">
      <c r="A541" t="s">
        <v>111</v>
      </c>
      <c r="B541" t="b">
        <v>1</v>
      </c>
      <c r="E541">
        <v>614</v>
      </c>
      <c r="F541" t="str">
        <f>HYPERLINK("https://portal.dnb.de/opac.htm?method=simpleSearch&amp;cqlMode=true&amp;query=idn%3D1066867704", "Portal")</f>
        <v>Portal</v>
      </c>
      <c r="G541" t="s">
        <v>125</v>
      </c>
      <c r="H541" t="s">
        <v>2468</v>
      </c>
      <c r="I541" t="s">
        <v>2469</v>
      </c>
      <c r="J541" t="s">
        <v>2470</v>
      </c>
      <c r="K541" t="s">
        <v>2470</v>
      </c>
      <c r="L541" t="s">
        <v>2470</v>
      </c>
      <c r="N541" t="s">
        <v>2471</v>
      </c>
      <c r="O541" t="s">
        <v>117</v>
      </c>
      <c r="P541" t="s">
        <v>118</v>
      </c>
      <c r="R541" t="s">
        <v>262</v>
      </c>
      <c r="S541" t="s">
        <v>146</v>
      </c>
      <c r="T541" t="s">
        <v>122</v>
      </c>
      <c r="U541" t="s">
        <v>203</v>
      </c>
      <c r="Y541">
        <v>0</v>
      </c>
      <c r="BN541">
        <v>0</v>
      </c>
    </row>
    <row r="542" spans="1:92" x14ac:dyDescent="0.2">
      <c r="A542" t="s">
        <v>111</v>
      </c>
      <c r="B542" t="b">
        <v>1</v>
      </c>
      <c r="E542">
        <v>615</v>
      </c>
      <c r="F542" t="str">
        <f>HYPERLINK("https://portal.dnb.de/opac.htm?method=simpleSearch&amp;cqlMode=true&amp;query=idn%3D1066674566", "Portal")</f>
        <v>Portal</v>
      </c>
      <c r="G542" t="s">
        <v>125</v>
      </c>
      <c r="H542" t="s">
        <v>2472</v>
      </c>
      <c r="I542" t="s">
        <v>2473</v>
      </c>
      <c r="J542" t="s">
        <v>2474</v>
      </c>
      <c r="K542" t="s">
        <v>2474</v>
      </c>
      <c r="L542" t="s">
        <v>2474</v>
      </c>
      <c r="N542" t="s">
        <v>2475</v>
      </c>
      <c r="O542" t="s">
        <v>117</v>
      </c>
      <c r="P542" t="s">
        <v>118</v>
      </c>
      <c r="R542" t="s">
        <v>145</v>
      </c>
      <c r="S542" t="s">
        <v>121</v>
      </c>
      <c r="T542" t="s">
        <v>130</v>
      </c>
      <c r="U542" t="s">
        <v>123</v>
      </c>
      <c r="W542" t="s">
        <v>147</v>
      </c>
      <c r="X542" t="s">
        <v>124</v>
      </c>
      <c r="Y542">
        <v>0</v>
      </c>
      <c r="BN542">
        <v>0</v>
      </c>
    </row>
    <row r="543" spans="1:92" x14ac:dyDescent="0.2">
      <c r="A543" t="s">
        <v>111</v>
      </c>
      <c r="B543" t="b">
        <v>1</v>
      </c>
      <c r="C543" t="s">
        <v>132</v>
      </c>
      <c r="E543">
        <v>616</v>
      </c>
      <c r="F543" t="str">
        <f>HYPERLINK("https://portal.dnb.de/opac.htm?method=simpleSearch&amp;cqlMode=true&amp;query=idn%3D994061137", "Portal")</f>
        <v>Portal</v>
      </c>
      <c r="G543" t="s">
        <v>112</v>
      </c>
      <c r="H543" t="s">
        <v>2476</v>
      </c>
      <c r="I543" t="s">
        <v>2477</v>
      </c>
      <c r="J543" t="s">
        <v>2478</v>
      </c>
      <c r="K543" t="s">
        <v>2478</v>
      </c>
      <c r="L543" t="s">
        <v>2478</v>
      </c>
      <c r="N543" t="s">
        <v>2479</v>
      </c>
      <c r="O543" t="s">
        <v>117</v>
      </c>
      <c r="P543" t="s">
        <v>118</v>
      </c>
      <c r="R543" t="s">
        <v>257</v>
      </c>
      <c r="S543" t="s">
        <v>121</v>
      </c>
      <c r="T543" t="s">
        <v>122</v>
      </c>
      <c r="Y543">
        <v>1</v>
      </c>
      <c r="AH543" t="s">
        <v>132</v>
      </c>
      <c r="AI543" t="s">
        <v>135</v>
      </c>
      <c r="AM543" t="s">
        <v>134</v>
      </c>
      <c r="AS543" t="s">
        <v>135</v>
      </c>
      <c r="BG543">
        <v>110</v>
      </c>
      <c r="BM543" t="s">
        <v>180</v>
      </c>
      <c r="BN543">
        <v>0.5</v>
      </c>
      <c r="BZ543" t="s">
        <v>132</v>
      </c>
      <c r="CB543" t="s">
        <v>132</v>
      </c>
      <c r="CM543">
        <v>0.5</v>
      </c>
      <c r="CN543" t="s">
        <v>2202</v>
      </c>
    </row>
    <row r="544" spans="1:92" x14ac:dyDescent="0.2">
      <c r="A544" t="s">
        <v>111</v>
      </c>
      <c r="B544" t="b">
        <v>1</v>
      </c>
      <c r="E544">
        <v>617</v>
      </c>
      <c r="F544" t="str">
        <f>HYPERLINK("https://portal.dnb.de/opac.htm?method=simpleSearch&amp;cqlMode=true&amp;query=idn%3D1066963118", "Portal")</f>
        <v>Portal</v>
      </c>
      <c r="G544" t="s">
        <v>125</v>
      </c>
      <c r="H544" t="s">
        <v>2480</v>
      </c>
      <c r="I544" t="s">
        <v>2481</v>
      </c>
      <c r="J544" t="s">
        <v>2482</v>
      </c>
      <c r="K544" t="s">
        <v>2482</v>
      </c>
      <c r="L544" t="s">
        <v>2482</v>
      </c>
      <c r="N544" t="s">
        <v>2483</v>
      </c>
      <c r="O544" t="s">
        <v>117</v>
      </c>
      <c r="R544" t="s">
        <v>145</v>
      </c>
      <c r="S544" t="s">
        <v>121</v>
      </c>
      <c r="T544" t="s">
        <v>122</v>
      </c>
      <c r="U544" t="s">
        <v>247</v>
      </c>
      <c r="W544" t="s">
        <v>147</v>
      </c>
      <c r="X544" t="s">
        <v>124</v>
      </c>
      <c r="Y544">
        <v>3</v>
      </c>
      <c r="AA544" t="s">
        <v>2484</v>
      </c>
      <c r="BN544">
        <v>0</v>
      </c>
    </row>
    <row r="545" spans="1:92" x14ac:dyDescent="0.2">
      <c r="A545" t="s">
        <v>111</v>
      </c>
      <c r="B545" t="b">
        <v>1</v>
      </c>
      <c r="C545" t="s">
        <v>132</v>
      </c>
      <c r="E545">
        <v>618</v>
      </c>
      <c r="F545" t="str">
        <f>HYPERLINK("https://portal.dnb.de/opac.htm?method=simpleSearch&amp;cqlMode=true&amp;query=idn%3D1079607978", "Portal")</f>
        <v>Portal</v>
      </c>
      <c r="G545" t="s">
        <v>125</v>
      </c>
      <c r="H545" t="s">
        <v>2485</v>
      </c>
      <c r="I545" t="s">
        <v>2486</v>
      </c>
      <c r="J545" t="s">
        <v>2487</v>
      </c>
      <c r="K545" t="s">
        <v>2487</v>
      </c>
      <c r="L545" t="s">
        <v>2487</v>
      </c>
      <c r="N545" t="s">
        <v>2467</v>
      </c>
      <c r="O545" t="s">
        <v>117</v>
      </c>
      <c r="P545" t="s">
        <v>118</v>
      </c>
      <c r="R545" t="s">
        <v>120</v>
      </c>
      <c r="S545" t="s">
        <v>146</v>
      </c>
      <c r="T545" t="s">
        <v>122</v>
      </c>
      <c r="U545" t="s">
        <v>500</v>
      </c>
      <c r="Y545">
        <v>3</v>
      </c>
      <c r="AI545" t="s">
        <v>133</v>
      </c>
      <c r="AM545" t="s">
        <v>179</v>
      </c>
      <c r="AO545" t="s">
        <v>132</v>
      </c>
      <c r="AS545" t="s">
        <v>135</v>
      </c>
      <c r="BG545">
        <v>45</v>
      </c>
      <c r="BM545" t="s">
        <v>180</v>
      </c>
      <c r="BN545">
        <v>2.5</v>
      </c>
      <c r="BY545" t="s">
        <v>198</v>
      </c>
      <c r="BZ545" t="s">
        <v>132</v>
      </c>
      <c r="CA545" t="s">
        <v>132</v>
      </c>
      <c r="CB545" t="s">
        <v>132</v>
      </c>
      <c r="CC545" t="s">
        <v>132</v>
      </c>
      <c r="CD545" t="s">
        <v>204</v>
      </c>
      <c r="CM545">
        <v>2.5</v>
      </c>
      <c r="CN545" t="s">
        <v>2488</v>
      </c>
    </row>
    <row r="546" spans="1:92" x14ac:dyDescent="0.2">
      <c r="A546" t="s">
        <v>111</v>
      </c>
      <c r="B546" t="b">
        <v>1</v>
      </c>
      <c r="C546" t="s">
        <v>132</v>
      </c>
      <c r="F546" t="str">
        <f>HYPERLINK("https://portal.dnb.de/opac.htm?method=simpleSearch&amp;cqlMode=true&amp;query=idn%3D1267944188", "Portal")</f>
        <v>Portal</v>
      </c>
      <c r="G546" t="s">
        <v>319</v>
      </c>
      <c r="H546" t="s">
        <v>2489</v>
      </c>
      <c r="I546" t="s">
        <v>2490</v>
      </c>
      <c r="J546" t="s">
        <v>2491</v>
      </c>
      <c r="K546" t="s">
        <v>2491</v>
      </c>
      <c r="L546" t="s">
        <v>2491</v>
      </c>
      <c r="M546" t="s">
        <v>2492</v>
      </c>
      <c r="N546" t="s">
        <v>338</v>
      </c>
      <c r="O546" t="s">
        <v>117</v>
      </c>
      <c r="P546" t="s">
        <v>118</v>
      </c>
      <c r="R546" t="s">
        <v>120</v>
      </c>
      <c r="S546" t="s">
        <v>146</v>
      </c>
      <c r="T546" t="s">
        <v>122</v>
      </c>
      <c r="U546" t="s">
        <v>500</v>
      </c>
      <c r="Y546">
        <v>3</v>
      </c>
      <c r="AI546" t="s">
        <v>133</v>
      </c>
      <c r="AM546" t="s">
        <v>179</v>
      </c>
      <c r="AO546" t="s">
        <v>132</v>
      </c>
      <c r="AS546" t="s">
        <v>135</v>
      </c>
      <c r="BG546">
        <v>45</v>
      </c>
      <c r="BM546" t="s">
        <v>180</v>
      </c>
      <c r="BN546">
        <v>7</v>
      </c>
      <c r="BY546" t="s">
        <v>198</v>
      </c>
      <c r="BZ546" t="s">
        <v>132</v>
      </c>
      <c r="CA546" t="s">
        <v>132</v>
      </c>
      <c r="CB546" t="s">
        <v>132</v>
      </c>
      <c r="CC546" t="s">
        <v>132</v>
      </c>
      <c r="CD546" t="s">
        <v>204</v>
      </c>
      <c r="CE546">
        <v>2</v>
      </c>
      <c r="CK546" t="s">
        <v>1195</v>
      </c>
      <c r="CL546" t="s">
        <v>132</v>
      </c>
      <c r="CM546">
        <v>7</v>
      </c>
      <c r="CN546" t="s">
        <v>2493</v>
      </c>
    </row>
    <row r="547" spans="1:92" x14ac:dyDescent="0.2">
      <c r="A547" t="s">
        <v>111</v>
      </c>
      <c r="B547" t="b">
        <v>1</v>
      </c>
      <c r="E547">
        <v>625</v>
      </c>
      <c r="F547" t="str">
        <f>HYPERLINK("https://portal.dnb.de/opac.htm?method=simpleSearch&amp;cqlMode=true&amp;query=idn%3D1066865094", "Portal")</f>
        <v>Portal</v>
      </c>
      <c r="G547" t="s">
        <v>125</v>
      </c>
      <c r="H547" t="s">
        <v>2494</v>
      </c>
      <c r="I547" t="s">
        <v>2495</v>
      </c>
      <c r="J547" t="s">
        <v>2496</v>
      </c>
      <c r="K547" t="s">
        <v>2496</v>
      </c>
      <c r="L547" t="s">
        <v>2496</v>
      </c>
      <c r="N547" t="s">
        <v>2497</v>
      </c>
      <c r="O547" t="s">
        <v>117</v>
      </c>
      <c r="P547" t="s">
        <v>118</v>
      </c>
      <c r="R547" t="s">
        <v>257</v>
      </c>
      <c r="S547" t="s">
        <v>146</v>
      </c>
      <c r="T547" t="s">
        <v>122</v>
      </c>
      <c r="Y547">
        <v>0</v>
      </c>
      <c r="BN547">
        <v>0</v>
      </c>
    </row>
    <row r="548" spans="1:92" x14ac:dyDescent="0.2">
      <c r="A548" t="s">
        <v>111</v>
      </c>
      <c r="B548" t="b">
        <v>1</v>
      </c>
      <c r="E548">
        <v>626</v>
      </c>
      <c r="F548" t="str">
        <f>HYPERLINK("https://portal.dnb.de/opac.htm?method=simpleSearch&amp;cqlMode=true&amp;query=idn%3D1066868867", "Portal")</f>
        <v>Portal</v>
      </c>
      <c r="G548" t="s">
        <v>125</v>
      </c>
      <c r="H548" t="s">
        <v>2498</v>
      </c>
      <c r="I548" t="s">
        <v>2499</v>
      </c>
      <c r="J548" t="s">
        <v>2500</v>
      </c>
      <c r="K548" t="s">
        <v>2500</v>
      </c>
      <c r="L548" t="s">
        <v>2500</v>
      </c>
      <c r="N548" t="s">
        <v>2501</v>
      </c>
      <c r="O548" t="s">
        <v>117</v>
      </c>
      <c r="P548" t="s">
        <v>118</v>
      </c>
      <c r="R548" t="s">
        <v>257</v>
      </c>
      <c r="S548" t="s">
        <v>146</v>
      </c>
      <c r="T548" t="s">
        <v>122</v>
      </c>
      <c r="Y548">
        <v>0</v>
      </c>
      <c r="BN548">
        <v>0</v>
      </c>
    </row>
    <row r="549" spans="1:92" x14ac:dyDescent="0.2">
      <c r="A549" t="s">
        <v>111</v>
      </c>
      <c r="B549" t="b">
        <v>1</v>
      </c>
      <c r="E549">
        <v>627</v>
      </c>
      <c r="F549" t="str">
        <f>HYPERLINK("https://portal.dnb.de/opac.htm?method=simpleSearch&amp;cqlMode=true&amp;query=idn%3D1066866147", "Portal")</f>
        <v>Portal</v>
      </c>
      <c r="G549" t="s">
        <v>125</v>
      </c>
      <c r="H549" t="s">
        <v>2502</v>
      </c>
      <c r="I549" t="s">
        <v>2503</v>
      </c>
      <c r="J549" t="s">
        <v>2504</v>
      </c>
      <c r="K549" t="s">
        <v>2504</v>
      </c>
      <c r="L549" t="s">
        <v>2504</v>
      </c>
      <c r="N549" t="s">
        <v>2505</v>
      </c>
      <c r="O549" t="s">
        <v>117</v>
      </c>
      <c r="P549" t="s">
        <v>118</v>
      </c>
      <c r="R549" t="s">
        <v>257</v>
      </c>
      <c r="S549" t="s">
        <v>146</v>
      </c>
      <c r="T549" t="s">
        <v>122</v>
      </c>
      <c r="Y549">
        <v>0</v>
      </c>
      <c r="BN549">
        <v>0</v>
      </c>
    </row>
    <row r="550" spans="1:92" x14ac:dyDescent="0.2">
      <c r="A550" t="s">
        <v>111</v>
      </c>
      <c r="B550" t="b">
        <v>1</v>
      </c>
      <c r="E550">
        <v>628</v>
      </c>
      <c r="F550" t="str">
        <f>HYPERLINK("https://portal.dnb.de/opac.htm?method=simpleSearch&amp;cqlMode=true&amp;query=idn%3D1066959668", "Portal")</f>
        <v>Portal</v>
      </c>
      <c r="G550" t="s">
        <v>125</v>
      </c>
      <c r="H550" t="s">
        <v>2506</v>
      </c>
      <c r="I550" t="s">
        <v>2507</v>
      </c>
      <c r="J550" t="s">
        <v>2508</v>
      </c>
      <c r="K550" t="s">
        <v>2508</v>
      </c>
      <c r="L550" t="s">
        <v>2508</v>
      </c>
      <c r="N550" t="s">
        <v>2509</v>
      </c>
      <c r="O550" t="s">
        <v>117</v>
      </c>
      <c r="P550" t="s">
        <v>118</v>
      </c>
      <c r="R550" t="s">
        <v>257</v>
      </c>
      <c r="S550" t="s">
        <v>146</v>
      </c>
      <c r="T550" t="s">
        <v>122</v>
      </c>
      <c r="Y550">
        <v>0</v>
      </c>
      <c r="AA550" t="s">
        <v>2510</v>
      </c>
      <c r="BN550">
        <v>0</v>
      </c>
    </row>
    <row r="551" spans="1:92" x14ac:dyDescent="0.2">
      <c r="A551" t="s">
        <v>111</v>
      </c>
      <c r="B551" t="b">
        <v>1</v>
      </c>
      <c r="E551">
        <v>629</v>
      </c>
      <c r="F551" t="str">
        <f>HYPERLINK("https://portal.dnb.de/opac.htm?method=simpleSearch&amp;cqlMode=true&amp;query=idn%3D1066867984", "Portal")</f>
        <v>Portal</v>
      </c>
      <c r="G551" t="s">
        <v>125</v>
      </c>
      <c r="H551" t="s">
        <v>2511</v>
      </c>
      <c r="I551" t="s">
        <v>2512</v>
      </c>
      <c r="J551" t="s">
        <v>2513</v>
      </c>
      <c r="K551" t="s">
        <v>2513</v>
      </c>
      <c r="L551" t="s">
        <v>2513</v>
      </c>
      <c r="N551" t="s">
        <v>2514</v>
      </c>
      <c r="O551" t="s">
        <v>117</v>
      </c>
      <c r="P551" t="s">
        <v>118</v>
      </c>
      <c r="R551" t="s">
        <v>257</v>
      </c>
      <c r="S551" t="s">
        <v>146</v>
      </c>
      <c r="T551" t="s">
        <v>122</v>
      </c>
      <c r="U551" t="s">
        <v>719</v>
      </c>
      <c r="BN551">
        <v>0</v>
      </c>
    </row>
    <row r="552" spans="1:92" x14ac:dyDescent="0.2">
      <c r="A552" t="s">
        <v>111</v>
      </c>
      <c r="B552" t="b">
        <v>1</v>
      </c>
      <c r="E552">
        <v>630</v>
      </c>
      <c r="F552" t="str">
        <f>HYPERLINK("https://portal.dnb.de/opac.htm?method=simpleSearch&amp;cqlMode=true&amp;query=idn%3D997745096", "Portal")</f>
        <v>Portal</v>
      </c>
      <c r="G552" t="s">
        <v>112</v>
      </c>
      <c r="H552" t="s">
        <v>2515</v>
      </c>
      <c r="I552" t="s">
        <v>2516</v>
      </c>
      <c r="J552" t="s">
        <v>2517</v>
      </c>
      <c r="K552" t="s">
        <v>2517</v>
      </c>
      <c r="L552" t="s">
        <v>2517</v>
      </c>
      <c r="N552" t="s">
        <v>2518</v>
      </c>
      <c r="O552" t="s">
        <v>117</v>
      </c>
      <c r="P552" t="s">
        <v>118</v>
      </c>
      <c r="R552" t="s">
        <v>257</v>
      </c>
      <c r="S552" t="s">
        <v>146</v>
      </c>
      <c r="T552" t="s">
        <v>122</v>
      </c>
      <c r="Y552">
        <v>0</v>
      </c>
      <c r="BN552">
        <v>0</v>
      </c>
    </row>
    <row r="553" spans="1:92" x14ac:dyDescent="0.2">
      <c r="A553" t="s">
        <v>111</v>
      </c>
      <c r="B553" t="b">
        <v>1</v>
      </c>
      <c r="E553">
        <v>631</v>
      </c>
      <c r="F553" t="str">
        <f>HYPERLINK("https://portal.dnb.de/opac.htm?method=simpleSearch&amp;cqlMode=true&amp;query=idn%3D1066963517", "Portal")</f>
        <v>Portal</v>
      </c>
      <c r="G553" t="s">
        <v>125</v>
      </c>
      <c r="H553" t="s">
        <v>2519</v>
      </c>
      <c r="I553" t="s">
        <v>2520</v>
      </c>
      <c r="J553" t="s">
        <v>2521</v>
      </c>
      <c r="K553" t="s">
        <v>2521</v>
      </c>
      <c r="L553" t="s">
        <v>2521</v>
      </c>
      <c r="N553" t="s">
        <v>2522</v>
      </c>
      <c r="O553" t="s">
        <v>117</v>
      </c>
      <c r="P553" t="s">
        <v>118</v>
      </c>
      <c r="R553" t="s">
        <v>480</v>
      </c>
      <c r="S553" t="s">
        <v>146</v>
      </c>
      <c r="T553" t="s">
        <v>122</v>
      </c>
      <c r="U553" t="s">
        <v>203</v>
      </c>
      <c r="Y553">
        <v>0</v>
      </c>
      <c r="AA553" t="s">
        <v>2523</v>
      </c>
      <c r="BN553">
        <v>0</v>
      </c>
    </row>
    <row r="554" spans="1:92" x14ac:dyDescent="0.2">
      <c r="A554" t="s">
        <v>111</v>
      </c>
      <c r="B554" t="b">
        <v>1</v>
      </c>
      <c r="E554">
        <v>632</v>
      </c>
      <c r="F554" t="str">
        <f>HYPERLINK("https://portal.dnb.de/opac.htm?method=simpleSearch&amp;cqlMode=true&amp;query=idn%3D1066867984", "Portal")</f>
        <v>Portal</v>
      </c>
      <c r="G554" t="s">
        <v>125</v>
      </c>
      <c r="H554" t="s">
        <v>2524</v>
      </c>
      <c r="I554" t="s">
        <v>2512</v>
      </c>
      <c r="J554" t="s">
        <v>2525</v>
      </c>
      <c r="K554" t="s">
        <v>2525</v>
      </c>
      <c r="L554" t="s">
        <v>2525</v>
      </c>
      <c r="N554" t="s">
        <v>2514</v>
      </c>
      <c r="O554" t="s">
        <v>117</v>
      </c>
      <c r="P554" t="s">
        <v>118</v>
      </c>
      <c r="R554" t="s">
        <v>480</v>
      </c>
      <c r="S554" t="s">
        <v>146</v>
      </c>
      <c r="T554" t="s">
        <v>122</v>
      </c>
      <c r="U554" t="s">
        <v>123</v>
      </c>
      <c r="Y554">
        <v>0</v>
      </c>
      <c r="AA554" t="s">
        <v>2523</v>
      </c>
      <c r="BN554">
        <v>0</v>
      </c>
    </row>
    <row r="555" spans="1:92" x14ac:dyDescent="0.2">
      <c r="A555" t="s">
        <v>111</v>
      </c>
      <c r="B555" t="b">
        <v>1</v>
      </c>
      <c r="E555">
        <v>633</v>
      </c>
      <c r="F555" t="str">
        <f>HYPERLINK("https://portal.dnb.de/opac.htm?method=simpleSearch&amp;cqlMode=true&amp;query=idn%3D1066769680", "Portal")</f>
        <v>Portal</v>
      </c>
      <c r="G555" t="s">
        <v>125</v>
      </c>
      <c r="H555" t="s">
        <v>2526</v>
      </c>
      <c r="I555" t="s">
        <v>2527</v>
      </c>
      <c r="J555" t="s">
        <v>2528</v>
      </c>
      <c r="K555" t="s">
        <v>2528</v>
      </c>
      <c r="L555" t="s">
        <v>2528</v>
      </c>
      <c r="N555" t="s">
        <v>2529</v>
      </c>
      <c r="O555" t="s">
        <v>117</v>
      </c>
      <c r="P555" t="s">
        <v>118</v>
      </c>
      <c r="R555" t="s">
        <v>257</v>
      </c>
      <c r="S555" t="s">
        <v>146</v>
      </c>
      <c r="T555" t="s">
        <v>122</v>
      </c>
      <c r="Y555">
        <v>0</v>
      </c>
      <c r="BN555">
        <v>0</v>
      </c>
    </row>
    <row r="556" spans="1:92" x14ac:dyDescent="0.2">
      <c r="A556" t="s">
        <v>111</v>
      </c>
      <c r="B556" t="b">
        <v>1</v>
      </c>
      <c r="E556">
        <v>634</v>
      </c>
      <c r="F556" t="str">
        <f>HYPERLINK("https://portal.dnb.de/opac.htm?method=simpleSearch&amp;cqlMode=true&amp;query=idn%3D1066866635", "Portal")</f>
        <v>Portal</v>
      </c>
      <c r="G556" t="s">
        <v>125</v>
      </c>
      <c r="H556" t="s">
        <v>2530</v>
      </c>
      <c r="I556" t="s">
        <v>2531</v>
      </c>
      <c r="J556" t="s">
        <v>2532</v>
      </c>
      <c r="K556" t="s">
        <v>2532</v>
      </c>
      <c r="L556" t="s">
        <v>2532</v>
      </c>
      <c r="N556" t="s">
        <v>2533</v>
      </c>
      <c r="O556" t="s">
        <v>117</v>
      </c>
      <c r="P556" t="s">
        <v>118</v>
      </c>
      <c r="R556" t="s">
        <v>163</v>
      </c>
      <c r="S556" t="s">
        <v>146</v>
      </c>
      <c r="T556" t="s">
        <v>122</v>
      </c>
      <c r="U556" t="s">
        <v>203</v>
      </c>
      <c r="Y556">
        <v>0</v>
      </c>
      <c r="BN556">
        <v>0</v>
      </c>
    </row>
    <row r="557" spans="1:92" x14ac:dyDescent="0.2">
      <c r="A557" t="s">
        <v>111</v>
      </c>
      <c r="B557" t="b">
        <v>1</v>
      </c>
      <c r="E557">
        <v>635</v>
      </c>
      <c r="F557" t="str">
        <f>HYPERLINK("https://portal.dnb.de/opac.htm?method=simpleSearch&amp;cqlMode=true&amp;query=idn%3D106687123X", "Portal")</f>
        <v>Portal</v>
      </c>
      <c r="G557" t="s">
        <v>125</v>
      </c>
      <c r="H557" t="s">
        <v>2534</v>
      </c>
      <c r="I557" t="s">
        <v>2535</v>
      </c>
      <c r="J557" t="s">
        <v>2536</v>
      </c>
      <c r="K557" t="s">
        <v>2536</v>
      </c>
      <c r="L557" t="s">
        <v>2536</v>
      </c>
      <c r="N557" t="s">
        <v>2537</v>
      </c>
      <c r="O557" t="s">
        <v>117</v>
      </c>
      <c r="P557" t="s">
        <v>118</v>
      </c>
      <c r="R557" t="s">
        <v>223</v>
      </c>
      <c r="S557" t="s">
        <v>121</v>
      </c>
      <c r="T557" t="s">
        <v>834</v>
      </c>
      <c r="U557" t="s">
        <v>123</v>
      </c>
      <c r="W557" t="s">
        <v>147</v>
      </c>
      <c r="X557" t="s">
        <v>124</v>
      </c>
      <c r="Y557">
        <v>0</v>
      </c>
      <c r="BN557">
        <v>0</v>
      </c>
    </row>
    <row r="558" spans="1:92" x14ac:dyDescent="0.2">
      <c r="A558" t="s">
        <v>111</v>
      </c>
      <c r="B558" t="b">
        <v>1</v>
      </c>
      <c r="E558">
        <v>636</v>
      </c>
      <c r="F558" t="str">
        <f>HYPERLINK("https://portal.dnb.de/opac.htm?method=simpleSearch&amp;cqlMode=true&amp;query=idn%3D1066957029", "Portal")</f>
        <v>Portal</v>
      </c>
      <c r="G558" t="s">
        <v>125</v>
      </c>
      <c r="H558" t="s">
        <v>2538</v>
      </c>
      <c r="I558" t="s">
        <v>2539</v>
      </c>
      <c r="J558" t="s">
        <v>2540</v>
      </c>
      <c r="K558" t="s">
        <v>2540</v>
      </c>
      <c r="L558" t="s">
        <v>2540</v>
      </c>
      <c r="N558" t="s">
        <v>2541</v>
      </c>
      <c r="O558" t="s">
        <v>117</v>
      </c>
      <c r="P558" t="s">
        <v>118</v>
      </c>
      <c r="R558" t="s">
        <v>157</v>
      </c>
      <c r="S558" t="s">
        <v>146</v>
      </c>
      <c r="T558" t="s">
        <v>130</v>
      </c>
      <c r="Y558">
        <v>0</v>
      </c>
      <c r="BN558">
        <v>0</v>
      </c>
    </row>
    <row r="559" spans="1:92" x14ac:dyDescent="0.2">
      <c r="A559" t="s">
        <v>111</v>
      </c>
      <c r="B559" t="b">
        <v>1</v>
      </c>
      <c r="E559">
        <v>637</v>
      </c>
      <c r="F559" t="str">
        <f>HYPERLINK("https://portal.dnb.de/opac.htm?method=simpleSearch&amp;cqlMode=true&amp;query=idn%3D997745622", "Portal")</f>
        <v>Portal</v>
      </c>
      <c r="G559" t="s">
        <v>112</v>
      </c>
      <c r="H559" t="s">
        <v>2542</v>
      </c>
      <c r="I559" t="s">
        <v>2543</v>
      </c>
      <c r="J559" t="s">
        <v>2544</v>
      </c>
      <c r="K559" t="s">
        <v>2544</v>
      </c>
      <c r="L559" t="s">
        <v>2544</v>
      </c>
      <c r="N559" t="s">
        <v>2545</v>
      </c>
      <c r="O559" t="s">
        <v>117</v>
      </c>
      <c r="P559" t="s">
        <v>118</v>
      </c>
      <c r="R559" t="s">
        <v>480</v>
      </c>
      <c r="S559" t="s">
        <v>146</v>
      </c>
      <c r="T559" t="s">
        <v>122</v>
      </c>
      <c r="U559" t="s">
        <v>123</v>
      </c>
      <c r="Y559">
        <v>1</v>
      </c>
      <c r="AA559" t="s">
        <v>2523</v>
      </c>
      <c r="AI559" t="s">
        <v>325</v>
      </c>
      <c r="AK559" t="s">
        <v>132</v>
      </c>
      <c r="AM559" t="s">
        <v>134</v>
      </c>
      <c r="AS559" t="s">
        <v>135</v>
      </c>
      <c r="AT559" t="s">
        <v>132</v>
      </c>
      <c r="BG559">
        <v>110</v>
      </c>
      <c r="BM559" t="s">
        <v>137</v>
      </c>
      <c r="BN559">
        <v>0</v>
      </c>
      <c r="BV559" t="s">
        <v>355</v>
      </c>
    </row>
    <row r="560" spans="1:92" x14ac:dyDescent="0.2">
      <c r="A560" t="s">
        <v>111</v>
      </c>
      <c r="B560" t="b">
        <v>1</v>
      </c>
      <c r="E560">
        <v>638</v>
      </c>
      <c r="F560" t="str">
        <f>HYPERLINK("https://portal.dnb.de/opac.htm?method=simpleSearch&amp;cqlMode=true&amp;query=idn%3D1066960593", "Portal")</f>
        <v>Portal</v>
      </c>
      <c r="G560" t="s">
        <v>125</v>
      </c>
      <c r="H560" t="s">
        <v>2546</v>
      </c>
      <c r="I560" t="s">
        <v>2547</v>
      </c>
      <c r="J560" t="s">
        <v>2548</v>
      </c>
      <c r="K560" t="s">
        <v>2548</v>
      </c>
      <c r="L560" t="s">
        <v>2548</v>
      </c>
      <c r="N560" t="s">
        <v>2549</v>
      </c>
      <c r="O560" t="s">
        <v>117</v>
      </c>
      <c r="S560" t="s">
        <v>146</v>
      </c>
      <c r="AI560" t="s">
        <v>135</v>
      </c>
      <c r="AK560" t="s">
        <v>132</v>
      </c>
      <c r="AM560" t="s">
        <v>134</v>
      </c>
      <c r="AS560" t="s">
        <v>135</v>
      </c>
      <c r="BG560">
        <v>110</v>
      </c>
      <c r="BM560" t="s">
        <v>137</v>
      </c>
      <c r="BN560">
        <v>0</v>
      </c>
      <c r="BR560" t="s">
        <v>132</v>
      </c>
      <c r="BV560" t="s">
        <v>355</v>
      </c>
    </row>
    <row r="561" spans="1:110" x14ac:dyDescent="0.2">
      <c r="A561" t="s">
        <v>111</v>
      </c>
      <c r="B561" t="b">
        <v>1</v>
      </c>
      <c r="E561">
        <v>639</v>
      </c>
      <c r="F561" t="str">
        <f>HYPERLINK("https://portal.dnb.de/opac.htm?method=simpleSearch&amp;cqlMode=true&amp;query=idn%3D1066458820", "Portal")</f>
        <v>Portal</v>
      </c>
      <c r="G561" t="s">
        <v>125</v>
      </c>
      <c r="H561" t="s">
        <v>2550</v>
      </c>
      <c r="I561" t="s">
        <v>2551</v>
      </c>
      <c r="J561" t="s">
        <v>2552</v>
      </c>
      <c r="K561" t="s">
        <v>2552</v>
      </c>
      <c r="L561" t="s">
        <v>2552</v>
      </c>
      <c r="N561" t="s">
        <v>2522</v>
      </c>
      <c r="O561" t="s">
        <v>117</v>
      </c>
      <c r="BN561">
        <v>0</v>
      </c>
    </row>
    <row r="562" spans="1:110" x14ac:dyDescent="0.2">
      <c r="A562" t="s">
        <v>111</v>
      </c>
      <c r="B562" t="b">
        <v>1</v>
      </c>
      <c r="E562">
        <v>665</v>
      </c>
      <c r="F562" t="str">
        <f>HYPERLINK("https://portal.dnb.de/opac.htm?method=simpleSearch&amp;cqlMode=true&amp;query=idn%3D999770985", "Portal")</f>
        <v>Portal</v>
      </c>
      <c r="G562" t="s">
        <v>112</v>
      </c>
      <c r="H562" t="s">
        <v>2553</v>
      </c>
      <c r="I562" t="s">
        <v>2554</v>
      </c>
      <c r="J562" t="s">
        <v>2555</v>
      </c>
      <c r="K562" t="s">
        <v>2555</v>
      </c>
      <c r="L562" t="s">
        <v>2556</v>
      </c>
      <c r="N562" t="s">
        <v>2557</v>
      </c>
      <c r="O562" t="s">
        <v>117</v>
      </c>
      <c r="BN562">
        <v>0</v>
      </c>
    </row>
    <row r="563" spans="1:110" x14ac:dyDescent="0.2">
      <c r="A563" t="s">
        <v>111</v>
      </c>
      <c r="B563" t="b">
        <v>1</v>
      </c>
      <c r="E563">
        <v>640</v>
      </c>
      <c r="F563" t="str">
        <f>HYPERLINK("https://portal.dnb.de/opac.htm?method=simpleSearch&amp;cqlMode=true&amp;query=idn%3D1066868050", "Portal")</f>
        <v>Portal</v>
      </c>
      <c r="G563" t="s">
        <v>125</v>
      </c>
      <c r="H563" t="s">
        <v>2558</v>
      </c>
      <c r="I563" t="s">
        <v>2559</v>
      </c>
      <c r="J563" t="s">
        <v>2560</v>
      </c>
      <c r="K563" t="s">
        <v>2560</v>
      </c>
      <c r="L563" t="s">
        <v>2560</v>
      </c>
      <c r="N563" t="s">
        <v>2561</v>
      </c>
      <c r="O563" t="s">
        <v>117</v>
      </c>
      <c r="BN563">
        <v>0</v>
      </c>
    </row>
    <row r="564" spans="1:110" x14ac:dyDescent="0.2">
      <c r="A564" t="s">
        <v>111</v>
      </c>
      <c r="B564" t="b">
        <v>1</v>
      </c>
      <c r="C564" t="s">
        <v>132</v>
      </c>
      <c r="E564">
        <v>641</v>
      </c>
      <c r="F564" t="str">
        <f>HYPERLINK("https://portal.dnb.de/opac.htm?method=simpleSearch&amp;cqlMode=true&amp;query=idn%3D1066796122", "Portal")</f>
        <v>Portal</v>
      </c>
      <c r="G564" t="s">
        <v>125</v>
      </c>
      <c r="H564" t="s">
        <v>2562</v>
      </c>
      <c r="I564" t="s">
        <v>2563</v>
      </c>
      <c r="J564" t="s">
        <v>2564</v>
      </c>
      <c r="K564" t="s">
        <v>2564</v>
      </c>
      <c r="L564" t="s">
        <v>2564</v>
      </c>
      <c r="N564" t="s">
        <v>2565</v>
      </c>
      <c r="O564" t="s">
        <v>117</v>
      </c>
      <c r="S564" t="s">
        <v>146</v>
      </c>
      <c r="AI564" t="s">
        <v>149</v>
      </c>
      <c r="AK564" t="s">
        <v>132</v>
      </c>
      <c r="AM564" t="s">
        <v>179</v>
      </c>
      <c r="AS564" t="s">
        <v>135</v>
      </c>
      <c r="AW564" t="s">
        <v>132</v>
      </c>
      <c r="BE564">
        <v>0</v>
      </c>
      <c r="BF564" t="s">
        <v>132</v>
      </c>
      <c r="BG564">
        <v>45</v>
      </c>
      <c r="BM564" t="s">
        <v>180</v>
      </c>
      <c r="BN564">
        <v>0.5</v>
      </c>
      <c r="BR564" t="s">
        <v>132</v>
      </c>
      <c r="BZ564" t="s">
        <v>132</v>
      </c>
      <c r="CA564" t="s">
        <v>132</v>
      </c>
      <c r="CB564" t="s">
        <v>132</v>
      </c>
      <c r="CM564">
        <v>0.5</v>
      </c>
    </row>
    <row r="565" spans="1:110" x14ac:dyDescent="0.2">
      <c r="A565" t="s">
        <v>111</v>
      </c>
      <c r="B565" t="b">
        <v>1</v>
      </c>
      <c r="E565">
        <v>642</v>
      </c>
      <c r="F565" t="str">
        <f>HYPERLINK("https://portal.dnb.de/opac.htm?method=simpleSearch&amp;cqlMode=true&amp;query=idn%3D1066964289", "Portal")</f>
        <v>Portal</v>
      </c>
      <c r="G565" t="s">
        <v>112</v>
      </c>
      <c r="H565" t="s">
        <v>2566</v>
      </c>
      <c r="I565" t="s">
        <v>2567</v>
      </c>
      <c r="J565" t="s">
        <v>2568</v>
      </c>
      <c r="K565" t="s">
        <v>2568</v>
      </c>
      <c r="L565" t="s">
        <v>2568</v>
      </c>
      <c r="N565" t="s">
        <v>2569</v>
      </c>
      <c r="O565" t="s">
        <v>117</v>
      </c>
      <c r="BN565">
        <v>0</v>
      </c>
    </row>
    <row r="566" spans="1:110" x14ac:dyDescent="0.2">
      <c r="A566" t="s">
        <v>111</v>
      </c>
      <c r="B566" t="b">
        <v>1</v>
      </c>
      <c r="C566" t="s">
        <v>132</v>
      </c>
      <c r="E566">
        <v>643</v>
      </c>
      <c r="F566" t="str">
        <f>HYPERLINK("https://portal.dnb.de/opac.htm?method=simpleSearch&amp;cqlMode=true&amp;query=idn%3D106696307X", "Portal")</f>
        <v>Portal</v>
      </c>
      <c r="G566" t="s">
        <v>125</v>
      </c>
      <c r="H566" t="s">
        <v>2570</v>
      </c>
      <c r="I566" t="s">
        <v>2571</v>
      </c>
      <c r="J566" t="s">
        <v>2572</v>
      </c>
      <c r="K566" t="s">
        <v>2572</v>
      </c>
      <c r="L566" t="s">
        <v>2572</v>
      </c>
      <c r="N566" t="s">
        <v>2573</v>
      </c>
      <c r="O566" t="s">
        <v>117</v>
      </c>
      <c r="S566" t="s">
        <v>146</v>
      </c>
      <c r="AI566" t="s">
        <v>149</v>
      </c>
      <c r="AK566" t="s">
        <v>132</v>
      </c>
      <c r="AM566" t="s">
        <v>179</v>
      </c>
      <c r="AO566" t="s">
        <v>132</v>
      </c>
      <c r="AS566" t="s">
        <v>135</v>
      </c>
      <c r="BG566">
        <v>80</v>
      </c>
      <c r="BM566" t="s">
        <v>180</v>
      </c>
      <c r="BN566">
        <v>1</v>
      </c>
      <c r="BR566" t="s">
        <v>132</v>
      </c>
      <c r="BY566" t="s">
        <v>198</v>
      </c>
      <c r="BZ566" t="s">
        <v>132</v>
      </c>
      <c r="CA566" t="s">
        <v>132</v>
      </c>
      <c r="CB566" t="s">
        <v>132</v>
      </c>
      <c r="CM566">
        <v>1</v>
      </c>
      <c r="CN566" t="s">
        <v>2574</v>
      </c>
    </row>
    <row r="567" spans="1:110" x14ac:dyDescent="0.2">
      <c r="A567" t="s">
        <v>111</v>
      </c>
      <c r="B567" t="b">
        <v>1</v>
      </c>
      <c r="C567" t="s">
        <v>132</v>
      </c>
      <c r="F567" t="str">
        <f>HYPERLINK("https://portal.dnb.de/opac.htm?method=simpleSearch&amp;cqlMode=true&amp;query=idn%3D1262787432", "Portal")</f>
        <v>Portal</v>
      </c>
      <c r="G567" t="s">
        <v>319</v>
      </c>
      <c r="H567" t="s">
        <v>2575</v>
      </c>
      <c r="I567" t="s">
        <v>2576</v>
      </c>
      <c r="J567" t="s">
        <v>2577</v>
      </c>
      <c r="K567" t="s">
        <v>2577</v>
      </c>
      <c r="L567" t="s">
        <v>2577</v>
      </c>
      <c r="N567" t="s">
        <v>323</v>
      </c>
      <c r="O567" t="s">
        <v>117</v>
      </c>
      <c r="Q567" t="s">
        <v>324</v>
      </c>
      <c r="S567" t="s">
        <v>121</v>
      </c>
      <c r="AI567" t="s">
        <v>365</v>
      </c>
      <c r="AK567" t="s">
        <v>132</v>
      </c>
      <c r="AL567" t="s">
        <v>132</v>
      </c>
      <c r="AM567" t="s">
        <v>134</v>
      </c>
      <c r="AO567" t="s">
        <v>132</v>
      </c>
      <c r="AS567" t="s">
        <v>135</v>
      </c>
      <c r="BG567">
        <v>110</v>
      </c>
      <c r="BM567" t="s">
        <v>180</v>
      </c>
      <c r="BN567">
        <v>0.5</v>
      </c>
      <c r="BR567" t="s">
        <v>132</v>
      </c>
      <c r="BV567" t="s">
        <v>2578</v>
      </c>
      <c r="BY567" t="s">
        <v>198</v>
      </c>
      <c r="BZ567" t="s">
        <v>132</v>
      </c>
      <c r="CA567" t="s">
        <v>132</v>
      </c>
      <c r="CB567" t="s">
        <v>132</v>
      </c>
      <c r="CD567" t="s">
        <v>184</v>
      </c>
      <c r="CM567">
        <v>0.5</v>
      </c>
      <c r="CN567" t="s">
        <v>2579</v>
      </c>
    </row>
    <row r="568" spans="1:110" x14ac:dyDescent="0.2">
      <c r="A568" t="s">
        <v>111</v>
      </c>
      <c r="B568" t="b">
        <v>1</v>
      </c>
      <c r="E568">
        <v>646</v>
      </c>
      <c r="F568" t="str">
        <f>HYPERLINK("https://portal.dnb.de/opac.htm?method=simpleSearch&amp;cqlMode=true&amp;query=idn%3D1066686521", "Portal")</f>
        <v>Portal</v>
      </c>
      <c r="G568" t="s">
        <v>125</v>
      </c>
      <c r="H568" t="s">
        <v>2580</v>
      </c>
      <c r="I568" t="s">
        <v>2581</v>
      </c>
      <c r="J568" t="s">
        <v>2582</v>
      </c>
      <c r="K568" t="s">
        <v>2582</v>
      </c>
      <c r="L568" t="s">
        <v>2582</v>
      </c>
      <c r="N568" t="s">
        <v>2583</v>
      </c>
      <c r="O568" t="s">
        <v>117</v>
      </c>
      <c r="S568" t="s">
        <v>121</v>
      </c>
      <c r="AI568" t="s">
        <v>365</v>
      </c>
      <c r="AK568" t="s">
        <v>132</v>
      </c>
      <c r="AM568" t="s">
        <v>134</v>
      </c>
      <c r="AS568" t="s">
        <v>135</v>
      </c>
      <c r="BG568">
        <v>110</v>
      </c>
      <c r="BM568" t="s">
        <v>137</v>
      </c>
      <c r="BN568">
        <v>0</v>
      </c>
      <c r="BR568" t="s">
        <v>132</v>
      </c>
      <c r="BV568" t="s">
        <v>355</v>
      </c>
    </row>
    <row r="569" spans="1:110" x14ac:dyDescent="0.2">
      <c r="A569" t="s">
        <v>111</v>
      </c>
      <c r="B569" t="b">
        <v>1</v>
      </c>
      <c r="E569">
        <v>647</v>
      </c>
      <c r="F569" t="str">
        <f>HYPERLINK("https://portal.dnb.de/opac.htm?method=simpleSearch&amp;cqlMode=true&amp;query=idn%3D1066870136", "Portal")</f>
        <v>Portal</v>
      </c>
      <c r="G569" t="s">
        <v>125</v>
      </c>
      <c r="H569" t="s">
        <v>2584</v>
      </c>
      <c r="I569" t="s">
        <v>2585</v>
      </c>
      <c r="J569" t="s">
        <v>2586</v>
      </c>
      <c r="K569" t="s">
        <v>2586</v>
      </c>
      <c r="L569" t="s">
        <v>2586</v>
      </c>
      <c r="N569" t="s">
        <v>2587</v>
      </c>
      <c r="O569" t="s">
        <v>117</v>
      </c>
      <c r="BN569">
        <v>0</v>
      </c>
    </row>
    <row r="570" spans="1:110" x14ac:dyDescent="0.2">
      <c r="A570" t="s">
        <v>111</v>
      </c>
      <c r="B570" t="b">
        <v>1</v>
      </c>
      <c r="F570" t="str">
        <f>HYPERLINK("https://portal.dnb.de/opac.htm?method=simpleSearch&amp;cqlMode=true&amp;query=idn%3D1137966572", "Portal")</f>
        <v>Portal</v>
      </c>
      <c r="G570" t="s">
        <v>319</v>
      </c>
      <c r="H570" t="s">
        <v>2588</v>
      </c>
      <c r="I570" t="s">
        <v>2589</v>
      </c>
      <c r="J570" t="s">
        <v>2590</v>
      </c>
      <c r="K570" t="s">
        <v>2590</v>
      </c>
      <c r="L570" t="s">
        <v>2590</v>
      </c>
      <c r="N570" t="s">
        <v>2591</v>
      </c>
      <c r="O570" t="s">
        <v>117</v>
      </c>
      <c r="S570" t="s">
        <v>146</v>
      </c>
      <c r="AI570" t="s">
        <v>2592</v>
      </c>
      <c r="AM570" t="s">
        <v>134</v>
      </c>
      <c r="AS570" t="s">
        <v>135</v>
      </c>
      <c r="AT570" t="s">
        <v>132</v>
      </c>
      <c r="BG570">
        <v>110</v>
      </c>
      <c r="BM570" t="s">
        <v>137</v>
      </c>
      <c r="BN570">
        <v>0</v>
      </c>
      <c r="BV570" t="s">
        <v>355</v>
      </c>
      <c r="BW570" t="s">
        <v>152</v>
      </c>
      <c r="BX570" t="s">
        <v>2593</v>
      </c>
    </row>
    <row r="571" spans="1:110" x14ac:dyDescent="0.2">
      <c r="A571" t="s">
        <v>111</v>
      </c>
      <c r="B571" t="b">
        <v>1</v>
      </c>
      <c r="E571">
        <v>649</v>
      </c>
      <c r="F571" t="str">
        <f>HYPERLINK("https://portal.dnb.de/opac.htm?method=simpleSearch&amp;cqlMode=true&amp;query=idn%3D1066963363", "Portal")</f>
        <v>Portal</v>
      </c>
      <c r="G571" t="s">
        <v>125</v>
      </c>
      <c r="H571" t="s">
        <v>2594</v>
      </c>
      <c r="I571" t="s">
        <v>2595</v>
      </c>
      <c r="J571" t="s">
        <v>2596</v>
      </c>
      <c r="K571" t="s">
        <v>2596</v>
      </c>
      <c r="L571" t="s">
        <v>2596</v>
      </c>
      <c r="N571" t="s">
        <v>2597</v>
      </c>
      <c r="O571" t="s">
        <v>117</v>
      </c>
      <c r="BN571">
        <v>0</v>
      </c>
    </row>
    <row r="572" spans="1:110" x14ac:dyDescent="0.2">
      <c r="A572" t="s">
        <v>111</v>
      </c>
      <c r="B572" t="b">
        <v>1</v>
      </c>
      <c r="C572" t="s">
        <v>132</v>
      </c>
      <c r="E572">
        <v>650</v>
      </c>
      <c r="F572" t="str">
        <f>HYPERLINK("https://portal.dnb.de/opac.htm?method=simpleSearch&amp;cqlMode=true&amp;query=idn%3D1066839743", "Portal")</f>
        <v>Portal</v>
      </c>
      <c r="G572" t="s">
        <v>125</v>
      </c>
      <c r="H572" t="s">
        <v>2598</v>
      </c>
      <c r="I572" t="s">
        <v>2599</v>
      </c>
      <c r="J572" t="s">
        <v>2600</v>
      </c>
      <c r="K572" t="s">
        <v>2600</v>
      </c>
      <c r="L572" t="s">
        <v>2600</v>
      </c>
      <c r="N572" t="s">
        <v>2601</v>
      </c>
      <c r="O572" t="s">
        <v>117</v>
      </c>
      <c r="S572" t="s">
        <v>121</v>
      </c>
      <c r="AI572" t="s">
        <v>365</v>
      </c>
      <c r="AM572" t="s">
        <v>179</v>
      </c>
      <c r="AS572" t="s">
        <v>135</v>
      </c>
      <c r="BG572">
        <v>110</v>
      </c>
      <c r="BM572" t="s">
        <v>180</v>
      </c>
      <c r="BN572">
        <v>1.5</v>
      </c>
      <c r="BP572" t="s">
        <v>1194</v>
      </c>
      <c r="BZ572" t="s">
        <v>132</v>
      </c>
      <c r="CA572" t="s">
        <v>132</v>
      </c>
      <c r="CB572" t="s">
        <v>132</v>
      </c>
      <c r="CD572" t="s">
        <v>204</v>
      </c>
      <c r="CK572" t="s">
        <v>1195</v>
      </c>
      <c r="CM572">
        <v>1.5</v>
      </c>
      <c r="CN572" t="s">
        <v>2602</v>
      </c>
    </row>
    <row r="573" spans="1:110" x14ac:dyDescent="0.2">
      <c r="A573" t="s">
        <v>111</v>
      </c>
      <c r="B573" t="b">
        <v>1</v>
      </c>
      <c r="F573" t="str">
        <f>HYPERLINK("https://portal.dnb.de/opac.htm?method=simpleSearch&amp;cqlMode=true&amp;query=idn%3D1138320277", "Portal")</f>
        <v>Portal</v>
      </c>
      <c r="G573" t="s">
        <v>319</v>
      </c>
      <c r="H573" t="s">
        <v>2603</v>
      </c>
      <c r="I573" t="s">
        <v>2604</v>
      </c>
      <c r="J573" t="s">
        <v>2605</v>
      </c>
      <c r="K573" t="s">
        <v>2605</v>
      </c>
      <c r="L573" t="s">
        <v>2605</v>
      </c>
      <c r="N573" t="s">
        <v>338</v>
      </c>
      <c r="O573" t="s">
        <v>117</v>
      </c>
      <c r="BN573">
        <v>0</v>
      </c>
    </row>
    <row r="574" spans="1:110" x14ac:dyDescent="0.2">
      <c r="A574" t="s">
        <v>111</v>
      </c>
      <c r="B574" t="b">
        <v>1</v>
      </c>
      <c r="C574" t="s">
        <v>132</v>
      </c>
      <c r="E574">
        <v>652</v>
      </c>
      <c r="F574" t="str">
        <f>HYPERLINK("https://portal.dnb.de/opac.htm?method=simpleSearch&amp;cqlMode=true&amp;query=idn%3D1066769036", "Portal")</f>
        <v>Portal</v>
      </c>
      <c r="G574" t="s">
        <v>125</v>
      </c>
      <c r="H574" t="s">
        <v>2606</v>
      </c>
      <c r="I574" t="s">
        <v>2607</v>
      </c>
      <c r="J574" t="s">
        <v>2608</v>
      </c>
      <c r="K574" t="s">
        <v>2608</v>
      </c>
      <c r="L574" t="s">
        <v>2608</v>
      </c>
      <c r="N574" t="s">
        <v>2609</v>
      </c>
      <c r="O574" t="s">
        <v>117</v>
      </c>
      <c r="S574" t="s">
        <v>146</v>
      </c>
      <c r="AI574" t="s">
        <v>149</v>
      </c>
      <c r="AK574" t="s">
        <v>132</v>
      </c>
      <c r="AM574" t="s">
        <v>179</v>
      </c>
      <c r="AS574" t="s">
        <v>135</v>
      </c>
      <c r="BG574">
        <v>60</v>
      </c>
      <c r="BM574" t="s">
        <v>180</v>
      </c>
      <c r="BN574">
        <v>1.5</v>
      </c>
      <c r="BU574" t="s">
        <v>132</v>
      </c>
      <c r="BV574" t="s">
        <v>2610</v>
      </c>
      <c r="BW574" t="s">
        <v>139</v>
      </c>
      <c r="BX574" t="s">
        <v>2611</v>
      </c>
      <c r="BY574" t="s">
        <v>2612</v>
      </c>
      <c r="BZ574" t="s">
        <v>132</v>
      </c>
      <c r="CA574" t="s">
        <v>132</v>
      </c>
      <c r="CB574" t="s">
        <v>132</v>
      </c>
      <c r="CM574">
        <v>1</v>
      </c>
      <c r="CV574" t="s">
        <v>132</v>
      </c>
      <c r="DF574">
        <v>0.5</v>
      </c>
    </row>
    <row r="575" spans="1:110" x14ac:dyDescent="0.2">
      <c r="A575" t="s">
        <v>111</v>
      </c>
      <c r="B575" t="b">
        <v>1</v>
      </c>
      <c r="E575">
        <v>653</v>
      </c>
      <c r="F575" t="str">
        <f>HYPERLINK("https://portal.dnb.de/opac.htm?method=simpleSearch&amp;cqlMode=true&amp;query=idn%3D1066962456", "Portal")</f>
        <v>Portal</v>
      </c>
      <c r="G575" t="s">
        <v>125</v>
      </c>
      <c r="H575" t="s">
        <v>2613</v>
      </c>
      <c r="I575" t="s">
        <v>2614</v>
      </c>
      <c r="J575" t="s">
        <v>2615</v>
      </c>
      <c r="K575" t="s">
        <v>2615</v>
      </c>
      <c r="L575" t="s">
        <v>2615</v>
      </c>
      <c r="N575" t="s">
        <v>2616</v>
      </c>
      <c r="O575" t="s">
        <v>117</v>
      </c>
      <c r="BN575">
        <v>0</v>
      </c>
    </row>
    <row r="576" spans="1:110" x14ac:dyDescent="0.2">
      <c r="A576" t="s">
        <v>111</v>
      </c>
      <c r="B576" t="b">
        <v>1</v>
      </c>
      <c r="E576">
        <v>654</v>
      </c>
      <c r="F576" t="str">
        <f>HYPERLINK("https://portal.dnb.de/opac.htm?method=simpleSearch&amp;cqlMode=true&amp;query=idn%3D993968074", "Portal")</f>
        <v>Portal</v>
      </c>
      <c r="G576" t="s">
        <v>112</v>
      </c>
      <c r="H576" t="s">
        <v>2617</v>
      </c>
      <c r="I576" t="s">
        <v>2618</v>
      </c>
      <c r="J576" t="s">
        <v>2619</v>
      </c>
      <c r="K576" t="s">
        <v>2619</v>
      </c>
      <c r="L576" t="s">
        <v>2619</v>
      </c>
      <c r="N576" t="s">
        <v>2620</v>
      </c>
      <c r="O576" t="s">
        <v>117</v>
      </c>
      <c r="S576" t="s">
        <v>121</v>
      </c>
      <c r="AI576" t="s">
        <v>133</v>
      </c>
      <c r="AK576" t="s">
        <v>132</v>
      </c>
      <c r="AM576" t="s">
        <v>134</v>
      </c>
      <c r="AS576" t="s">
        <v>135</v>
      </c>
      <c r="AT576" t="s">
        <v>132</v>
      </c>
      <c r="BG576">
        <v>110</v>
      </c>
      <c r="BM576" t="s">
        <v>137</v>
      </c>
      <c r="BN576">
        <v>0</v>
      </c>
      <c r="BR576" t="s">
        <v>132</v>
      </c>
      <c r="BV576" t="s">
        <v>355</v>
      </c>
      <c r="BW576" t="s">
        <v>152</v>
      </c>
      <c r="BX576" t="s">
        <v>2621</v>
      </c>
    </row>
    <row r="577" spans="1:91" x14ac:dyDescent="0.2">
      <c r="A577" t="s">
        <v>111</v>
      </c>
      <c r="B577" t="b">
        <v>1</v>
      </c>
      <c r="E577">
        <v>656</v>
      </c>
      <c r="F577" t="str">
        <f>HYPERLINK("https://portal.dnb.de/opac.htm?method=simpleSearch&amp;cqlMode=true&amp;query=idn%3D106695867X", "Portal")</f>
        <v>Portal</v>
      </c>
      <c r="G577" t="s">
        <v>125</v>
      </c>
      <c r="H577" t="s">
        <v>2622</v>
      </c>
      <c r="I577" t="s">
        <v>2623</v>
      </c>
      <c r="J577" t="s">
        <v>2624</v>
      </c>
      <c r="K577" t="s">
        <v>2624</v>
      </c>
      <c r="L577" t="s">
        <v>2624</v>
      </c>
      <c r="N577" t="s">
        <v>2625</v>
      </c>
      <c r="O577" t="s">
        <v>117</v>
      </c>
      <c r="S577" t="s">
        <v>121</v>
      </c>
      <c r="AI577" t="s">
        <v>365</v>
      </c>
      <c r="AK577" t="s">
        <v>132</v>
      </c>
      <c r="AM577" t="s">
        <v>134</v>
      </c>
      <c r="AS577" t="s">
        <v>135</v>
      </c>
      <c r="BG577">
        <v>110</v>
      </c>
      <c r="BM577" t="s">
        <v>137</v>
      </c>
      <c r="BN577">
        <v>0</v>
      </c>
      <c r="BR577" t="s">
        <v>132</v>
      </c>
      <c r="BV577" t="s">
        <v>355</v>
      </c>
    </row>
    <row r="578" spans="1:91" x14ac:dyDescent="0.2">
      <c r="A578" t="s">
        <v>111</v>
      </c>
      <c r="B578" t="b">
        <v>1</v>
      </c>
      <c r="E578">
        <v>657</v>
      </c>
      <c r="F578" t="str">
        <f>HYPERLINK("https://portal.dnb.de/opac.htm?method=simpleSearch&amp;cqlMode=true&amp;query=idn%3D1066942919", "Portal")</f>
        <v>Portal</v>
      </c>
      <c r="G578" t="s">
        <v>125</v>
      </c>
      <c r="H578" t="s">
        <v>2626</v>
      </c>
      <c r="I578" t="s">
        <v>2627</v>
      </c>
      <c r="J578" t="s">
        <v>2628</v>
      </c>
      <c r="K578" t="s">
        <v>2628</v>
      </c>
      <c r="L578" t="s">
        <v>2628</v>
      </c>
      <c r="N578" t="s">
        <v>2629</v>
      </c>
      <c r="O578" t="s">
        <v>117</v>
      </c>
      <c r="BN578">
        <v>0</v>
      </c>
    </row>
    <row r="579" spans="1:91" x14ac:dyDescent="0.2">
      <c r="A579" t="s">
        <v>111</v>
      </c>
      <c r="B579" t="b">
        <v>1</v>
      </c>
      <c r="E579">
        <v>658</v>
      </c>
      <c r="F579" t="str">
        <f>HYPERLINK("https://portal.dnb.de/opac.htm?method=simpleSearch&amp;cqlMode=true&amp;query=idn%3D1066457662", "Portal")</f>
        <v>Portal</v>
      </c>
      <c r="G579" t="s">
        <v>125</v>
      </c>
      <c r="H579" t="s">
        <v>2630</v>
      </c>
      <c r="I579" t="s">
        <v>2631</v>
      </c>
      <c r="J579" t="s">
        <v>2632</v>
      </c>
      <c r="K579" t="s">
        <v>2632</v>
      </c>
      <c r="L579" t="s">
        <v>2632</v>
      </c>
      <c r="N579" t="s">
        <v>2633</v>
      </c>
      <c r="O579" t="s">
        <v>117</v>
      </c>
      <c r="BN579">
        <v>0</v>
      </c>
    </row>
    <row r="580" spans="1:91" x14ac:dyDescent="0.2">
      <c r="A580" t="s">
        <v>111</v>
      </c>
      <c r="B580" t="b">
        <v>1</v>
      </c>
      <c r="E580">
        <v>659</v>
      </c>
      <c r="F580" t="str">
        <f>HYPERLINK("https://portal.dnb.de/opac.htm?method=simpleSearch&amp;cqlMode=true&amp;query=idn%3D1066963096", "Portal")</f>
        <v>Portal</v>
      </c>
      <c r="G580" t="s">
        <v>125</v>
      </c>
      <c r="H580" t="s">
        <v>2634</v>
      </c>
      <c r="I580" t="s">
        <v>2635</v>
      </c>
      <c r="J580" t="s">
        <v>2636</v>
      </c>
      <c r="K580" t="s">
        <v>2636</v>
      </c>
      <c r="L580" t="s">
        <v>2636</v>
      </c>
      <c r="N580" t="s">
        <v>2637</v>
      </c>
      <c r="O580" t="s">
        <v>117</v>
      </c>
      <c r="BN580">
        <v>0</v>
      </c>
    </row>
    <row r="581" spans="1:91" x14ac:dyDescent="0.2">
      <c r="A581" t="s">
        <v>111</v>
      </c>
      <c r="B581" t="b">
        <v>1</v>
      </c>
      <c r="E581">
        <v>1204</v>
      </c>
      <c r="F581" t="str">
        <f>HYPERLINK("https://portal.dnb.de/opac.htm?method=simpleSearch&amp;cqlMode=true&amp;query=idn%3D1066964394", "Portal")</f>
        <v>Portal</v>
      </c>
      <c r="G581" t="s">
        <v>125</v>
      </c>
      <c r="H581" t="s">
        <v>2638</v>
      </c>
      <c r="I581" t="s">
        <v>2639</v>
      </c>
      <c r="J581" t="s">
        <v>2640</v>
      </c>
      <c r="K581" t="s">
        <v>2640</v>
      </c>
      <c r="L581" t="s">
        <v>2640</v>
      </c>
      <c r="M581" t="s">
        <v>2641</v>
      </c>
      <c r="N581" t="s">
        <v>2642</v>
      </c>
      <c r="O581" t="s">
        <v>117</v>
      </c>
      <c r="S581" t="s">
        <v>121</v>
      </c>
      <c r="AI581" t="s">
        <v>133</v>
      </c>
      <c r="AL581" t="s">
        <v>132</v>
      </c>
      <c r="AM581" t="s">
        <v>196</v>
      </c>
      <c r="AS581" t="s">
        <v>135</v>
      </c>
      <c r="BG581">
        <v>110</v>
      </c>
      <c r="BM581" t="s">
        <v>137</v>
      </c>
      <c r="BN581">
        <v>0</v>
      </c>
      <c r="BP581" t="s">
        <v>181</v>
      </c>
      <c r="BW581" t="s">
        <v>152</v>
      </c>
      <c r="BX581" t="s">
        <v>2643</v>
      </c>
    </row>
    <row r="582" spans="1:91" x14ac:dyDescent="0.2">
      <c r="A582" t="s">
        <v>111</v>
      </c>
      <c r="B582" t="b">
        <v>1</v>
      </c>
      <c r="E582">
        <v>668</v>
      </c>
      <c r="F582" t="str">
        <f>HYPERLINK("https://portal.dnb.de/opac.htm?method=simpleSearch&amp;cqlMode=true&amp;query=idn%3D1066958645", "Portal")</f>
        <v>Portal</v>
      </c>
      <c r="G582" t="s">
        <v>125</v>
      </c>
      <c r="H582" t="s">
        <v>2644</v>
      </c>
      <c r="I582" t="s">
        <v>2645</v>
      </c>
      <c r="J582" t="s">
        <v>2646</v>
      </c>
      <c r="K582" t="s">
        <v>2646</v>
      </c>
      <c r="L582" t="s">
        <v>2646</v>
      </c>
      <c r="N582" t="s">
        <v>2647</v>
      </c>
      <c r="O582" t="s">
        <v>117</v>
      </c>
      <c r="P582" t="s">
        <v>118</v>
      </c>
      <c r="R582" t="s">
        <v>257</v>
      </c>
      <c r="S582" t="s">
        <v>121</v>
      </c>
      <c r="T582" t="s">
        <v>122</v>
      </c>
      <c r="Y582">
        <v>0</v>
      </c>
      <c r="BN582">
        <v>0</v>
      </c>
    </row>
    <row r="583" spans="1:91" x14ac:dyDescent="0.2">
      <c r="A583" t="s">
        <v>111</v>
      </c>
      <c r="B583" t="b">
        <v>1</v>
      </c>
      <c r="E583">
        <v>669</v>
      </c>
      <c r="F583" t="str">
        <f>HYPERLINK("https://portal.dnb.de/opac.htm?method=simpleSearch&amp;cqlMode=true&amp;query=idn%3D994152264", "Portal")</f>
        <v>Portal</v>
      </c>
      <c r="G583" t="s">
        <v>112</v>
      </c>
      <c r="H583" t="s">
        <v>2648</v>
      </c>
      <c r="I583" t="s">
        <v>2649</v>
      </c>
      <c r="J583" t="s">
        <v>2650</v>
      </c>
      <c r="K583" t="s">
        <v>2650</v>
      </c>
      <c r="L583" t="s">
        <v>2650</v>
      </c>
      <c r="N583" t="s">
        <v>2651</v>
      </c>
      <c r="O583" t="s">
        <v>117</v>
      </c>
      <c r="BN583">
        <v>0</v>
      </c>
    </row>
    <row r="584" spans="1:91" x14ac:dyDescent="0.2">
      <c r="A584" t="s">
        <v>111</v>
      </c>
      <c r="B584" t="b">
        <v>1</v>
      </c>
      <c r="C584" t="s">
        <v>132</v>
      </c>
      <c r="E584">
        <v>670</v>
      </c>
      <c r="F584" t="str">
        <f>HYPERLINK("https://portal.dnb.de/opac.htm?method=simpleSearch&amp;cqlMode=true&amp;query=idn%3D1066834997", "Portal")</f>
        <v>Portal</v>
      </c>
      <c r="G584" t="s">
        <v>125</v>
      </c>
      <c r="H584" t="s">
        <v>2652</v>
      </c>
      <c r="I584" t="s">
        <v>2653</v>
      </c>
      <c r="J584" t="s">
        <v>2654</v>
      </c>
      <c r="K584" t="s">
        <v>2654</v>
      </c>
      <c r="L584" t="s">
        <v>2654</v>
      </c>
      <c r="N584" t="s">
        <v>2655</v>
      </c>
      <c r="O584" t="s">
        <v>117</v>
      </c>
      <c r="S584" t="s">
        <v>146</v>
      </c>
      <c r="AI584" t="s">
        <v>365</v>
      </c>
      <c r="AK584" t="s">
        <v>132</v>
      </c>
      <c r="AM584" t="s">
        <v>179</v>
      </c>
      <c r="AS584" t="s">
        <v>135</v>
      </c>
      <c r="BG584">
        <v>110</v>
      </c>
      <c r="BM584" t="s">
        <v>180</v>
      </c>
      <c r="BN584">
        <v>0.5</v>
      </c>
      <c r="BR584" t="s">
        <v>132</v>
      </c>
      <c r="BZ584" t="s">
        <v>132</v>
      </c>
      <c r="CA584" t="s">
        <v>132</v>
      </c>
      <c r="CB584" t="s">
        <v>132</v>
      </c>
      <c r="CM584">
        <v>0.5</v>
      </c>
    </row>
    <row r="585" spans="1:91" x14ac:dyDescent="0.2">
      <c r="A585" t="s">
        <v>111</v>
      </c>
      <c r="B585" t="b">
        <v>1</v>
      </c>
      <c r="E585">
        <v>671</v>
      </c>
      <c r="F585" t="str">
        <f>HYPERLINK("https://portal.dnb.de/opac.htm?method=simpleSearch&amp;cqlMode=true&amp;query=idn%3D1066961344", "Portal")</f>
        <v>Portal</v>
      </c>
      <c r="G585" t="s">
        <v>125</v>
      </c>
      <c r="H585" t="s">
        <v>2656</v>
      </c>
      <c r="I585" t="s">
        <v>2657</v>
      </c>
      <c r="J585" t="s">
        <v>2658</v>
      </c>
      <c r="K585" t="s">
        <v>2658</v>
      </c>
      <c r="L585" t="s">
        <v>2658</v>
      </c>
      <c r="N585" t="s">
        <v>2659</v>
      </c>
      <c r="O585" t="s">
        <v>117</v>
      </c>
      <c r="R585" t="s">
        <v>157</v>
      </c>
      <c r="S585" t="s">
        <v>146</v>
      </c>
      <c r="T585" t="s">
        <v>122</v>
      </c>
      <c r="U585" t="s">
        <v>2660</v>
      </c>
      <c r="W585" t="s">
        <v>67</v>
      </c>
      <c r="X585" t="s">
        <v>124</v>
      </c>
      <c r="Y585">
        <v>0</v>
      </c>
      <c r="BN585">
        <v>0</v>
      </c>
    </row>
    <row r="586" spans="1:91" x14ac:dyDescent="0.2">
      <c r="A586" t="s">
        <v>111</v>
      </c>
      <c r="B586" t="b">
        <v>1</v>
      </c>
      <c r="F586" t="str">
        <f>HYPERLINK("https://portal.dnb.de/opac.htm?method=simpleSearch&amp;cqlMode=true&amp;query=idn%3D1138311316", "Portal")</f>
        <v>Portal</v>
      </c>
      <c r="G586" t="s">
        <v>319</v>
      </c>
      <c r="H586" t="s">
        <v>2661</v>
      </c>
      <c r="I586" t="s">
        <v>2662</v>
      </c>
      <c r="J586" t="s">
        <v>2663</v>
      </c>
      <c r="K586" t="s">
        <v>2663</v>
      </c>
      <c r="L586" t="s">
        <v>2663</v>
      </c>
      <c r="N586" t="s">
        <v>2664</v>
      </c>
      <c r="O586" t="s">
        <v>117</v>
      </c>
      <c r="BN586">
        <v>0</v>
      </c>
    </row>
    <row r="587" spans="1:91" x14ac:dyDescent="0.2">
      <c r="A587" t="s">
        <v>111</v>
      </c>
      <c r="B587" t="b">
        <v>1</v>
      </c>
      <c r="E587">
        <v>675</v>
      </c>
      <c r="F587" t="str">
        <f>HYPERLINK("https://portal.dnb.de/opac.htm?method=simpleSearch&amp;cqlMode=true&amp;query=idn%3D1066936676", "Portal")</f>
        <v>Portal</v>
      </c>
      <c r="G587" t="s">
        <v>125</v>
      </c>
      <c r="H587" t="s">
        <v>2665</v>
      </c>
      <c r="I587" t="s">
        <v>2666</v>
      </c>
      <c r="J587" t="s">
        <v>2667</v>
      </c>
      <c r="K587" t="s">
        <v>2667</v>
      </c>
      <c r="L587" t="s">
        <v>2667</v>
      </c>
      <c r="N587" t="s">
        <v>2668</v>
      </c>
      <c r="O587" t="s">
        <v>117</v>
      </c>
      <c r="BN587">
        <v>0</v>
      </c>
    </row>
    <row r="588" spans="1:91" x14ac:dyDescent="0.2">
      <c r="A588" t="s">
        <v>111</v>
      </c>
      <c r="B588" t="b">
        <v>1</v>
      </c>
      <c r="E588">
        <v>676</v>
      </c>
      <c r="F588" t="str">
        <f>HYPERLINK("https://portal.dnb.de/opac.htm?method=simpleSearch&amp;cqlMode=true&amp;query=idn%3D1066957347", "Portal")</f>
        <v>Portal</v>
      </c>
      <c r="G588" t="s">
        <v>125</v>
      </c>
      <c r="H588" t="s">
        <v>2669</v>
      </c>
      <c r="I588" t="s">
        <v>2670</v>
      </c>
      <c r="J588" t="s">
        <v>2671</v>
      </c>
      <c r="K588" t="s">
        <v>2671</v>
      </c>
      <c r="L588" t="s">
        <v>2671</v>
      </c>
      <c r="N588" t="s">
        <v>2672</v>
      </c>
      <c r="O588" t="s">
        <v>117</v>
      </c>
      <c r="BN588">
        <v>0</v>
      </c>
    </row>
    <row r="589" spans="1:91" x14ac:dyDescent="0.2">
      <c r="A589" t="s">
        <v>111</v>
      </c>
      <c r="B589" t="b">
        <v>1</v>
      </c>
      <c r="E589">
        <v>677</v>
      </c>
      <c r="F589" t="str">
        <f>HYPERLINK("https://portal.dnb.de/opac.htm?method=simpleSearch&amp;cqlMode=true&amp;query=idn%3D1066963916", "Portal")</f>
        <v>Portal</v>
      </c>
      <c r="G589" t="s">
        <v>125</v>
      </c>
      <c r="H589" t="s">
        <v>2673</v>
      </c>
      <c r="I589" t="s">
        <v>2674</v>
      </c>
      <c r="J589" t="s">
        <v>2675</v>
      </c>
      <c r="K589" t="s">
        <v>2675</v>
      </c>
      <c r="L589" t="s">
        <v>2675</v>
      </c>
      <c r="N589" t="s">
        <v>2676</v>
      </c>
      <c r="O589" t="s">
        <v>117</v>
      </c>
      <c r="S589" t="s">
        <v>121</v>
      </c>
      <c r="AI589" t="s">
        <v>325</v>
      </c>
      <c r="AM589" t="s">
        <v>134</v>
      </c>
      <c r="AS589" t="s">
        <v>135</v>
      </c>
      <c r="BG589">
        <v>110</v>
      </c>
      <c r="BM589" t="s">
        <v>137</v>
      </c>
      <c r="BN589">
        <v>0</v>
      </c>
      <c r="BR589" t="s">
        <v>132</v>
      </c>
      <c r="BV589" t="s">
        <v>355</v>
      </c>
      <c r="BW589" t="s">
        <v>152</v>
      </c>
      <c r="BX589" t="s">
        <v>1146</v>
      </c>
    </row>
    <row r="590" spans="1:91" x14ac:dyDescent="0.2">
      <c r="A590" t="s">
        <v>111</v>
      </c>
      <c r="B590" t="b">
        <v>1</v>
      </c>
      <c r="E590">
        <v>678</v>
      </c>
      <c r="F590" t="str">
        <f>HYPERLINK("https://portal.dnb.de/opac.htm?method=simpleSearch&amp;cqlMode=true&amp;query=idn%3D1066940363", "Portal")</f>
        <v>Portal</v>
      </c>
      <c r="G590" t="s">
        <v>125</v>
      </c>
      <c r="H590" t="s">
        <v>2677</v>
      </c>
      <c r="I590" t="s">
        <v>2678</v>
      </c>
      <c r="J590" t="s">
        <v>2679</v>
      </c>
      <c r="K590" t="s">
        <v>2679</v>
      </c>
      <c r="L590" t="s">
        <v>2679</v>
      </c>
      <c r="N590" t="s">
        <v>2680</v>
      </c>
      <c r="O590" t="s">
        <v>117</v>
      </c>
      <c r="P590" t="s">
        <v>118</v>
      </c>
      <c r="R590" t="s">
        <v>157</v>
      </c>
      <c r="S590" t="s">
        <v>146</v>
      </c>
      <c r="T590" t="s">
        <v>122</v>
      </c>
      <c r="U590" t="s">
        <v>203</v>
      </c>
      <c r="W590" t="s">
        <v>67</v>
      </c>
      <c r="X590" t="s">
        <v>124</v>
      </c>
      <c r="Y590">
        <v>0</v>
      </c>
      <c r="BN590">
        <v>0</v>
      </c>
    </row>
    <row r="591" spans="1:91" x14ac:dyDescent="0.2">
      <c r="A591" t="s">
        <v>111</v>
      </c>
      <c r="B591" t="b">
        <v>1</v>
      </c>
      <c r="E591">
        <v>679</v>
      </c>
      <c r="F591" t="str">
        <f>HYPERLINK("https://portal.dnb.de/opac.htm?method=simpleSearch&amp;cqlMode=true&amp;query=idn%3D1066790078", "Portal")</f>
        <v>Portal</v>
      </c>
      <c r="G591" t="s">
        <v>125</v>
      </c>
      <c r="H591" t="s">
        <v>2681</v>
      </c>
      <c r="I591" t="s">
        <v>2682</v>
      </c>
      <c r="J591" t="s">
        <v>2683</v>
      </c>
      <c r="K591" t="s">
        <v>2683</v>
      </c>
      <c r="L591" t="s">
        <v>2683</v>
      </c>
      <c r="N591" t="s">
        <v>2684</v>
      </c>
      <c r="O591" t="s">
        <v>117</v>
      </c>
      <c r="S591" t="s">
        <v>470</v>
      </c>
      <c r="AI591" t="s">
        <v>149</v>
      </c>
      <c r="AL591" t="s">
        <v>132</v>
      </c>
      <c r="AM591" t="s">
        <v>196</v>
      </c>
      <c r="AS591" t="s">
        <v>135</v>
      </c>
      <c r="BG591">
        <v>110</v>
      </c>
      <c r="BM591" t="s">
        <v>137</v>
      </c>
      <c r="BN591">
        <v>0</v>
      </c>
      <c r="BP591" t="s">
        <v>181</v>
      </c>
    </row>
    <row r="592" spans="1:91" x14ac:dyDescent="0.2">
      <c r="A592" t="s">
        <v>111</v>
      </c>
      <c r="B592" t="b">
        <v>1</v>
      </c>
      <c r="E592">
        <v>680</v>
      </c>
      <c r="F592" t="str">
        <f>HYPERLINK("https://portal.dnb.de/opac.htm?method=simpleSearch&amp;cqlMode=true&amp;query=idn%3D1066962553", "Portal")</f>
        <v>Portal</v>
      </c>
      <c r="G592" t="s">
        <v>125</v>
      </c>
      <c r="H592" t="s">
        <v>2685</v>
      </c>
      <c r="I592" t="s">
        <v>2686</v>
      </c>
      <c r="J592" t="s">
        <v>2687</v>
      </c>
      <c r="K592" t="s">
        <v>2687</v>
      </c>
      <c r="L592" t="s">
        <v>2687</v>
      </c>
      <c r="N592" t="s">
        <v>2688</v>
      </c>
      <c r="O592" t="s">
        <v>117</v>
      </c>
      <c r="BN592">
        <v>0</v>
      </c>
    </row>
    <row r="593" spans="1:92" x14ac:dyDescent="0.2">
      <c r="A593" t="s">
        <v>111</v>
      </c>
      <c r="B593" t="b">
        <v>1</v>
      </c>
      <c r="E593">
        <v>681</v>
      </c>
      <c r="F593" t="str">
        <f>HYPERLINK("https://portal.dnb.de/opac.htm?method=simpleSearch&amp;cqlMode=true&amp;query=idn%3D1066880700", "Portal")</f>
        <v>Portal</v>
      </c>
      <c r="G593" t="s">
        <v>125</v>
      </c>
      <c r="H593" t="s">
        <v>2689</v>
      </c>
      <c r="I593" t="s">
        <v>2690</v>
      </c>
      <c r="J593" t="s">
        <v>2691</v>
      </c>
      <c r="K593" t="s">
        <v>2691</v>
      </c>
      <c r="L593" t="s">
        <v>2691</v>
      </c>
      <c r="N593" t="s">
        <v>2692</v>
      </c>
      <c r="O593" t="s">
        <v>117</v>
      </c>
      <c r="BN593">
        <v>0</v>
      </c>
    </row>
    <row r="594" spans="1:92" x14ac:dyDescent="0.2">
      <c r="A594" t="s">
        <v>111</v>
      </c>
      <c r="B594" t="b">
        <v>1</v>
      </c>
      <c r="C594" t="s">
        <v>132</v>
      </c>
      <c r="E594">
        <v>682</v>
      </c>
      <c r="F594" t="str">
        <f>HYPERLINK("https://portal.dnb.de/opac.htm?method=simpleSearch&amp;cqlMode=true&amp;query=idn%3D1066963169", "Portal")</f>
        <v>Portal</v>
      </c>
      <c r="G594" t="s">
        <v>125</v>
      </c>
      <c r="H594" t="s">
        <v>2693</v>
      </c>
      <c r="I594" t="s">
        <v>2694</v>
      </c>
      <c r="J594" t="s">
        <v>2695</v>
      </c>
      <c r="K594" t="s">
        <v>2695</v>
      </c>
      <c r="L594" t="s">
        <v>2695</v>
      </c>
      <c r="N594" t="s">
        <v>2696</v>
      </c>
      <c r="O594" t="s">
        <v>117</v>
      </c>
      <c r="P594" t="s">
        <v>118</v>
      </c>
      <c r="R594" t="s">
        <v>190</v>
      </c>
      <c r="S594" t="s">
        <v>121</v>
      </c>
      <c r="T594" t="s">
        <v>130</v>
      </c>
      <c r="U594" t="s">
        <v>203</v>
      </c>
      <c r="X594" t="s">
        <v>168</v>
      </c>
      <c r="Y594">
        <v>1</v>
      </c>
      <c r="AI594" t="s">
        <v>365</v>
      </c>
      <c r="AM594" t="s">
        <v>179</v>
      </c>
      <c r="AS594" t="s">
        <v>135</v>
      </c>
      <c r="BG594">
        <v>80</v>
      </c>
      <c r="BM594" t="s">
        <v>180</v>
      </c>
      <c r="BN594">
        <v>1</v>
      </c>
      <c r="BZ594" t="s">
        <v>132</v>
      </c>
      <c r="CB594" t="s">
        <v>132</v>
      </c>
      <c r="CD594" t="s">
        <v>204</v>
      </c>
      <c r="CM594">
        <v>1</v>
      </c>
      <c r="CN594" t="s">
        <v>2697</v>
      </c>
    </row>
    <row r="595" spans="1:92" x14ac:dyDescent="0.2">
      <c r="A595" t="s">
        <v>111</v>
      </c>
      <c r="B595" t="b">
        <v>1</v>
      </c>
      <c r="C595" t="s">
        <v>132</v>
      </c>
      <c r="E595">
        <v>683</v>
      </c>
      <c r="F595" t="str">
        <f>HYPERLINK("https://portal.dnb.de/opac.htm?method=simpleSearch&amp;cqlMode=true&amp;query=idn%3D1066956189", "Portal")</f>
        <v>Portal</v>
      </c>
      <c r="G595" t="s">
        <v>125</v>
      </c>
      <c r="H595" t="s">
        <v>2698</v>
      </c>
      <c r="I595" t="s">
        <v>2699</v>
      </c>
      <c r="J595" t="s">
        <v>2700</v>
      </c>
      <c r="K595" t="s">
        <v>2700</v>
      </c>
      <c r="L595" t="s">
        <v>2700</v>
      </c>
      <c r="N595" t="s">
        <v>2701</v>
      </c>
      <c r="O595" t="s">
        <v>117</v>
      </c>
      <c r="S595" t="s">
        <v>121</v>
      </c>
      <c r="AI595" t="s">
        <v>325</v>
      </c>
      <c r="AM595" t="s">
        <v>134</v>
      </c>
      <c r="AS595" t="s">
        <v>135</v>
      </c>
      <c r="AT595" t="s">
        <v>132</v>
      </c>
      <c r="BG595">
        <v>110</v>
      </c>
      <c r="BM595" t="s">
        <v>180</v>
      </c>
      <c r="BN595">
        <v>0.5</v>
      </c>
      <c r="BR595" t="s">
        <v>132</v>
      </c>
      <c r="BZ595" t="s">
        <v>132</v>
      </c>
      <c r="CB595" t="s">
        <v>132</v>
      </c>
      <c r="CM595">
        <v>0.5</v>
      </c>
    </row>
    <row r="596" spans="1:92" x14ac:dyDescent="0.2">
      <c r="A596" t="s">
        <v>111</v>
      </c>
      <c r="B596" t="b">
        <v>1</v>
      </c>
      <c r="E596">
        <v>684</v>
      </c>
      <c r="F596" t="str">
        <f>HYPERLINK("https://portal.dnb.de/opac.htm?method=simpleSearch&amp;cqlMode=true&amp;query=idn%3D1066956227", "Portal")</f>
        <v>Portal</v>
      </c>
      <c r="G596" t="s">
        <v>125</v>
      </c>
      <c r="H596" t="s">
        <v>2702</v>
      </c>
      <c r="I596" t="s">
        <v>2703</v>
      </c>
      <c r="J596" t="s">
        <v>2704</v>
      </c>
      <c r="K596" t="s">
        <v>2704</v>
      </c>
      <c r="L596" t="s">
        <v>2704</v>
      </c>
      <c r="N596" t="s">
        <v>2705</v>
      </c>
      <c r="O596" t="s">
        <v>117</v>
      </c>
      <c r="S596" t="s">
        <v>121</v>
      </c>
      <c r="AI596" t="s">
        <v>365</v>
      </c>
      <c r="AK596" t="s">
        <v>132</v>
      </c>
      <c r="AM596" t="s">
        <v>134</v>
      </c>
      <c r="AO596" t="s">
        <v>132</v>
      </c>
      <c r="AS596" t="s">
        <v>135</v>
      </c>
      <c r="AT596" t="s">
        <v>132</v>
      </c>
      <c r="BG596">
        <v>80</v>
      </c>
      <c r="BM596" t="s">
        <v>137</v>
      </c>
      <c r="BN596">
        <v>0</v>
      </c>
      <c r="BV596" t="s">
        <v>355</v>
      </c>
      <c r="BY596" t="s">
        <v>198</v>
      </c>
    </row>
    <row r="597" spans="1:92" x14ac:dyDescent="0.2">
      <c r="A597" t="s">
        <v>111</v>
      </c>
      <c r="B597" t="b">
        <v>1</v>
      </c>
      <c r="E597">
        <v>685</v>
      </c>
      <c r="F597" t="str">
        <f>HYPERLINK("https://portal.dnb.de/opac.htm?method=simpleSearch&amp;cqlMode=true&amp;query=idn%3D1066963266", "Portal")</f>
        <v>Portal</v>
      </c>
      <c r="G597" t="s">
        <v>125</v>
      </c>
      <c r="H597" t="s">
        <v>2706</v>
      </c>
      <c r="I597" t="s">
        <v>2707</v>
      </c>
      <c r="J597" t="s">
        <v>2708</v>
      </c>
      <c r="K597" t="s">
        <v>2708</v>
      </c>
      <c r="L597" t="s">
        <v>2708</v>
      </c>
      <c r="N597" t="s">
        <v>2709</v>
      </c>
      <c r="O597" t="s">
        <v>117</v>
      </c>
      <c r="P597" t="s">
        <v>118</v>
      </c>
      <c r="R597" t="s">
        <v>157</v>
      </c>
      <c r="S597" t="s">
        <v>121</v>
      </c>
      <c r="T597" t="s">
        <v>122</v>
      </c>
      <c r="U597" t="s">
        <v>203</v>
      </c>
      <c r="W597" t="s">
        <v>67</v>
      </c>
      <c r="X597" t="s">
        <v>124</v>
      </c>
      <c r="Y597">
        <v>0</v>
      </c>
      <c r="AI597" t="s">
        <v>646</v>
      </c>
      <c r="AL597" t="s">
        <v>132</v>
      </c>
      <c r="AM597" t="s">
        <v>134</v>
      </c>
      <c r="AS597" t="s">
        <v>135</v>
      </c>
      <c r="BC597" t="s">
        <v>136</v>
      </c>
      <c r="BD597" t="s">
        <v>132</v>
      </c>
      <c r="BG597">
        <v>110</v>
      </c>
      <c r="BM597" t="s">
        <v>137</v>
      </c>
      <c r="BN597">
        <v>0</v>
      </c>
      <c r="BP597" t="s">
        <v>181</v>
      </c>
    </row>
    <row r="598" spans="1:92" x14ac:dyDescent="0.2">
      <c r="A598" t="s">
        <v>111</v>
      </c>
      <c r="B598" t="b">
        <v>1</v>
      </c>
      <c r="F598" t="str">
        <f>HYPERLINK("https://portal.dnb.de/opac.htm?method=simpleSearch&amp;cqlMode=true&amp;query=idn%3D1263033296", "Portal")</f>
        <v>Portal</v>
      </c>
      <c r="G598" t="s">
        <v>319</v>
      </c>
      <c r="H598" t="s">
        <v>2710</v>
      </c>
      <c r="I598" t="s">
        <v>2711</v>
      </c>
      <c r="J598" t="s">
        <v>2712</v>
      </c>
      <c r="K598" t="s">
        <v>2712</v>
      </c>
      <c r="L598" t="s">
        <v>2712</v>
      </c>
      <c r="N598" t="s">
        <v>323</v>
      </c>
      <c r="O598" t="s">
        <v>117</v>
      </c>
      <c r="BN598">
        <v>0</v>
      </c>
    </row>
    <row r="599" spans="1:92" x14ac:dyDescent="0.2">
      <c r="A599" t="s">
        <v>111</v>
      </c>
      <c r="B599" t="b">
        <v>1</v>
      </c>
      <c r="E599">
        <v>687</v>
      </c>
      <c r="F599" t="str">
        <f>HYPERLINK("https://portal.dnb.de/opac.htm?method=simpleSearch&amp;cqlMode=true&amp;query=idn%3D1066960143", "Portal")</f>
        <v>Portal</v>
      </c>
      <c r="G599" t="s">
        <v>125</v>
      </c>
      <c r="H599" t="s">
        <v>2713</v>
      </c>
      <c r="I599" t="s">
        <v>2714</v>
      </c>
      <c r="J599" t="s">
        <v>2715</v>
      </c>
      <c r="K599" t="s">
        <v>2715</v>
      </c>
      <c r="L599" t="s">
        <v>2715</v>
      </c>
      <c r="N599" t="s">
        <v>2716</v>
      </c>
      <c r="O599" t="s">
        <v>117</v>
      </c>
      <c r="S599" t="s">
        <v>470</v>
      </c>
      <c r="AI599" t="s">
        <v>149</v>
      </c>
      <c r="AK599" t="s">
        <v>132</v>
      </c>
      <c r="AL599" t="s">
        <v>132</v>
      </c>
      <c r="AM599" t="s">
        <v>134</v>
      </c>
      <c r="AS599" t="s">
        <v>1221</v>
      </c>
      <c r="BG599">
        <v>110</v>
      </c>
      <c r="BM599" t="s">
        <v>137</v>
      </c>
      <c r="BN599">
        <v>0</v>
      </c>
      <c r="BW599" t="s">
        <v>152</v>
      </c>
      <c r="BX599" t="s">
        <v>2717</v>
      </c>
    </row>
    <row r="600" spans="1:92" x14ac:dyDescent="0.2">
      <c r="A600" t="s">
        <v>111</v>
      </c>
      <c r="B600" t="b">
        <v>1</v>
      </c>
      <c r="C600" t="s">
        <v>132</v>
      </c>
      <c r="E600">
        <v>688</v>
      </c>
      <c r="F600" t="str">
        <f>HYPERLINK("https://portal.dnb.de/opac.htm?method=simpleSearch&amp;cqlMode=true&amp;query=idn%3D1066963908", "Portal")</f>
        <v>Portal</v>
      </c>
      <c r="G600" t="s">
        <v>125</v>
      </c>
      <c r="H600" t="s">
        <v>2718</v>
      </c>
      <c r="I600" t="s">
        <v>2719</v>
      </c>
      <c r="J600" t="s">
        <v>2720</v>
      </c>
      <c r="K600" t="s">
        <v>2720</v>
      </c>
      <c r="L600" t="s">
        <v>2720</v>
      </c>
      <c r="N600" t="s">
        <v>2721</v>
      </c>
      <c r="O600" t="s">
        <v>117</v>
      </c>
      <c r="S600" t="s">
        <v>146</v>
      </c>
      <c r="AI600" t="s">
        <v>149</v>
      </c>
      <c r="AK600" t="s">
        <v>132</v>
      </c>
      <c r="AL600" t="s">
        <v>132</v>
      </c>
      <c r="AM600" t="s">
        <v>134</v>
      </c>
      <c r="AS600" t="s">
        <v>1221</v>
      </c>
      <c r="BC600" t="s">
        <v>471</v>
      </c>
      <c r="BD600" t="s">
        <v>132</v>
      </c>
      <c r="BG600">
        <v>110</v>
      </c>
      <c r="BI600" t="s">
        <v>132</v>
      </c>
      <c r="BJ600" t="s">
        <v>2722</v>
      </c>
      <c r="BM600" t="s">
        <v>180</v>
      </c>
      <c r="BN600">
        <v>1</v>
      </c>
      <c r="BV600" t="s">
        <v>2723</v>
      </c>
      <c r="BY600" t="s">
        <v>2724</v>
      </c>
      <c r="CA600" t="s">
        <v>132</v>
      </c>
      <c r="CB600" t="s">
        <v>132</v>
      </c>
      <c r="CC600" t="s">
        <v>132</v>
      </c>
      <c r="CD600" t="s">
        <v>184</v>
      </c>
      <c r="CM600">
        <v>1</v>
      </c>
      <c r="CN600" t="s">
        <v>2725</v>
      </c>
    </row>
    <row r="601" spans="1:92" x14ac:dyDescent="0.2">
      <c r="A601" t="s">
        <v>111</v>
      </c>
      <c r="B601" t="b">
        <v>1</v>
      </c>
      <c r="E601">
        <v>689</v>
      </c>
      <c r="F601" t="str">
        <f>HYPERLINK("https://portal.dnb.de/opac.htm?method=simpleSearch&amp;cqlMode=true&amp;query=idn%3D106694203X", "Portal")</f>
        <v>Portal</v>
      </c>
      <c r="G601" t="s">
        <v>125</v>
      </c>
      <c r="H601" t="s">
        <v>2726</v>
      </c>
      <c r="I601" t="s">
        <v>2727</v>
      </c>
      <c r="J601" t="s">
        <v>2728</v>
      </c>
      <c r="K601" t="s">
        <v>2728</v>
      </c>
      <c r="L601" t="s">
        <v>2728</v>
      </c>
      <c r="N601" t="s">
        <v>2729</v>
      </c>
      <c r="O601" t="s">
        <v>117</v>
      </c>
      <c r="P601" t="s">
        <v>118</v>
      </c>
      <c r="R601" t="s">
        <v>157</v>
      </c>
      <c r="S601" t="s">
        <v>146</v>
      </c>
      <c r="T601" t="s">
        <v>130</v>
      </c>
      <c r="W601" t="s">
        <v>67</v>
      </c>
      <c r="X601" t="s">
        <v>124</v>
      </c>
      <c r="Y601">
        <v>0</v>
      </c>
      <c r="AA601" t="s">
        <v>2730</v>
      </c>
      <c r="BN601">
        <v>0</v>
      </c>
    </row>
    <row r="602" spans="1:92" x14ac:dyDescent="0.2">
      <c r="A602" t="s">
        <v>111</v>
      </c>
      <c r="B602" t="b">
        <v>1</v>
      </c>
      <c r="E602">
        <v>690</v>
      </c>
      <c r="F602" t="str">
        <f>HYPERLINK("https://portal.dnb.de/opac.htm?method=simpleSearch&amp;cqlMode=true&amp;query=idn%3D1066961735", "Portal")</f>
        <v>Portal</v>
      </c>
      <c r="G602" t="s">
        <v>125</v>
      </c>
      <c r="H602" t="s">
        <v>2731</v>
      </c>
      <c r="I602" t="s">
        <v>2732</v>
      </c>
      <c r="J602" t="s">
        <v>2733</v>
      </c>
      <c r="K602" t="s">
        <v>2733</v>
      </c>
      <c r="L602" t="s">
        <v>2733</v>
      </c>
      <c r="N602" t="s">
        <v>2734</v>
      </c>
      <c r="O602" t="s">
        <v>117</v>
      </c>
      <c r="BN602">
        <v>0</v>
      </c>
    </row>
    <row r="603" spans="1:92" x14ac:dyDescent="0.2">
      <c r="A603" t="s">
        <v>111</v>
      </c>
      <c r="B603" t="b">
        <v>1</v>
      </c>
      <c r="E603">
        <v>691</v>
      </c>
      <c r="F603" t="str">
        <f>HYPERLINK("https://portal.dnb.de/opac.htm?method=simpleSearch&amp;cqlMode=true&amp;query=idn%3D1066960151", "Portal")</f>
        <v>Portal</v>
      </c>
      <c r="G603" t="s">
        <v>125</v>
      </c>
      <c r="H603" t="s">
        <v>2735</v>
      </c>
      <c r="I603" t="s">
        <v>2736</v>
      </c>
      <c r="J603" t="s">
        <v>2737</v>
      </c>
      <c r="K603" t="s">
        <v>2737</v>
      </c>
      <c r="L603" t="s">
        <v>2737</v>
      </c>
      <c r="N603" t="s">
        <v>2738</v>
      </c>
      <c r="O603" t="s">
        <v>117</v>
      </c>
      <c r="P603" t="s">
        <v>118</v>
      </c>
      <c r="R603" t="s">
        <v>120</v>
      </c>
      <c r="S603" t="s">
        <v>121</v>
      </c>
      <c r="T603" t="s">
        <v>122</v>
      </c>
      <c r="U603" t="s">
        <v>247</v>
      </c>
      <c r="Y603">
        <v>3</v>
      </c>
      <c r="AI603" t="s">
        <v>365</v>
      </c>
      <c r="AL603" t="s">
        <v>132</v>
      </c>
      <c r="AM603" t="s">
        <v>150</v>
      </c>
      <c r="AS603" t="s">
        <v>135</v>
      </c>
      <c r="BG603">
        <v>45</v>
      </c>
      <c r="BM603" t="s">
        <v>137</v>
      </c>
      <c r="BN603">
        <v>0</v>
      </c>
      <c r="BW603" t="s">
        <v>139</v>
      </c>
    </row>
    <row r="604" spans="1:92" x14ac:dyDescent="0.2">
      <c r="A604" t="s">
        <v>111</v>
      </c>
      <c r="B604" t="b">
        <v>1</v>
      </c>
      <c r="E604">
        <v>692</v>
      </c>
      <c r="F604" t="str">
        <f>HYPERLINK("https://portal.dnb.de/opac.htm?method=simpleSearch&amp;cqlMode=true&amp;query=idn%3D1066960518", "Portal")</f>
        <v>Portal</v>
      </c>
      <c r="G604" t="s">
        <v>125</v>
      </c>
      <c r="H604" t="s">
        <v>2739</v>
      </c>
      <c r="I604" t="s">
        <v>2740</v>
      </c>
      <c r="J604" t="s">
        <v>2741</v>
      </c>
      <c r="K604" t="s">
        <v>2741</v>
      </c>
      <c r="L604" t="s">
        <v>2741</v>
      </c>
      <c r="N604" t="s">
        <v>2742</v>
      </c>
      <c r="O604" t="s">
        <v>117</v>
      </c>
      <c r="S604" t="s">
        <v>146</v>
      </c>
      <c r="AI604" t="s">
        <v>135</v>
      </c>
      <c r="AM604" t="s">
        <v>134</v>
      </c>
      <c r="AS604" t="s">
        <v>135</v>
      </c>
      <c r="BG604" t="s">
        <v>1223</v>
      </c>
      <c r="BM604" t="s">
        <v>137</v>
      </c>
      <c r="BN604">
        <v>0</v>
      </c>
      <c r="BP604" t="s">
        <v>181</v>
      </c>
      <c r="BV604" t="s">
        <v>355</v>
      </c>
      <c r="BW604" t="s">
        <v>152</v>
      </c>
      <c r="BX604" t="s">
        <v>2743</v>
      </c>
    </row>
    <row r="605" spans="1:92" x14ac:dyDescent="0.2">
      <c r="A605" t="s">
        <v>111</v>
      </c>
      <c r="B605" t="b">
        <v>1</v>
      </c>
      <c r="E605">
        <v>693</v>
      </c>
      <c r="F605" t="str">
        <f>HYPERLINK("https://portal.dnb.de/opac.htm?method=simpleSearch&amp;cqlMode=true&amp;query=idn%3D1066937443", "Portal")</f>
        <v>Portal</v>
      </c>
      <c r="G605" t="s">
        <v>125</v>
      </c>
      <c r="H605" t="s">
        <v>2744</v>
      </c>
      <c r="I605" t="s">
        <v>2745</v>
      </c>
      <c r="J605" t="s">
        <v>2746</v>
      </c>
      <c r="K605" t="s">
        <v>2746</v>
      </c>
      <c r="L605" t="s">
        <v>2746</v>
      </c>
      <c r="N605" t="s">
        <v>2747</v>
      </c>
      <c r="O605" t="s">
        <v>117</v>
      </c>
      <c r="P605" t="s">
        <v>118</v>
      </c>
      <c r="R605" t="s">
        <v>145</v>
      </c>
      <c r="S605" t="s">
        <v>146</v>
      </c>
      <c r="T605" t="s">
        <v>122</v>
      </c>
      <c r="U605" t="s">
        <v>123</v>
      </c>
      <c r="W605" t="s">
        <v>147</v>
      </c>
      <c r="X605" t="s">
        <v>124</v>
      </c>
      <c r="Y605">
        <v>0</v>
      </c>
      <c r="AI605" t="s">
        <v>149</v>
      </c>
      <c r="AK605" t="s">
        <v>132</v>
      </c>
      <c r="AM605" t="s">
        <v>179</v>
      </c>
      <c r="AS605" t="s">
        <v>135</v>
      </c>
      <c r="BG605">
        <v>60</v>
      </c>
      <c r="BM605" t="s">
        <v>137</v>
      </c>
      <c r="BN605">
        <v>0</v>
      </c>
      <c r="BR605" t="s">
        <v>132</v>
      </c>
    </row>
    <row r="606" spans="1:92" x14ac:dyDescent="0.2">
      <c r="A606" t="s">
        <v>111</v>
      </c>
      <c r="B606" t="b">
        <v>1</v>
      </c>
      <c r="F606" t="str">
        <f>HYPERLINK("https://portal.dnb.de/opac.htm?method=simpleSearch&amp;cqlMode=true&amp;query=idn%3D1137968877", "Portal")</f>
        <v>Portal</v>
      </c>
      <c r="G606" t="s">
        <v>319</v>
      </c>
      <c r="H606" t="s">
        <v>2748</v>
      </c>
      <c r="I606" t="s">
        <v>2749</v>
      </c>
      <c r="J606" t="s">
        <v>2750</v>
      </c>
      <c r="K606" t="s">
        <v>2750</v>
      </c>
      <c r="L606" t="s">
        <v>2750</v>
      </c>
      <c r="N606" t="s">
        <v>323</v>
      </c>
      <c r="O606" t="s">
        <v>117</v>
      </c>
      <c r="BN606">
        <v>0</v>
      </c>
    </row>
    <row r="607" spans="1:92" x14ac:dyDescent="0.2">
      <c r="A607" t="s">
        <v>111</v>
      </c>
      <c r="B607" t="b">
        <v>1</v>
      </c>
      <c r="E607">
        <v>713</v>
      </c>
      <c r="F607" t="str">
        <f>HYPERLINK("https://portal.dnb.de/opac.htm?method=simpleSearch&amp;cqlMode=true&amp;query=idn%3D999124102", "Portal")</f>
        <v>Portal</v>
      </c>
      <c r="G607" t="s">
        <v>415</v>
      </c>
      <c r="H607" t="s">
        <v>2751</v>
      </c>
      <c r="I607" t="s">
        <v>2752</v>
      </c>
      <c r="J607" t="s">
        <v>2753</v>
      </c>
      <c r="K607" t="s">
        <v>2753</v>
      </c>
      <c r="L607" t="s">
        <v>2753</v>
      </c>
      <c r="N607" t="s">
        <v>2754</v>
      </c>
      <c r="O607" t="s">
        <v>117</v>
      </c>
      <c r="S607" t="s">
        <v>470</v>
      </c>
      <c r="AI607" t="s">
        <v>646</v>
      </c>
      <c r="AL607" t="s">
        <v>132</v>
      </c>
      <c r="AM607" t="s">
        <v>150</v>
      </c>
      <c r="AS607" t="s">
        <v>135</v>
      </c>
      <c r="BG607">
        <v>110</v>
      </c>
      <c r="BM607" t="s">
        <v>137</v>
      </c>
      <c r="BN607">
        <v>0</v>
      </c>
      <c r="BP607" t="s">
        <v>181</v>
      </c>
    </row>
    <row r="608" spans="1:92" x14ac:dyDescent="0.2">
      <c r="A608" t="s">
        <v>111</v>
      </c>
      <c r="B608" t="b">
        <v>0</v>
      </c>
      <c r="E608">
        <v>695</v>
      </c>
      <c r="F608" t="str">
        <f>HYPERLINK("https://portal.dnb.de/opac.htm?method=simpleSearch&amp;cqlMode=true&amp;query=idn%3D1066942358", "Portal")</f>
        <v>Portal</v>
      </c>
      <c r="H608" t="s">
        <v>2755</v>
      </c>
      <c r="I608" t="s">
        <v>2756</v>
      </c>
      <c r="L608" t="s">
        <v>2757</v>
      </c>
      <c r="AD608" t="s">
        <v>489</v>
      </c>
      <c r="BN608">
        <v>0</v>
      </c>
    </row>
    <row r="609" spans="1:92" x14ac:dyDescent="0.2">
      <c r="A609" t="s">
        <v>111</v>
      </c>
      <c r="B609" t="b">
        <v>1</v>
      </c>
      <c r="E609">
        <v>714</v>
      </c>
      <c r="F609" t="str">
        <f>HYPERLINK("https://portal.dnb.de/opac.htm?method=simpleSearch&amp;cqlMode=true&amp;query=idn%3D1066870993", "Portal")</f>
        <v>Portal</v>
      </c>
      <c r="G609" t="s">
        <v>125</v>
      </c>
      <c r="H609" t="s">
        <v>2758</v>
      </c>
      <c r="I609" t="s">
        <v>2759</v>
      </c>
      <c r="J609" t="s">
        <v>2760</v>
      </c>
      <c r="K609" t="s">
        <v>2760</v>
      </c>
      <c r="L609" t="s">
        <v>2760</v>
      </c>
      <c r="N609" t="s">
        <v>2761</v>
      </c>
      <c r="O609" t="s">
        <v>117</v>
      </c>
      <c r="P609" t="s">
        <v>118</v>
      </c>
      <c r="R609" t="s">
        <v>257</v>
      </c>
      <c r="S609" t="s">
        <v>121</v>
      </c>
      <c r="T609" t="s">
        <v>122</v>
      </c>
      <c r="Y609">
        <v>0</v>
      </c>
      <c r="BN609">
        <v>0</v>
      </c>
    </row>
    <row r="610" spans="1:92" x14ac:dyDescent="0.2">
      <c r="A610" t="s">
        <v>111</v>
      </c>
      <c r="B610" t="b">
        <v>1</v>
      </c>
      <c r="E610">
        <v>715</v>
      </c>
      <c r="F610" t="str">
        <f>HYPERLINK("https://portal.dnb.de/opac.htm?method=simpleSearch&amp;cqlMode=true&amp;query=idn%3D1066961956", "Portal")</f>
        <v>Portal</v>
      </c>
      <c r="G610" t="s">
        <v>125</v>
      </c>
      <c r="H610" t="s">
        <v>2762</v>
      </c>
      <c r="I610" t="s">
        <v>2763</v>
      </c>
      <c r="J610" t="s">
        <v>2764</v>
      </c>
      <c r="K610" t="s">
        <v>2764</v>
      </c>
      <c r="L610" t="s">
        <v>2764</v>
      </c>
      <c r="N610" t="s">
        <v>2765</v>
      </c>
      <c r="O610" t="s">
        <v>117</v>
      </c>
      <c r="BN610">
        <v>0</v>
      </c>
    </row>
    <row r="611" spans="1:92" x14ac:dyDescent="0.2">
      <c r="A611" t="s">
        <v>111</v>
      </c>
      <c r="B611" t="b">
        <v>1</v>
      </c>
      <c r="E611">
        <v>716</v>
      </c>
      <c r="F611" t="str">
        <f>HYPERLINK("https://portal.dnb.de/opac.htm?method=simpleSearch&amp;cqlMode=true&amp;query=idn%3D1003104428", "Portal")</f>
        <v>Portal</v>
      </c>
      <c r="G611" t="s">
        <v>112</v>
      </c>
      <c r="H611" t="s">
        <v>2766</v>
      </c>
      <c r="I611" t="s">
        <v>2767</v>
      </c>
      <c r="J611" t="s">
        <v>2768</v>
      </c>
      <c r="K611" t="s">
        <v>2768</v>
      </c>
      <c r="L611" t="s">
        <v>2769</v>
      </c>
      <c r="N611" t="s">
        <v>2770</v>
      </c>
      <c r="O611" t="s">
        <v>117</v>
      </c>
      <c r="BN611">
        <v>0</v>
      </c>
    </row>
    <row r="612" spans="1:92" x14ac:dyDescent="0.2">
      <c r="A612" t="s">
        <v>111</v>
      </c>
      <c r="B612" t="b">
        <v>1</v>
      </c>
      <c r="E612">
        <v>719</v>
      </c>
      <c r="F612" t="str">
        <f>HYPERLINK("https://portal.dnb.de/opac.htm?method=simpleSearch&amp;cqlMode=true&amp;query=idn%3D997592117", "Portal")</f>
        <v>Portal</v>
      </c>
      <c r="G612" t="s">
        <v>415</v>
      </c>
      <c r="H612" t="s">
        <v>2771</v>
      </c>
      <c r="I612" t="s">
        <v>2772</v>
      </c>
      <c r="J612" t="s">
        <v>2773</v>
      </c>
      <c r="K612" t="s">
        <v>2773</v>
      </c>
      <c r="L612" t="s">
        <v>2773</v>
      </c>
      <c r="N612" t="s">
        <v>2774</v>
      </c>
      <c r="O612" t="s">
        <v>117</v>
      </c>
      <c r="R612" t="s">
        <v>374</v>
      </c>
      <c r="S612" t="s">
        <v>121</v>
      </c>
      <c r="T612" t="s">
        <v>122</v>
      </c>
      <c r="W612" t="s">
        <v>252</v>
      </c>
      <c r="X612" t="s">
        <v>124</v>
      </c>
      <c r="Y612">
        <v>0</v>
      </c>
      <c r="AI612" t="s">
        <v>1638</v>
      </c>
      <c r="AS612" t="s">
        <v>135</v>
      </c>
      <c r="BG612">
        <v>180</v>
      </c>
      <c r="BM612" t="s">
        <v>137</v>
      </c>
      <c r="BN612">
        <v>0</v>
      </c>
      <c r="BS612" t="s">
        <v>132</v>
      </c>
    </row>
    <row r="613" spans="1:92" x14ac:dyDescent="0.2">
      <c r="A613" t="s">
        <v>111</v>
      </c>
      <c r="B613" t="b">
        <v>1</v>
      </c>
      <c r="F613" t="str">
        <f>HYPERLINK("https://portal.dnb.de/opac.htm?method=simpleSearch&amp;cqlMode=true&amp;query=idn%3D126787385X", "Portal")</f>
        <v>Portal</v>
      </c>
      <c r="G613" t="s">
        <v>319</v>
      </c>
      <c r="H613" t="s">
        <v>2775</v>
      </c>
      <c r="I613" t="s">
        <v>2776</v>
      </c>
      <c r="J613" t="s">
        <v>2777</v>
      </c>
      <c r="K613" t="s">
        <v>2777</v>
      </c>
      <c r="L613" t="s">
        <v>2777</v>
      </c>
      <c r="N613" t="s">
        <v>338</v>
      </c>
      <c r="O613" t="s">
        <v>117</v>
      </c>
    </row>
    <row r="614" spans="1:92" x14ac:dyDescent="0.2">
      <c r="A614" t="s">
        <v>111</v>
      </c>
      <c r="B614" t="b">
        <v>1</v>
      </c>
      <c r="C614" t="s">
        <v>132</v>
      </c>
      <c r="E614">
        <v>696</v>
      </c>
      <c r="F614" t="str">
        <f>HYPERLINK("https://portal.dnb.de/opac.htm?method=simpleSearch&amp;cqlMode=true&amp;query=idn%3D993888127", "Portal")</f>
        <v>Portal</v>
      </c>
      <c r="G614" t="s">
        <v>112</v>
      </c>
      <c r="H614" t="s">
        <v>2778</v>
      </c>
      <c r="I614" t="s">
        <v>2779</v>
      </c>
      <c r="J614" t="s">
        <v>2780</v>
      </c>
      <c r="K614" t="s">
        <v>2780</v>
      </c>
      <c r="L614" t="s">
        <v>2780</v>
      </c>
      <c r="N614" t="s">
        <v>2781</v>
      </c>
      <c r="O614" t="s">
        <v>117</v>
      </c>
      <c r="S614" t="s">
        <v>121</v>
      </c>
      <c r="AH614" t="s">
        <v>132</v>
      </c>
      <c r="AI614" t="s">
        <v>325</v>
      </c>
      <c r="AK614" t="s">
        <v>132</v>
      </c>
      <c r="AM614" t="s">
        <v>134</v>
      </c>
      <c r="AS614" t="s">
        <v>135</v>
      </c>
      <c r="BG614">
        <v>110</v>
      </c>
      <c r="BM614" t="s">
        <v>180</v>
      </c>
      <c r="BN614">
        <v>0.5</v>
      </c>
      <c r="BR614" t="s">
        <v>132</v>
      </c>
      <c r="BW614" t="s">
        <v>152</v>
      </c>
      <c r="BX614" t="s">
        <v>2782</v>
      </c>
      <c r="BZ614" t="s">
        <v>132</v>
      </c>
      <c r="CB614" t="s">
        <v>132</v>
      </c>
      <c r="CM614">
        <v>0.5</v>
      </c>
    </row>
    <row r="615" spans="1:92" x14ac:dyDescent="0.2">
      <c r="A615" t="s">
        <v>111</v>
      </c>
      <c r="B615" t="b">
        <v>1</v>
      </c>
      <c r="E615">
        <v>721</v>
      </c>
      <c r="F615" t="str">
        <f>HYPERLINK("https://portal.dnb.de/opac.htm?method=simpleSearch&amp;cqlMode=true&amp;query=idn%3D993888585", "Portal")</f>
        <v>Portal</v>
      </c>
      <c r="G615" t="s">
        <v>542</v>
      </c>
      <c r="H615" t="s">
        <v>2783</v>
      </c>
      <c r="I615" t="s">
        <v>2784</v>
      </c>
      <c r="J615" t="s">
        <v>2785</v>
      </c>
      <c r="K615" t="s">
        <v>2785</v>
      </c>
      <c r="L615" t="s">
        <v>2786</v>
      </c>
      <c r="N615" t="s">
        <v>2787</v>
      </c>
      <c r="O615" t="s">
        <v>713</v>
      </c>
      <c r="BN615">
        <v>0</v>
      </c>
    </row>
    <row r="616" spans="1:92" x14ac:dyDescent="0.2">
      <c r="A616" t="s">
        <v>111</v>
      </c>
      <c r="B616" t="b">
        <v>1</v>
      </c>
      <c r="E616">
        <v>720</v>
      </c>
      <c r="F616" t="str">
        <f>HYPERLINK("https://portal.dnb.de/opac.htm?method=simpleSearch&amp;cqlMode=true&amp;query=idn%3D996946691", "Portal")</f>
        <v>Portal</v>
      </c>
      <c r="G616" t="s">
        <v>542</v>
      </c>
      <c r="H616" t="s">
        <v>2788</v>
      </c>
      <c r="I616" t="s">
        <v>2789</v>
      </c>
      <c r="J616" t="s">
        <v>2785</v>
      </c>
      <c r="K616" t="s">
        <v>2785</v>
      </c>
      <c r="L616" t="s">
        <v>2790</v>
      </c>
      <c r="N616" t="s">
        <v>2787</v>
      </c>
      <c r="O616" t="s">
        <v>2007</v>
      </c>
      <c r="R616" t="s">
        <v>163</v>
      </c>
      <c r="S616" t="s">
        <v>121</v>
      </c>
      <c r="T616" t="s">
        <v>130</v>
      </c>
      <c r="U616" t="s">
        <v>203</v>
      </c>
      <c r="Y616">
        <v>0</v>
      </c>
      <c r="BN616">
        <v>0</v>
      </c>
    </row>
    <row r="617" spans="1:92" x14ac:dyDescent="0.2">
      <c r="A617" t="s">
        <v>111</v>
      </c>
      <c r="B617" t="b">
        <v>1</v>
      </c>
      <c r="E617">
        <v>697</v>
      </c>
      <c r="F617" t="str">
        <f>HYPERLINK("https://portal.dnb.de/opac.htm?method=simpleSearch&amp;cqlMode=true&amp;query=idn%3D1066962278", "Portal")</f>
        <v>Portal</v>
      </c>
      <c r="G617" t="s">
        <v>125</v>
      </c>
      <c r="H617" t="s">
        <v>2791</v>
      </c>
      <c r="I617" t="s">
        <v>2792</v>
      </c>
      <c r="J617" t="s">
        <v>2793</v>
      </c>
      <c r="K617" t="s">
        <v>2793</v>
      </c>
      <c r="L617" t="s">
        <v>2793</v>
      </c>
      <c r="N617" t="s">
        <v>2794</v>
      </c>
      <c r="O617" t="s">
        <v>117</v>
      </c>
      <c r="S617" t="s">
        <v>121</v>
      </c>
      <c r="AI617" t="s">
        <v>135</v>
      </c>
      <c r="AK617" t="s">
        <v>132</v>
      </c>
      <c r="AM617" t="s">
        <v>134</v>
      </c>
      <c r="AS617" t="s">
        <v>135</v>
      </c>
      <c r="BG617">
        <v>110</v>
      </c>
      <c r="BM617" t="s">
        <v>137</v>
      </c>
      <c r="BN617">
        <v>0</v>
      </c>
      <c r="BR617" t="s">
        <v>132</v>
      </c>
      <c r="BV617" t="s">
        <v>355</v>
      </c>
      <c r="BW617" t="s">
        <v>152</v>
      </c>
      <c r="BX617" t="s">
        <v>2795</v>
      </c>
    </row>
    <row r="618" spans="1:92" x14ac:dyDescent="0.2">
      <c r="A618" t="s">
        <v>111</v>
      </c>
      <c r="B618" t="b">
        <v>1</v>
      </c>
      <c r="E618">
        <v>698</v>
      </c>
      <c r="F618" t="str">
        <f>HYPERLINK("https://portal.dnb.de/opac.htm?method=simpleSearch&amp;cqlMode=true&amp;query=idn%3D1066962308", "Portal")</f>
        <v>Portal</v>
      </c>
      <c r="G618" t="s">
        <v>125</v>
      </c>
      <c r="H618" t="s">
        <v>2796</v>
      </c>
      <c r="I618" t="s">
        <v>2797</v>
      </c>
      <c r="J618" t="s">
        <v>2798</v>
      </c>
      <c r="K618" t="s">
        <v>2798</v>
      </c>
      <c r="L618" t="s">
        <v>2798</v>
      </c>
      <c r="N618" t="s">
        <v>2799</v>
      </c>
      <c r="O618" t="s">
        <v>117</v>
      </c>
      <c r="P618" t="s">
        <v>118</v>
      </c>
      <c r="R618" t="s">
        <v>145</v>
      </c>
      <c r="S618" t="s">
        <v>121</v>
      </c>
      <c r="T618" t="s">
        <v>130</v>
      </c>
      <c r="U618" t="s">
        <v>2800</v>
      </c>
      <c r="W618" t="s">
        <v>147</v>
      </c>
      <c r="X618" t="s">
        <v>124</v>
      </c>
      <c r="Y618">
        <v>0</v>
      </c>
      <c r="AI618" t="s">
        <v>149</v>
      </c>
      <c r="AK618" t="s">
        <v>132</v>
      </c>
      <c r="AM618" t="s">
        <v>179</v>
      </c>
      <c r="AS618" t="s">
        <v>135</v>
      </c>
      <c r="BG618">
        <v>45</v>
      </c>
      <c r="BM618" t="s">
        <v>137</v>
      </c>
      <c r="BN618">
        <v>0</v>
      </c>
      <c r="BR618" t="s">
        <v>132</v>
      </c>
      <c r="BW618" t="s">
        <v>139</v>
      </c>
    </row>
    <row r="619" spans="1:92" x14ac:dyDescent="0.2">
      <c r="A619" t="s">
        <v>111</v>
      </c>
      <c r="B619" t="b">
        <v>1</v>
      </c>
      <c r="E619">
        <v>722</v>
      </c>
      <c r="F619" t="str">
        <f>HYPERLINK("https://portal.dnb.de/opac.htm?method=simpleSearch&amp;cqlMode=true&amp;query=idn%3D1002012155", "Portal")</f>
        <v>Portal</v>
      </c>
      <c r="G619" t="s">
        <v>112</v>
      </c>
      <c r="H619" t="s">
        <v>2801</v>
      </c>
      <c r="I619" t="s">
        <v>2802</v>
      </c>
      <c r="J619" t="s">
        <v>2803</v>
      </c>
      <c r="K619" t="s">
        <v>2803</v>
      </c>
      <c r="L619" t="s">
        <v>2803</v>
      </c>
      <c r="N619" t="s">
        <v>2804</v>
      </c>
      <c r="O619" t="s">
        <v>117</v>
      </c>
      <c r="P619" t="s">
        <v>118</v>
      </c>
      <c r="R619" t="s">
        <v>257</v>
      </c>
      <c r="S619" t="s">
        <v>121</v>
      </c>
      <c r="T619" t="s">
        <v>122</v>
      </c>
      <c r="X619" t="s">
        <v>168</v>
      </c>
      <c r="Y619">
        <v>0</v>
      </c>
      <c r="BN619">
        <v>0</v>
      </c>
    </row>
    <row r="620" spans="1:92" x14ac:dyDescent="0.2">
      <c r="A620" t="s">
        <v>111</v>
      </c>
      <c r="B620" t="b">
        <v>1</v>
      </c>
      <c r="E620">
        <v>723</v>
      </c>
      <c r="F620" t="str">
        <f>HYPERLINK("https://portal.dnb.de/opac.htm?method=simpleSearch&amp;cqlMode=true&amp;query=idn%3D106695965X", "Portal")</f>
        <v>Portal</v>
      </c>
      <c r="G620" t="s">
        <v>125</v>
      </c>
      <c r="H620" t="s">
        <v>2805</v>
      </c>
      <c r="I620" t="s">
        <v>2806</v>
      </c>
      <c r="J620" t="s">
        <v>2807</v>
      </c>
      <c r="K620" t="s">
        <v>2807</v>
      </c>
      <c r="L620" t="s">
        <v>2807</v>
      </c>
      <c r="N620" t="s">
        <v>2808</v>
      </c>
      <c r="O620" t="s">
        <v>117</v>
      </c>
      <c r="P620" t="s">
        <v>118</v>
      </c>
      <c r="R620" t="s">
        <v>257</v>
      </c>
      <c r="S620" t="s">
        <v>121</v>
      </c>
      <c r="T620" t="s">
        <v>122</v>
      </c>
      <c r="Y620">
        <v>0</v>
      </c>
      <c r="BN620">
        <v>0</v>
      </c>
    </row>
    <row r="621" spans="1:92" x14ac:dyDescent="0.2">
      <c r="A621" t="s">
        <v>111</v>
      </c>
      <c r="B621" t="b">
        <v>1</v>
      </c>
      <c r="C621" t="s">
        <v>132</v>
      </c>
      <c r="E621">
        <v>699</v>
      </c>
      <c r="F621" t="str">
        <f>HYPERLINK("https://portal.dnb.de/opac.htm?method=simpleSearch&amp;cqlMode=true&amp;query=idn%3D1066957533", "Portal")</f>
        <v>Portal</v>
      </c>
      <c r="G621" t="s">
        <v>125</v>
      </c>
      <c r="H621" t="s">
        <v>2809</v>
      </c>
      <c r="I621" t="s">
        <v>2810</v>
      </c>
      <c r="J621" t="s">
        <v>2811</v>
      </c>
      <c r="K621" t="s">
        <v>2811</v>
      </c>
      <c r="L621" t="s">
        <v>2811</v>
      </c>
      <c r="N621" t="s">
        <v>2812</v>
      </c>
      <c r="O621" t="s">
        <v>117</v>
      </c>
      <c r="P621" t="s">
        <v>118</v>
      </c>
      <c r="R621" t="s">
        <v>190</v>
      </c>
      <c r="S621" t="s">
        <v>121</v>
      </c>
      <c r="T621" t="s">
        <v>130</v>
      </c>
      <c r="U621" t="s">
        <v>500</v>
      </c>
      <c r="Y621">
        <v>3</v>
      </c>
      <c r="AA621" t="s">
        <v>2813</v>
      </c>
      <c r="AI621" t="s">
        <v>365</v>
      </c>
      <c r="AK621" t="s">
        <v>132</v>
      </c>
      <c r="AM621" t="s">
        <v>134</v>
      </c>
      <c r="AO621" t="s">
        <v>132</v>
      </c>
      <c r="AS621" t="s">
        <v>135</v>
      </c>
      <c r="AT621" t="s">
        <v>132</v>
      </c>
      <c r="BG621">
        <v>80</v>
      </c>
      <c r="BM621" t="s">
        <v>180</v>
      </c>
      <c r="BN621">
        <v>0.5</v>
      </c>
      <c r="BV621" t="s">
        <v>2578</v>
      </c>
      <c r="BY621" t="s">
        <v>2814</v>
      </c>
      <c r="BZ621" t="s">
        <v>132</v>
      </c>
      <c r="CA621" t="s">
        <v>132</v>
      </c>
      <c r="CB621" t="s">
        <v>132</v>
      </c>
      <c r="CD621" t="s">
        <v>184</v>
      </c>
      <c r="CM621">
        <v>0.5</v>
      </c>
      <c r="CN621" t="s">
        <v>2815</v>
      </c>
    </row>
    <row r="622" spans="1:92" x14ac:dyDescent="0.2">
      <c r="A622" t="s">
        <v>111</v>
      </c>
      <c r="B622" t="b">
        <v>1</v>
      </c>
      <c r="E622">
        <v>700</v>
      </c>
      <c r="F622" t="str">
        <f>HYPERLINK("https://portal.dnb.de/opac.htm?method=simpleSearch&amp;cqlMode=true&amp;query=idn%3D1066963452", "Portal")</f>
        <v>Portal</v>
      </c>
      <c r="G622" t="s">
        <v>125</v>
      </c>
      <c r="H622" t="s">
        <v>2816</v>
      </c>
      <c r="I622" t="s">
        <v>2817</v>
      </c>
      <c r="J622" t="s">
        <v>2818</v>
      </c>
      <c r="K622" t="s">
        <v>2818</v>
      </c>
      <c r="L622" t="s">
        <v>2818</v>
      </c>
      <c r="N622" t="s">
        <v>2819</v>
      </c>
      <c r="O622" t="s">
        <v>117</v>
      </c>
      <c r="P622" t="s">
        <v>118</v>
      </c>
      <c r="R622" t="s">
        <v>190</v>
      </c>
      <c r="S622" t="s">
        <v>121</v>
      </c>
      <c r="T622" t="s">
        <v>122</v>
      </c>
      <c r="U622" t="s">
        <v>203</v>
      </c>
      <c r="Y622">
        <v>1</v>
      </c>
      <c r="AI622" t="s">
        <v>365</v>
      </c>
      <c r="AM622" t="s">
        <v>134</v>
      </c>
      <c r="AS622" t="s">
        <v>135</v>
      </c>
      <c r="BG622">
        <v>80</v>
      </c>
      <c r="BM622" t="s">
        <v>137</v>
      </c>
      <c r="BN622">
        <v>0</v>
      </c>
      <c r="BV622" t="s">
        <v>355</v>
      </c>
    </row>
    <row r="623" spans="1:92" x14ac:dyDescent="0.2">
      <c r="A623" t="s">
        <v>111</v>
      </c>
      <c r="B623" t="b">
        <v>1</v>
      </c>
      <c r="E623">
        <v>701</v>
      </c>
      <c r="F623" t="str">
        <f>HYPERLINK("https://portal.dnb.de/opac.htm?method=simpleSearch&amp;cqlMode=true&amp;query=idn%3D1066957479", "Portal")</f>
        <v>Portal</v>
      </c>
      <c r="G623" t="s">
        <v>125</v>
      </c>
      <c r="H623" t="s">
        <v>2820</v>
      </c>
      <c r="I623" t="s">
        <v>2821</v>
      </c>
      <c r="J623" t="s">
        <v>2822</v>
      </c>
      <c r="K623" t="s">
        <v>2822</v>
      </c>
      <c r="L623" t="s">
        <v>2822</v>
      </c>
      <c r="N623" t="s">
        <v>2823</v>
      </c>
      <c r="O623" t="s">
        <v>117</v>
      </c>
      <c r="R623" t="s">
        <v>284</v>
      </c>
      <c r="S623" t="s">
        <v>121</v>
      </c>
      <c r="T623" t="s">
        <v>130</v>
      </c>
      <c r="W623" t="s">
        <v>67</v>
      </c>
      <c r="X623" t="s">
        <v>124</v>
      </c>
      <c r="AA623" t="s">
        <v>2730</v>
      </c>
      <c r="BN623">
        <v>0</v>
      </c>
    </row>
    <row r="624" spans="1:92" x14ac:dyDescent="0.2">
      <c r="A624" t="s">
        <v>111</v>
      </c>
      <c r="B624" t="b">
        <v>1</v>
      </c>
      <c r="E624">
        <v>702</v>
      </c>
      <c r="F624" t="str">
        <f>HYPERLINK("https://portal.dnb.de/opac.htm?method=simpleSearch&amp;cqlMode=true&amp;query=idn%3D1066873062", "Portal")</f>
        <v>Portal</v>
      </c>
      <c r="G624" t="s">
        <v>125</v>
      </c>
      <c r="H624" t="s">
        <v>2824</v>
      </c>
      <c r="I624" t="s">
        <v>2825</v>
      </c>
      <c r="J624" t="s">
        <v>2826</v>
      </c>
      <c r="K624" t="s">
        <v>2826</v>
      </c>
      <c r="L624" t="s">
        <v>2826</v>
      </c>
      <c r="N624" t="s">
        <v>2827</v>
      </c>
      <c r="O624" t="s">
        <v>117</v>
      </c>
      <c r="P624" t="s">
        <v>118</v>
      </c>
      <c r="R624" t="s">
        <v>257</v>
      </c>
      <c r="S624" t="s">
        <v>121</v>
      </c>
      <c r="T624" t="s">
        <v>122</v>
      </c>
      <c r="Y624">
        <v>1</v>
      </c>
      <c r="BN624">
        <v>0</v>
      </c>
    </row>
    <row r="625" spans="1:111" x14ac:dyDescent="0.2">
      <c r="A625" t="s">
        <v>111</v>
      </c>
      <c r="B625" t="b">
        <v>1</v>
      </c>
      <c r="E625">
        <v>703</v>
      </c>
      <c r="F625" t="str">
        <f>HYPERLINK("https://portal.dnb.de/opac.htm?method=simpleSearch&amp;cqlMode=true&amp;query=idn%3D1066962995", "Portal")</f>
        <v>Portal</v>
      </c>
      <c r="G625" t="s">
        <v>125</v>
      </c>
      <c r="H625" t="s">
        <v>2828</v>
      </c>
      <c r="I625" t="s">
        <v>2829</v>
      </c>
      <c r="J625" t="s">
        <v>2830</v>
      </c>
      <c r="K625" t="s">
        <v>2830</v>
      </c>
      <c r="L625" t="s">
        <v>2830</v>
      </c>
      <c r="N625" t="s">
        <v>2831</v>
      </c>
      <c r="O625" t="s">
        <v>117</v>
      </c>
      <c r="P625" t="s">
        <v>118</v>
      </c>
      <c r="R625" t="s">
        <v>190</v>
      </c>
      <c r="S625" t="s">
        <v>146</v>
      </c>
      <c r="T625" t="s">
        <v>130</v>
      </c>
      <c r="U625" t="s">
        <v>203</v>
      </c>
      <c r="X625" t="s">
        <v>168</v>
      </c>
      <c r="Y625">
        <v>0</v>
      </c>
      <c r="BN625">
        <v>0</v>
      </c>
    </row>
    <row r="626" spans="1:111" x14ac:dyDescent="0.2">
      <c r="A626" t="s">
        <v>111</v>
      </c>
      <c r="B626" t="b">
        <v>1</v>
      </c>
      <c r="E626">
        <v>724</v>
      </c>
      <c r="F626" t="str">
        <f>HYPERLINK("https://portal.dnb.de/opac.htm?method=simpleSearch&amp;cqlMode=true&amp;query=idn%3D998402117", "Portal")</f>
        <v>Portal</v>
      </c>
      <c r="G626" t="s">
        <v>112</v>
      </c>
      <c r="H626" t="s">
        <v>2832</v>
      </c>
      <c r="I626" t="s">
        <v>2833</v>
      </c>
      <c r="J626" t="s">
        <v>2834</v>
      </c>
      <c r="K626" t="s">
        <v>2834</v>
      </c>
      <c r="L626" t="s">
        <v>2835</v>
      </c>
      <c r="N626" t="s">
        <v>2836</v>
      </c>
      <c r="O626" t="s">
        <v>117</v>
      </c>
      <c r="R626" t="s">
        <v>257</v>
      </c>
      <c r="S626" t="s">
        <v>121</v>
      </c>
      <c r="T626" t="s">
        <v>122</v>
      </c>
      <c r="U626" t="s">
        <v>203</v>
      </c>
      <c r="Y626">
        <v>0</v>
      </c>
      <c r="AH626" t="s">
        <v>132</v>
      </c>
      <c r="AI626" t="s">
        <v>135</v>
      </c>
      <c r="AM626" t="s">
        <v>134</v>
      </c>
      <c r="AS626" t="s">
        <v>135</v>
      </c>
      <c r="BG626">
        <v>110</v>
      </c>
      <c r="BM626" t="s">
        <v>137</v>
      </c>
      <c r="BN626">
        <v>0</v>
      </c>
      <c r="BV626" t="s">
        <v>355</v>
      </c>
    </row>
    <row r="627" spans="1:111" x14ac:dyDescent="0.2">
      <c r="A627" t="s">
        <v>111</v>
      </c>
      <c r="B627" t="b">
        <v>1</v>
      </c>
      <c r="C627" t="s">
        <v>132</v>
      </c>
      <c r="F627" t="str">
        <f>HYPERLINK("https://portal.dnb.de/opac.htm?method=simpleSearch&amp;cqlMode=true&amp;query=idn%3D1267532122", "Portal")</f>
        <v>Portal</v>
      </c>
      <c r="G627" t="s">
        <v>319</v>
      </c>
      <c r="H627" t="s">
        <v>2837</v>
      </c>
      <c r="I627" t="s">
        <v>2838</v>
      </c>
      <c r="J627" t="s">
        <v>2839</v>
      </c>
      <c r="K627" t="s">
        <v>2839</v>
      </c>
      <c r="L627" t="s">
        <v>2839</v>
      </c>
      <c r="N627" t="s">
        <v>338</v>
      </c>
      <c r="O627" t="s">
        <v>117</v>
      </c>
      <c r="R627" t="s">
        <v>284</v>
      </c>
      <c r="S627" t="s">
        <v>121</v>
      </c>
      <c r="T627" t="s">
        <v>130</v>
      </c>
      <c r="W627" t="s">
        <v>229</v>
      </c>
      <c r="X627" t="s">
        <v>302</v>
      </c>
      <c r="Y627">
        <v>1</v>
      </c>
      <c r="AI627" t="s">
        <v>149</v>
      </c>
      <c r="AM627" t="s">
        <v>196</v>
      </c>
      <c r="AS627" t="s">
        <v>135</v>
      </c>
      <c r="BG627">
        <v>60</v>
      </c>
      <c r="BM627" t="s">
        <v>180</v>
      </c>
      <c r="BN627">
        <v>2.5</v>
      </c>
      <c r="BT627" t="s">
        <v>562</v>
      </c>
      <c r="BU627" t="s">
        <v>132</v>
      </c>
      <c r="BY627" t="s">
        <v>2840</v>
      </c>
      <c r="BZ627" t="s">
        <v>132</v>
      </c>
      <c r="CB627" t="s">
        <v>132</v>
      </c>
      <c r="CM627">
        <v>1</v>
      </c>
      <c r="CN627" t="s">
        <v>2841</v>
      </c>
      <c r="CO627" t="s">
        <v>132</v>
      </c>
      <c r="CX627" t="s">
        <v>2842</v>
      </c>
      <c r="DF627">
        <v>1.5</v>
      </c>
      <c r="DG627" t="s">
        <v>2843</v>
      </c>
    </row>
    <row r="628" spans="1:111" x14ac:dyDescent="0.2">
      <c r="A628" t="s">
        <v>111</v>
      </c>
      <c r="B628" t="b">
        <v>1</v>
      </c>
      <c r="E628">
        <v>704</v>
      </c>
      <c r="F628" t="str">
        <f>HYPERLINK("https://portal.dnb.de/opac.htm?method=simpleSearch&amp;cqlMode=true&amp;query=idn%3D106695741X", "Portal")</f>
        <v>Portal</v>
      </c>
      <c r="G628" t="s">
        <v>125</v>
      </c>
      <c r="H628" t="s">
        <v>2844</v>
      </c>
      <c r="I628" t="s">
        <v>2845</v>
      </c>
      <c r="J628" t="s">
        <v>2846</v>
      </c>
      <c r="K628" t="s">
        <v>2846</v>
      </c>
      <c r="L628" t="s">
        <v>2846</v>
      </c>
      <c r="N628" t="s">
        <v>2847</v>
      </c>
      <c r="O628" t="s">
        <v>117</v>
      </c>
      <c r="P628" t="s">
        <v>118</v>
      </c>
      <c r="R628" t="s">
        <v>145</v>
      </c>
      <c r="S628" t="s">
        <v>146</v>
      </c>
      <c r="T628" t="s">
        <v>130</v>
      </c>
      <c r="U628" t="s">
        <v>2848</v>
      </c>
      <c r="Y628">
        <v>3</v>
      </c>
      <c r="BN628">
        <v>0</v>
      </c>
    </row>
    <row r="629" spans="1:111" x14ac:dyDescent="0.2">
      <c r="A629" t="s">
        <v>111</v>
      </c>
      <c r="B629" t="b">
        <v>1</v>
      </c>
      <c r="E629">
        <v>705</v>
      </c>
      <c r="F629" t="str">
        <f>HYPERLINK("https://portal.dnb.de/opac.htm?method=simpleSearch&amp;cqlMode=true&amp;query=idn%3D106696341X", "Portal")</f>
        <v>Portal</v>
      </c>
      <c r="G629" t="s">
        <v>125</v>
      </c>
      <c r="H629" t="s">
        <v>2849</v>
      </c>
      <c r="I629" t="s">
        <v>2850</v>
      </c>
      <c r="J629" t="s">
        <v>2851</v>
      </c>
      <c r="K629" t="s">
        <v>2851</v>
      </c>
      <c r="L629" t="s">
        <v>2851</v>
      </c>
      <c r="N629" t="s">
        <v>2852</v>
      </c>
      <c r="O629" t="s">
        <v>117</v>
      </c>
      <c r="P629" t="s">
        <v>118</v>
      </c>
      <c r="R629" t="s">
        <v>238</v>
      </c>
      <c r="S629" t="s">
        <v>146</v>
      </c>
      <c r="T629" t="s">
        <v>130</v>
      </c>
      <c r="U629" t="s">
        <v>203</v>
      </c>
      <c r="W629" t="s">
        <v>147</v>
      </c>
      <c r="X629" t="s">
        <v>124</v>
      </c>
      <c r="Y629">
        <v>0</v>
      </c>
      <c r="AI629" t="s">
        <v>325</v>
      </c>
      <c r="AK629" t="s">
        <v>132</v>
      </c>
      <c r="AL629" t="s">
        <v>132</v>
      </c>
      <c r="AM629" t="s">
        <v>134</v>
      </c>
      <c r="AS629" t="s">
        <v>135</v>
      </c>
      <c r="BG629">
        <v>110</v>
      </c>
      <c r="BM629" t="s">
        <v>137</v>
      </c>
      <c r="BN629">
        <v>0</v>
      </c>
      <c r="BR629" t="s">
        <v>132</v>
      </c>
      <c r="BV629" t="s">
        <v>355</v>
      </c>
    </row>
    <row r="630" spans="1:111" x14ac:dyDescent="0.2">
      <c r="A630" t="s">
        <v>111</v>
      </c>
      <c r="B630" t="b">
        <v>1</v>
      </c>
      <c r="E630">
        <v>706</v>
      </c>
      <c r="F630" t="str">
        <f>HYPERLINK("https://portal.dnb.de/opac.htm?method=simpleSearch&amp;cqlMode=true&amp;query=idn%3D1066961476", "Portal")</f>
        <v>Portal</v>
      </c>
      <c r="G630" t="s">
        <v>125</v>
      </c>
      <c r="H630" t="s">
        <v>2853</v>
      </c>
      <c r="I630" t="s">
        <v>2854</v>
      </c>
      <c r="J630" t="s">
        <v>2855</v>
      </c>
      <c r="K630" t="s">
        <v>2855</v>
      </c>
      <c r="L630" t="s">
        <v>2855</v>
      </c>
      <c r="N630" t="s">
        <v>2856</v>
      </c>
      <c r="O630" t="s">
        <v>117</v>
      </c>
      <c r="P630" t="s">
        <v>118</v>
      </c>
      <c r="R630" t="s">
        <v>257</v>
      </c>
      <c r="S630" t="s">
        <v>121</v>
      </c>
      <c r="T630" t="s">
        <v>130</v>
      </c>
      <c r="U630" t="s">
        <v>203</v>
      </c>
      <c r="X630" t="s">
        <v>168</v>
      </c>
      <c r="Y630">
        <v>0</v>
      </c>
      <c r="BN630">
        <v>0</v>
      </c>
    </row>
    <row r="631" spans="1:111" x14ac:dyDescent="0.2">
      <c r="A631" t="s">
        <v>111</v>
      </c>
      <c r="B631" t="b">
        <v>0</v>
      </c>
      <c r="E631">
        <v>707</v>
      </c>
      <c r="F631" t="str">
        <f>HYPERLINK("https://portal.dnb.de/opac.htm?method=simpleSearch&amp;cqlMode=true&amp;query=idn%3D1066758840", "Portal")</f>
        <v>Portal</v>
      </c>
      <c r="H631" t="s">
        <v>2857</v>
      </c>
      <c r="I631" t="s">
        <v>2858</v>
      </c>
      <c r="L631" t="s">
        <v>2859</v>
      </c>
      <c r="R631" t="s">
        <v>120</v>
      </c>
      <c r="S631" t="s">
        <v>146</v>
      </c>
      <c r="T631" t="s">
        <v>122</v>
      </c>
      <c r="W631" t="s">
        <v>252</v>
      </c>
      <c r="X631" t="s">
        <v>124</v>
      </c>
      <c r="Y631">
        <v>2</v>
      </c>
      <c r="AA631" t="s">
        <v>2860</v>
      </c>
      <c r="BN631">
        <v>0</v>
      </c>
    </row>
    <row r="632" spans="1:111" x14ac:dyDescent="0.2">
      <c r="A632" t="s">
        <v>111</v>
      </c>
      <c r="B632" t="b">
        <v>1</v>
      </c>
      <c r="E632">
        <v>708</v>
      </c>
      <c r="F632" t="str">
        <f>HYPERLINK("https://portal.dnb.de/opac.htm?method=simpleSearch&amp;cqlMode=true&amp;query=idn%3D1066777829", "Portal")</f>
        <v>Portal</v>
      </c>
      <c r="G632" t="s">
        <v>125</v>
      </c>
      <c r="H632" t="s">
        <v>2861</v>
      </c>
      <c r="I632" t="s">
        <v>2862</v>
      </c>
      <c r="J632" t="s">
        <v>2863</v>
      </c>
      <c r="K632" t="s">
        <v>2863</v>
      </c>
      <c r="L632" t="s">
        <v>2863</v>
      </c>
      <c r="N632" t="s">
        <v>2864</v>
      </c>
      <c r="O632" t="s">
        <v>117</v>
      </c>
      <c r="P632" t="s">
        <v>118</v>
      </c>
      <c r="R632" t="s">
        <v>157</v>
      </c>
      <c r="S632" t="s">
        <v>121</v>
      </c>
      <c r="T632" t="s">
        <v>122</v>
      </c>
      <c r="U632" t="s">
        <v>203</v>
      </c>
      <c r="X632" t="s">
        <v>168</v>
      </c>
      <c r="Y632">
        <v>0</v>
      </c>
      <c r="BN632">
        <v>0</v>
      </c>
    </row>
    <row r="633" spans="1:111" x14ac:dyDescent="0.2">
      <c r="A633" t="s">
        <v>111</v>
      </c>
      <c r="B633" t="b">
        <v>1</v>
      </c>
      <c r="E633">
        <v>709</v>
      </c>
      <c r="F633" t="str">
        <f>HYPERLINK("https://portal.dnb.de/opac.htm?method=simpleSearch&amp;cqlMode=true&amp;query=idn%3D106695772X", "Portal")</f>
        <v>Portal</v>
      </c>
      <c r="G633" t="s">
        <v>125</v>
      </c>
      <c r="H633" t="s">
        <v>2865</v>
      </c>
      <c r="I633" t="s">
        <v>2866</v>
      </c>
      <c r="J633" t="s">
        <v>2867</v>
      </c>
      <c r="K633" t="s">
        <v>2867</v>
      </c>
      <c r="L633" t="s">
        <v>2867</v>
      </c>
      <c r="N633" t="s">
        <v>2868</v>
      </c>
      <c r="O633" t="s">
        <v>117</v>
      </c>
      <c r="P633" t="s">
        <v>118</v>
      </c>
      <c r="R633" t="s">
        <v>190</v>
      </c>
      <c r="S633" t="s">
        <v>121</v>
      </c>
      <c r="T633" t="s">
        <v>122</v>
      </c>
      <c r="X633" t="s">
        <v>168</v>
      </c>
      <c r="Y633">
        <v>0</v>
      </c>
      <c r="BN633">
        <v>0</v>
      </c>
    </row>
    <row r="634" spans="1:111" x14ac:dyDescent="0.2">
      <c r="A634" t="s">
        <v>111</v>
      </c>
      <c r="B634" t="b">
        <v>1</v>
      </c>
      <c r="F634" t="str">
        <f>HYPERLINK("https://portal.dnb.de/opac.htm?method=simpleSearch&amp;cqlMode=true&amp;query=idn%3D1272437973", "Portal")</f>
        <v>Portal</v>
      </c>
      <c r="G634" t="s">
        <v>112</v>
      </c>
      <c r="H634" t="s">
        <v>2869</v>
      </c>
      <c r="I634" t="s">
        <v>2870</v>
      </c>
      <c r="J634" t="s">
        <v>2871</v>
      </c>
      <c r="K634" t="s">
        <v>2872</v>
      </c>
      <c r="L634" t="s">
        <v>2872</v>
      </c>
      <c r="N634" t="s">
        <v>2873</v>
      </c>
      <c r="O634" t="s">
        <v>117</v>
      </c>
      <c r="P634" t="s">
        <v>118</v>
      </c>
      <c r="R634" t="s">
        <v>190</v>
      </c>
      <c r="S634" t="s">
        <v>121</v>
      </c>
      <c r="T634" t="s">
        <v>130</v>
      </c>
      <c r="U634" t="s">
        <v>123</v>
      </c>
      <c r="X634" t="s">
        <v>168</v>
      </c>
      <c r="Y634">
        <v>0</v>
      </c>
      <c r="AA634" t="s">
        <v>2874</v>
      </c>
      <c r="BN634">
        <v>0</v>
      </c>
    </row>
    <row r="635" spans="1:111" x14ac:dyDescent="0.2">
      <c r="A635" t="s">
        <v>111</v>
      </c>
      <c r="B635" t="b">
        <v>1</v>
      </c>
      <c r="F635" t="str">
        <f>HYPERLINK("https://portal.dnb.de/opac.htm?method=simpleSearch&amp;cqlMode=true&amp;query=idn%3D127243432X", "Portal")</f>
        <v>Portal</v>
      </c>
      <c r="G635" t="s">
        <v>112</v>
      </c>
      <c r="H635" t="s">
        <v>2875</v>
      </c>
      <c r="I635" t="s">
        <v>2876</v>
      </c>
      <c r="J635" t="s">
        <v>2877</v>
      </c>
      <c r="K635" t="s">
        <v>2877</v>
      </c>
      <c r="L635" t="s">
        <v>2877</v>
      </c>
      <c r="N635" t="s">
        <v>2878</v>
      </c>
      <c r="O635" t="s">
        <v>117</v>
      </c>
      <c r="P635" t="s">
        <v>118</v>
      </c>
      <c r="R635" t="s">
        <v>374</v>
      </c>
      <c r="S635" t="s">
        <v>121</v>
      </c>
      <c r="T635" t="s">
        <v>122</v>
      </c>
      <c r="W635" t="s">
        <v>252</v>
      </c>
      <c r="Y635">
        <v>0</v>
      </c>
      <c r="AI635" t="s">
        <v>1684</v>
      </c>
      <c r="AS635" t="s">
        <v>135</v>
      </c>
      <c r="BG635">
        <v>180</v>
      </c>
      <c r="BM635" t="s">
        <v>137</v>
      </c>
      <c r="BN635">
        <v>0</v>
      </c>
      <c r="BS635" t="s">
        <v>132</v>
      </c>
    </row>
    <row r="636" spans="1:111" x14ac:dyDescent="0.2">
      <c r="A636" t="s">
        <v>111</v>
      </c>
      <c r="B636" t="b">
        <v>1</v>
      </c>
      <c r="E636">
        <v>710</v>
      </c>
      <c r="F636" t="str">
        <f>HYPERLINK("https://portal.dnb.de/opac.htm?method=simpleSearch&amp;cqlMode=true&amp;query=idn%3D1066958424", "Portal")</f>
        <v>Portal</v>
      </c>
      <c r="G636" t="s">
        <v>125</v>
      </c>
      <c r="H636" t="s">
        <v>2879</v>
      </c>
      <c r="I636" t="s">
        <v>2880</v>
      </c>
      <c r="J636" t="s">
        <v>2881</v>
      </c>
      <c r="K636" t="s">
        <v>2881</v>
      </c>
      <c r="L636" t="s">
        <v>2881</v>
      </c>
      <c r="N636" t="s">
        <v>2882</v>
      </c>
      <c r="O636" t="s">
        <v>117</v>
      </c>
      <c r="P636" t="s">
        <v>118</v>
      </c>
      <c r="R636" t="s">
        <v>190</v>
      </c>
      <c r="S636" t="s">
        <v>121</v>
      </c>
      <c r="T636" t="s">
        <v>122</v>
      </c>
      <c r="U636" t="s">
        <v>123</v>
      </c>
      <c r="Y636">
        <v>0</v>
      </c>
      <c r="AA636" t="s">
        <v>2813</v>
      </c>
      <c r="BN636">
        <v>0</v>
      </c>
    </row>
    <row r="637" spans="1:111" x14ac:dyDescent="0.2">
      <c r="A637" t="s">
        <v>111</v>
      </c>
      <c r="B637" t="b">
        <v>1</v>
      </c>
      <c r="F637" t="str">
        <f>HYPERLINK("https://portal.dnb.de/opac.htm?method=simpleSearch&amp;cqlMode=true&amp;query=idn%3D1268674788", "Portal")</f>
        <v>Portal</v>
      </c>
      <c r="G637" t="s">
        <v>415</v>
      </c>
      <c r="H637" t="s">
        <v>2883</v>
      </c>
      <c r="I637" t="s">
        <v>2884</v>
      </c>
      <c r="J637" t="s">
        <v>2885</v>
      </c>
      <c r="K637" t="s">
        <v>2885</v>
      </c>
      <c r="L637" t="s">
        <v>2885</v>
      </c>
      <c r="N637" t="s">
        <v>2886</v>
      </c>
      <c r="O637" t="s">
        <v>117</v>
      </c>
      <c r="P637" t="s">
        <v>118</v>
      </c>
      <c r="Q637" t="s">
        <v>324</v>
      </c>
      <c r="R637" t="s">
        <v>480</v>
      </c>
      <c r="S637" t="s">
        <v>121</v>
      </c>
      <c r="T637" t="s">
        <v>130</v>
      </c>
      <c r="U637" t="s">
        <v>203</v>
      </c>
      <c r="X637" t="s">
        <v>168</v>
      </c>
      <c r="Y637">
        <v>0</v>
      </c>
      <c r="AA637" t="s">
        <v>2813</v>
      </c>
      <c r="AI637" t="s">
        <v>325</v>
      </c>
      <c r="AK637" t="s">
        <v>132</v>
      </c>
      <c r="AM637" t="s">
        <v>134</v>
      </c>
      <c r="AS637" t="s">
        <v>135</v>
      </c>
      <c r="AT637" t="s">
        <v>132</v>
      </c>
      <c r="BG637">
        <v>110</v>
      </c>
      <c r="BM637" t="s">
        <v>137</v>
      </c>
      <c r="BN637">
        <v>0</v>
      </c>
      <c r="BV637" t="s">
        <v>355</v>
      </c>
    </row>
    <row r="638" spans="1:111" x14ac:dyDescent="0.2">
      <c r="A638" t="s">
        <v>111</v>
      </c>
      <c r="B638" t="b">
        <v>0</v>
      </c>
      <c r="F638" t="str">
        <f>HYPERLINK("https://portal.dnb.de/opac.htm?method=simpleSearch&amp;cqlMode=true&amp;query=idn%3D", "Portal")</f>
        <v>Portal</v>
      </c>
      <c r="L638" t="s">
        <v>2887</v>
      </c>
      <c r="W638" t="s">
        <v>252</v>
      </c>
      <c r="X638" t="s">
        <v>124</v>
      </c>
      <c r="Y638">
        <v>0</v>
      </c>
      <c r="AA638" t="s">
        <v>2860</v>
      </c>
      <c r="AD638" t="s">
        <v>489</v>
      </c>
      <c r="BN638">
        <v>0</v>
      </c>
    </row>
    <row r="639" spans="1:111" x14ac:dyDescent="0.2">
      <c r="A639" t="s">
        <v>111</v>
      </c>
      <c r="B639" t="b">
        <v>1</v>
      </c>
      <c r="E639">
        <v>711</v>
      </c>
      <c r="F639" t="str">
        <f>HYPERLINK("https://portal.dnb.de/opac.htm?method=simpleSearch&amp;cqlMode=true&amp;query=idn%3D997077026", "Portal")</f>
        <v>Portal</v>
      </c>
      <c r="G639" t="s">
        <v>112</v>
      </c>
      <c r="H639" t="s">
        <v>2888</v>
      </c>
      <c r="I639" t="s">
        <v>2889</v>
      </c>
      <c r="J639" t="s">
        <v>2890</v>
      </c>
      <c r="K639" t="s">
        <v>2890</v>
      </c>
      <c r="L639" t="s">
        <v>2890</v>
      </c>
      <c r="N639" t="s">
        <v>2891</v>
      </c>
      <c r="O639" t="s">
        <v>117</v>
      </c>
      <c r="P639" t="s">
        <v>118</v>
      </c>
      <c r="R639" t="s">
        <v>163</v>
      </c>
      <c r="S639" t="s">
        <v>121</v>
      </c>
      <c r="T639" t="s">
        <v>122</v>
      </c>
      <c r="U639" t="s">
        <v>203</v>
      </c>
      <c r="Y639">
        <v>0</v>
      </c>
      <c r="BN639">
        <v>0</v>
      </c>
    </row>
    <row r="640" spans="1:111" x14ac:dyDescent="0.2">
      <c r="A640" t="s">
        <v>111</v>
      </c>
      <c r="B640" t="b">
        <v>1</v>
      </c>
      <c r="C640" t="s">
        <v>132</v>
      </c>
      <c r="F640" t="str">
        <f>HYPERLINK("https://portal.dnb.de/opac.htm?method=simpleSearch&amp;cqlMode=true&amp;query=idn%3D1268135534", "Portal")</f>
        <v>Portal</v>
      </c>
      <c r="G640" t="s">
        <v>415</v>
      </c>
      <c r="H640" t="s">
        <v>2892</v>
      </c>
      <c r="I640" t="s">
        <v>2893</v>
      </c>
      <c r="J640" t="s">
        <v>2894</v>
      </c>
      <c r="K640" t="s">
        <v>2894</v>
      </c>
      <c r="L640" t="s">
        <v>2894</v>
      </c>
      <c r="N640" t="s">
        <v>2895</v>
      </c>
      <c r="O640" t="s">
        <v>117</v>
      </c>
      <c r="Q640" t="s">
        <v>2896</v>
      </c>
      <c r="S640" t="s">
        <v>146</v>
      </c>
      <c r="AI640" t="s">
        <v>149</v>
      </c>
      <c r="AK640" t="s">
        <v>132</v>
      </c>
      <c r="AM640" t="s">
        <v>179</v>
      </c>
      <c r="AS640" t="s">
        <v>135</v>
      </c>
      <c r="BG640">
        <v>45</v>
      </c>
      <c r="BM640" t="s">
        <v>180</v>
      </c>
      <c r="BN640">
        <v>6</v>
      </c>
      <c r="BR640" t="s">
        <v>132</v>
      </c>
      <c r="BZ640" t="s">
        <v>132</v>
      </c>
      <c r="CA640" t="s">
        <v>132</v>
      </c>
      <c r="CB640" t="s">
        <v>132</v>
      </c>
      <c r="CD640" t="s">
        <v>184</v>
      </c>
      <c r="CE640">
        <v>3</v>
      </c>
      <c r="CM640">
        <v>6</v>
      </c>
      <c r="CN640" t="s">
        <v>2897</v>
      </c>
    </row>
    <row r="641" spans="1:92" x14ac:dyDescent="0.2">
      <c r="A641" t="s">
        <v>111</v>
      </c>
      <c r="B641" t="b">
        <v>1</v>
      </c>
      <c r="E641">
        <v>729</v>
      </c>
      <c r="F641" t="str">
        <f>HYPERLINK("https://portal.dnb.de/opac.htm?method=simpleSearch&amp;cqlMode=true&amp;query=idn%3D1066962448", "Portal")</f>
        <v>Portal</v>
      </c>
      <c r="G641" t="s">
        <v>125</v>
      </c>
      <c r="H641" t="s">
        <v>2898</v>
      </c>
      <c r="I641" t="s">
        <v>2899</v>
      </c>
      <c r="J641" t="s">
        <v>2900</v>
      </c>
      <c r="K641" t="s">
        <v>2900</v>
      </c>
      <c r="L641" t="s">
        <v>2900</v>
      </c>
      <c r="N641" t="s">
        <v>2901</v>
      </c>
      <c r="O641" t="s">
        <v>117</v>
      </c>
      <c r="BN641">
        <v>0</v>
      </c>
    </row>
    <row r="642" spans="1:92" x14ac:dyDescent="0.2">
      <c r="A642" t="s">
        <v>111</v>
      </c>
      <c r="B642" t="b">
        <v>1</v>
      </c>
      <c r="E642">
        <v>730</v>
      </c>
      <c r="F642" t="str">
        <f>HYPERLINK("https://portal.dnb.de/opac.htm?method=simpleSearch&amp;cqlMode=true&amp;query=idn%3D106676882X", "Portal")</f>
        <v>Portal</v>
      </c>
      <c r="G642" t="s">
        <v>125</v>
      </c>
      <c r="H642" t="s">
        <v>2902</v>
      </c>
      <c r="I642" t="s">
        <v>2903</v>
      </c>
      <c r="J642" t="s">
        <v>2904</v>
      </c>
      <c r="K642" t="s">
        <v>2904</v>
      </c>
      <c r="L642" t="s">
        <v>2904</v>
      </c>
      <c r="N642" t="s">
        <v>2905</v>
      </c>
      <c r="O642" t="s">
        <v>117</v>
      </c>
      <c r="BN642">
        <v>0</v>
      </c>
    </row>
    <row r="643" spans="1:92" x14ac:dyDescent="0.2">
      <c r="A643" t="s">
        <v>111</v>
      </c>
      <c r="B643" t="b">
        <v>1</v>
      </c>
      <c r="E643">
        <v>1205</v>
      </c>
      <c r="F643" t="str">
        <f>HYPERLINK("https://portal.dnb.de/opac.htm?method=simpleSearch&amp;cqlMode=true&amp;query=idn%3D996697721", "Portal")</f>
        <v>Portal</v>
      </c>
      <c r="G643" t="s">
        <v>112</v>
      </c>
      <c r="H643" t="s">
        <v>2906</v>
      </c>
      <c r="I643" t="s">
        <v>2907</v>
      </c>
      <c r="J643" t="s">
        <v>2908</v>
      </c>
      <c r="K643" t="s">
        <v>2908</v>
      </c>
      <c r="L643" t="s">
        <v>2909</v>
      </c>
      <c r="N643" t="s">
        <v>2910</v>
      </c>
      <c r="O643" t="s">
        <v>117</v>
      </c>
      <c r="P643" t="s">
        <v>118</v>
      </c>
      <c r="R643" t="s">
        <v>163</v>
      </c>
      <c r="S643" t="s">
        <v>121</v>
      </c>
      <c r="T643" t="s">
        <v>122</v>
      </c>
      <c r="U643" t="s">
        <v>2911</v>
      </c>
      <c r="Y643">
        <v>0</v>
      </c>
      <c r="BN643">
        <v>0</v>
      </c>
    </row>
    <row r="644" spans="1:92" x14ac:dyDescent="0.2">
      <c r="A644" t="s">
        <v>111</v>
      </c>
      <c r="B644" t="b">
        <v>1</v>
      </c>
      <c r="E644">
        <v>731</v>
      </c>
      <c r="F644" t="str">
        <f>HYPERLINK("https://portal.dnb.de/opac.htm?method=simpleSearch&amp;cqlMode=true&amp;query=idn%3D1066763372", "Portal")</f>
        <v>Portal</v>
      </c>
      <c r="G644" t="s">
        <v>125</v>
      </c>
      <c r="H644" t="s">
        <v>2912</v>
      </c>
      <c r="I644" t="s">
        <v>2913</v>
      </c>
      <c r="J644" t="s">
        <v>2914</v>
      </c>
      <c r="K644" t="s">
        <v>2914</v>
      </c>
      <c r="L644" t="s">
        <v>2914</v>
      </c>
      <c r="N644" t="s">
        <v>2915</v>
      </c>
      <c r="O644" t="s">
        <v>117</v>
      </c>
      <c r="BN644">
        <v>0</v>
      </c>
    </row>
    <row r="645" spans="1:92" x14ac:dyDescent="0.2">
      <c r="A645" t="s">
        <v>111</v>
      </c>
      <c r="B645" t="b">
        <v>1</v>
      </c>
      <c r="E645">
        <v>732</v>
      </c>
      <c r="F645" t="str">
        <f>HYPERLINK("https://portal.dnb.de/opac.htm?method=simpleSearch&amp;cqlMode=true&amp;query=idn%3D1066835012", "Portal")</f>
        <v>Portal</v>
      </c>
      <c r="G645" t="s">
        <v>125</v>
      </c>
      <c r="H645" t="s">
        <v>2916</v>
      </c>
      <c r="I645" t="s">
        <v>2917</v>
      </c>
      <c r="J645" t="s">
        <v>2918</v>
      </c>
      <c r="K645" t="s">
        <v>2918</v>
      </c>
      <c r="L645" t="s">
        <v>2918</v>
      </c>
      <c r="N645" t="s">
        <v>2919</v>
      </c>
      <c r="O645" t="s">
        <v>117</v>
      </c>
      <c r="BN645">
        <v>0</v>
      </c>
    </row>
    <row r="646" spans="1:92" x14ac:dyDescent="0.2">
      <c r="A646" t="s">
        <v>111</v>
      </c>
      <c r="B646" t="b">
        <v>1</v>
      </c>
      <c r="E646">
        <v>799</v>
      </c>
      <c r="F646" t="str">
        <f>HYPERLINK("https://portal.dnb.de/opac.htm?method=simpleSearch&amp;cqlMode=true&amp;query=idn%3D1066694702", "Portal")</f>
        <v>Portal</v>
      </c>
      <c r="G646" t="s">
        <v>125</v>
      </c>
      <c r="H646" t="s">
        <v>2920</v>
      </c>
      <c r="I646" t="s">
        <v>2921</v>
      </c>
      <c r="J646" t="s">
        <v>2922</v>
      </c>
      <c r="K646" t="s">
        <v>2922</v>
      </c>
      <c r="L646" t="s">
        <v>2922</v>
      </c>
      <c r="N646" t="s">
        <v>2923</v>
      </c>
      <c r="O646" t="s">
        <v>117</v>
      </c>
      <c r="BN646">
        <v>0</v>
      </c>
    </row>
    <row r="647" spans="1:92" x14ac:dyDescent="0.2">
      <c r="A647" t="s">
        <v>111</v>
      </c>
      <c r="B647" t="b">
        <v>1</v>
      </c>
      <c r="E647">
        <v>800</v>
      </c>
      <c r="F647" t="str">
        <f>HYPERLINK("https://portal.dnb.de/opac.htm?method=simpleSearch&amp;cqlMode=true&amp;query=idn%3D99882707X", "Portal")</f>
        <v>Portal</v>
      </c>
      <c r="G647" t="s">
        <v>112</v>
      </c>
      <c r="H647" t="s">
        <v>2924</v>
      </c>
      <c r="I647" t="s">
        <v>2925</v>
      </c>
      <c r="J647" t="s">
        <v>2926</v>
      </c>
      <c r="K647" t="s">
        <v>2926</v>
      </c>
      <c r="L647" t="s">
        <v>2926</v>
      </c>
      <c r="N647" t="s">
        <v>2927</v>
      </c>
      <c r="O647" t="s">
        <v>117</v>
      </c>
      <c r="BN647">
        <v>0</v>
      </c>
    </row>
    <row r="648" spans="1:92" x14ac:dyDescent="0.2">
      <c r="A648" t="s">
        <v>111</v>
      </c>
      <c r="B648" t="b">
        <v>1</v>
      </c>
      <c r="E648">
        <v>801</v>
      </c>
      <c r="F648" t="str">
        <f>HYPERLINK("https://portal.dnb.de/opac.htm?method=simpleSearch&amp;cqlMode=true&amp;query=idn%3D1000047687", "Portal")</f>
        <v>Portal</v>
      </c>
      <c r="G648" t="s">
        <v>112</v>
      </c>
      <c r="H648" t="s">
        <v>2928</v>
      </c>
      <c r="I648" t="s">
        <v>2929</v>
      </c>
      <c r="J648" t="s">
        <v>2930</v>
      </c>
      <c r="K648" t="s">
        <v>2930</v>
      </c>
      <c r="L648" t="s">
        <v>2930</v>
      </c>
      <c r="N648" t="s">
        <v>2931</v>
      </c>
      <c r="O648" t="s">
        <v>117</v>
      </c>
      <c r="S648" t="s">
        <v>470</v>
      </c>
      <c r="AI648" t="s">
        <v>149</v>
      </c>
      <c r="AM648" t="s">
        <v>196</v>
      </c>
      <c r="AR648" t="s">
        <v>132</v>
      </c>
      <c r="AS648" t="s">
        <v>135</v>
      </c>
      <c r="BG648">
        <v>80</v>
      </c>
      <c r="BM648" t="s">
        <v>137</v>
      </c>
      <c r="BN648">
        <v>0</v>
      </c>
      <c r="BT648" t="s">
        <v>562</v>
      </c>
      <c r="BU648" t="s">
        <v>132</v>
      </c>
    </row>
    <row r="649" spans="1:92" x14ac:dyDescent="0.2">
      <c r="A649" t="s">
        <v>111</v>
      </c>
      <c r="B649" t="b">
        <v>1</v>
      </c>
      <c r="C649" t="s">
        <v>132</v>
      </c>
      <c r="E649">
        <v>733</v>
      </c>
      <c r="F649" t="str">
        <f>HYPERLINK("https://portal.dnb.de/opac.htm?method=simpleSearch&amp;cqlMode=true&amp;query=idn%3D1066800642", "Portal")</f>
        <v>Portal</v>
      </c>
      <c r="G649" t="s">
        <v>125</v>
      </c>
      <c r="H649" t="s">
        <v>2932</v>
      </c>
      <c r="I649" t="s">
        <v>2933</v>
      </c>
      <c r="J649" t="s">
        <v>2934</v>
      </c>
      <c r="K649" t="s">
        <v>2934</v>
      </c>
      <c r="L649" t="s">
        <v>2934</v>
      </c>
      <c r="N649" t="s">
        <v>2935</v>
      </c>
      <c r="O649" t="s">
        <v>117</v>
      </c>
      <c r="S649" t="s">
        <v>146</v>
      </c>
      <c r="AI649" t="s">
        <v>365</v>
      </c>
      <c r="AK649" t="s">
        <v>132</v>
      </c>
      <c r="AM649" t="s">
        <v>179</v>
      </c>
      <c r="AS649" t="s">
        <v>135</v>
      </c>
      <c r="BG649">
        <v>60</v>
      </c>
      <c r="BM649" t="s">
        <v>180</v>
      </c>
      <c r="BN649">
        <v>2</v>
      </c>
      <c r="BR649" t="s">
        <v>132</v>
      </c>
      <c r="BZ649" t="s">
        <v>132</v>
      </c>
      <c r="CA649" t="s">
        <v>132</v>
      </c>
      <c r="CB649" t="s">
        <v>132</v>
      </c>
      <c r="CD649" t="s">
        <v>184</v>
      </c>
      <c r="CM649">
        <v>2</v>
      </c>
      <c r="CN649" t="s">
        <v>2936</v>
      </c>
    </row>
    <row r="650" spans="1:92" x14ac:dyDescent="0.2">
      <c r="A650" t="s">
        <v>111</v>
      </c>
      <c r="B650" t="b">
        <v>1</v>
      </c>
      <c r="E650">
        <v>734</v>
      </c>
      <c r="F650" t="str">
        <f>HYPERLINK("https://portal.dnb.de/opac.htm?method=simpleSearch&amp;cqlMode=true&amp;query=idn%3D1132641950", "Portal")</f>
        <v>Portal</v>
      </c>
      <c r="G650" t="s">
        <v>970</v>
      </c>
      <c r="H650" t="s">
        <v>2937</v>
      </c>
      <c r="I650" t="s">
        <v>2938</v>
      </c>
      <c r="J650" t="s">
        <v>2939</v>
      </c>
      <c r="K650" t="s">
        <v>2939</v>
      </c>
      <c r="L650" t="s">
        <v>2939</v>
      </c>
      <c r="N650" t="s">
        <v>2940</v>
      </c>
      <c r="O650" t="s">
        <v>2941</v>
      </c>
      <c r="S650" t="s">
        <v>146</v>
      </c>
      <c r="AI650" t="s">
        <v>149</v>
      </c>
      <c r="AK650" t="s">
        <v>132</v>
      </c>
      <c r="AM650" t="s">
        <v>196</v>
      </c>
      <c r="AS650" t="s">
        <v>135</v>
      </c>
      <c r="BG650">
        <v>45</v>
      </c>
      <c r="BM650" t="s">
        <v>137</v>
      </c>
      <c r="BN650">
        <v>0</v>
      </c>
    </row>
    <row r="651" spans="1:92" x14ac:dyDescent="0.2">
      <c r="A651" t="s">
        <v>111</v>
      </c>
      <c r="B651" t="b">
        <v>1</v>
      </c>
      <c r="F651" t="str">
        <f>HYPERLINK("https://portal.dnb.de/opac.htm?method=simpleSearch&amp;cqlMode=true&amp;query=idn%3D1132641969", "Portal")</f>
        <v>Portal</v>
      </c>
      <c r="H651" t="s">
        <v>2942</v>
      </c>
      <c r="I651" t="s">
        <v>2943</v>
      </c>
      <c r="K651" t="s">
        <v>2939</v>
      </c>
      <c r="L651" t="s">
        <v>2939</v>
      </c>
      <c r="N651" t="s">
        <v>2940</v>
      </c>
      <c r="O651" t="s">
        <v>2944</v>
      </c>
    </row>
    <row r="652" spans="1:92" x14ac:dyDescent="0.2">
      <c r="A652" t="s">
        <v>111</v>
      </c>
      <c r="B652" t="b">
        <v>1</v>
      </c>
      <c r="E652">
        <v>736</v>
      </c>
      <c r="F652" t="str">
        <f>HYPERLINK("https://portal.dnb.de/opac.htm?method=simpleSearch&amp;cqlMode=true&amp;query=idn%3D1066937516", "Portal")</f>
        <v>Portal</v>
      </c>
      <c r="G652" t="s">
        <v>125</v>
      </c>
      <c r="H652" t="s">
        <v>2945</v>
      </c>
      <c r="I652" t="s">
        <v>2946</v>
      </c>
      <c r="J652" t="s">
        <v>2947</v>
      </c>
      <c r="K652" t="s">
        <v>2947</v>
      </c>
      <c r="L652" t="s">
        <v>2947</v>
      </c>
      <c r="N652" t="s">
        <v>2948</v>
      </c>
      <c r="O652" t="s">
        <v>117</v>
      </c>
      <c r="BN652">
        <v>0</v>
      </c>
    </row>
    <row r="653" spans="1:92" x14ac:dyDescent="0.2">
      <c r="A653" t="s">
        <v>111</v>
      </c>
      <c r="B653" t="b">
        <v>1</v>
      </c>
      <c r="E653">
        <v>737</v>
      </c>
      <c r="F653" t="str">
        <f>HYPERLINK("https://portal.dnb.de/opac.htm?method=simpleSearch&amp;cqlMode=true&amp;query=idn%3D1066778833", "Portal")</f>
        <v>Portal</v>
      </c>
      <c r="G653" t="s">
        <v>125</v>
      </c>
      <c r="H653" t="s">
        <v>2949</v>
      </c>
      <c r="I653" t="s">
        <v>2950</v>
      </c>
      <c r="J653" t="s">
        <v>2951</v>
      </c>
      <c r="K653" t="s">
        <v>2951</v>
      </c>
      <c r="L653" t="s">
        <v>2951</v>
      </c>
      <c r="N653" t="s">
        <v>2952</v>
      </c>
      <c r="O653" t="s">
        <v>117</v>
      </c>
      <c r="S653" t="s">
        <v>146</v>
      </c>
      <c r="AI653" t="s">
        <v>149</v>
      </c>
      <c r="AL653" t="s">
        <v>132</v>
      </c>
      <c r="AM653" t="s">
        <v>196</v>
      </c>
      <c r="AS653" t="s">
        <v>135</v>
      </c>
      <c r="BG653">
        <v>110</v>
      </c>
      <c r="BM653" t="s">
        <v>137</v>
      </c>
      <c r="BN653">
        <v>0</v>
      </c>
      <c r="BP653" t="s">
        <v>181</v>
      </c>
    </row>
    <row r="654" spans="1:92" x14ac:dyDescent="0.2">
      <c r="A654" t="s">
        <v>111</v>
      </c>
      <c r="B654" t="b">
        <v>1</v>
      </c>
      <c r="E654">
        <v>820</v>
      </c>
      <c r="F654" t="str">
        <f>HYPERLINK("https://portal.dnb.de/opac.htm?method=simpleSearch&amp;cqlMode=true&amp;query=idn%3D994098219", "Portal")</f>
        <v>Portal</v>
      </c>
      <c r="G654" t="s">
        <v>542</v>
      </c>
      <c r="H654" t="s">
        <v>2953</v>
      </c>
      <c r="I654" t="s">
        <v>2954</v>
      </c>
      <c r="J654" t="s">
        <v>2955</v>
      </c>
      <c r="K654" t="s">
        <v>2955</v>
      </c>
      <c r="L654" t="s">
        <v>2955</v>
      </c>
      <c r="N654" t="s">
        <v>2956</v>
      </c>
      <c r="O654" t="s">
        <v>547</v>
      </c>
      <c r="S654" t="s">
        <v>146</v>
      </c>
      <c r="AI654" t="s">
        <v>149</v>
      </c>
      <c r="AL654" t="s">
        <v>132</v>
      </c>
      <c r="AM654" t="s">
        <v>196</v>
      </c>
      <c r="AS654" t="s">
        <v>135</v>
      </c>
      <c r="BG654">
        <v>80</v>
      </c>
      <c r="BM654" t="s">
        <v>137</v>
      </c>
      <c r="BN654">
        <v>0</v>
      </c>
      <c r="BP654" t="s">
        <v>181</v>
      </c>
    </row>
    <row r="655" spans="1:92" x14ac:dyDescent="0.2">
      <c r="A655" t="s">
        <v>111</v>
      </c>
      <c r="B655" t="b">
        <v>1</v>
      </c>
      <c r="F655" t="str">
        <f>HYPERLINK("https://portal.dnb.de/opac.htm?method=simpleSearch&amp;cqlMode=true&amp;query=idn%3D99409843X", "Portal")</f>
        <v>Portal</v>
      </c>
      <c r="H655" t="s">
        <v>2957</v>
      </c>
      <c r="I655" t="s">
        <v>2958</v>
      </c>
      <c r="K655" t="s">
        <v>2955</v>
      </c>
      <c r="L655" t="s">
        <v>2955</v>
      </c>
      <c r="N655" t="s">
        <v>2956</v>
      </c>
      <c r="O655" t="s">
        <v>2007</v>
      </c>
    </row>
    <row r="656" spans="1:92" x14ac:dyDescent="0.2">
      <c r="A656" t="s">
        <v>111</v>
      </c>
      <c r="B656" t="b">
        <v>1</v>
      </c>
      <c r="E656">
        <v>738</v>
      </c>
      <c r="F656" t="str">
        <f>HYPERLINK("https://portal.dnb.de/opac.htm?method=simpleSearch&amp;cqlMode=true&amp;query=idn%3D993994350", "Portal")</f>
        <v>Portal</v>
      </c>
      <c r="G656" t="s">
        <v>542</v>
      </c>
      <c r="H656" t="s">
        <v>2959</v>
      </c>
      <c r="I656" t="s">
        <v>2960</v>
      </c>
      <c r="J656" t="s">
        <v>2961</v>
      </c>
      <c r="K656" t="s">
        <v>2961</v>
      </c>
      <c r="L656" t="s">
        <v>2961</v>
      </c>
      <c r="N656" t="s">
        <v>2962</v>
      </c>
      <c r="O656" t="s">
        <v>2007</v>
      </c>
      <c r="BN656">
        <v>0</v>
      </c>
    </row>
    <row r="657" spans="1:91" x14ac:dyDescent="0.2">
      <c r="A657" t="s">
        <v>111</v>
      </c>
      <c r="B657" t="b">
        <v>1</v>
      </c>
      <c r="E657">
        <v>739</v>
      </c>
      <c r="F657" t="str">
        <f>HYPERLINK("https://portal.dnb.de/opac.htm?method=simpleSearch&amp;cqlMode=true&amp;query=idn%3D993994253", "Portal")</f>
        <v>Portal</v>
      </c>
      <c r="G657" t="s">
        <v>542</v>
      </c>
      <c r="H657" t="s">
        <v>2963</v>
      </c>
      <c r="I657" t="s">
        <v>2964</v>
      </c>
      <c r="J657" t="s">
        <v>2961</v>
      </c>
      <c r="K657" t="s">
        <v>2961</v>
      </c>
      <c r="L657" t="s">
        <v>2961</v>
      </c>
      <c r="N657" t="s">
        <v>2962</v>
      </c>
      <c r="O657" t="s">
        <v>713</v>
      </c>
      <c r="BN657">
        <v>0</v>
      </c>
    </row>
    <row r="658" spans="1:91" x14ac:dyDescent="0.2">
      <c r="A658" t="s">
        <v>111</v>
      </c>
      <c r="B658" t="b">
        <v>0</v>
      </c>
      <c r="E658">
        <v>740</v>
      </c>
      <c r="F658" t="str">
        <f>HYPERLINK("https://portal.dnb.de/opac.htm?method=simpleSearch&amp;cqlMode=true&amp;query=idn%3D1075286875", "Portal")</f>
        <v>Portal</v>
      </c>
      <c r="H658" t="s">
        <v>2965</v>
      </c>
      <c r="I658" t="s">
        <v>2966</v>
      </c>
      <c r="L658" t="s">
        <v>2967</v>
      </c>
      <c r="BN658">
        <v>0</v>
      </c>
    </row>
    <row r="659" spans="1:91" x14ac:dyDescent="0.2">
      <c r="A659" t="s">
        <v>111</v>
      </c>
      <c r="B659" t="b">
        <v>1</v>
      </c>
      <c r="F659" t="str">
        <f>HYPERLINK("https://portal.dnb.de/opac.htm?method=simpleSearch&amp;cqlMode=true&amp;query=idn%3D1137888938", "Portal")</f>
        <v>Portal</v>
      </c>
      <c r="G659" t="s">
        <v>319</v>
      </c>
      <c r="H659" t="s">
        <v>2968</v>
      </c>
      <c r="I659" t="s">
        <v>2969</v>
      </c>
      <c r="J659" t="s">
        <v>2970</v>
      </c>
      <c r="K659" t="s">
        <v>2970</v>
      </c>
      <c r="L659" t="s">
        <v>2970</v>
      </c>
      <c r="N659" t="s">
        <v>2971</v>
      </c>
      <c r="O659" t="s">
        <v>117</v>
      </c>
      <c r="R659" t="s">
        <v>145</v>
      </c>
      <c r="S659" t="s">
        <v>146</v>
      </c>
      <c r="T659" t="s">
        <v>130</v>
      </c>
      <c r="U659" t="s">
        <v>500</v>
      </c>
      <c r="W659" t="s">
        <v>147</v>
      </c>
      <c r="X659" t="s">
        <v>860</v>
      </c>
      <c r="Y659">
        <v>3</v>
      </c>
      <c r="BN659">
        <v>0</v>
      </c>
    </row>
    <row r="660" spans="1:91" x14ac:dyDescent="0.2">
      <c r="A660" t="s">
        <v>111</v>
      </c>
      <c r="B660" t="b">
        <v>0</v>
      </c>
      <c r="F660" t="str">
        <f>HYPERLINK("https://portal.dnb.de/opac.htm?method=simpleSearch&amp;cqlMode=true&amp;query=idn%3D", "Portal")</f>
        <v>Portal</v>
      </c>
      <c r="L660" t="s">
        <v>2972</v>
      </c>
      <c r="R660" t="s">
        <v>145</v>
      </c>
      <c r="W660" t="s">
        <v>67</v>
      </c>
      <c r="X660" t="s">
        <v>124</v>
      </c>
      <c r="AA660" t="s">
        <v>2973</v>
      </c>
      <c r="AD660" t="s">
        <v>489</v>
      </c>
      <c r="BN660">
        <v>0</v>
      </c>
    </row>
    <row r="661" spans="1:91" x14ac:dyDescent="0.2">
      <c r="A661" t="s">
        <v>111</v>
      </c>
      <c r="B661" t="b">
        <v>0</v>
      </c>
      <c r="E661">
        <v>791</v>
      </c>
      <c r="F661" t="str">
        <f>HYPERLINK("https://portal.dnb.de/opac.htm?method=simpleSearch&amp;cqlMode=true&amp;query=idn%3D1066758131", "Portal")</f>
        <v>Portal</v>
      </c>
      <c r="H661" t="s">
        <v>2974</v>
      </c>
      <c r="I661" t="s">
        <v>2975</v>
      </c>
      <c r="L661" t="s">
        <v>2976</v>
      </c>
      <c r="BN661">
        <v>0</v>
      </c>
    </row>
    <row r="662" spans="1:91" x14ac:dyDescent="0.2">
      <c r="A662" t="s">
        <v>111</v>
      </c>
      <c r="B662" t="b">
        <v>1</v>
      </c>
      <c r="F662" t="str">
        <f>HYPERLINK("https://portal.dnb.de/opac.htm?method=simpleSearch&amp;cqlMode=true&amp;query=idn%3D113772692X", "Portal")</f>
        <v>Portal</v>
      </c>
      <c r="G662" t="s">
        <v>319</v>
      </c>
      <c r="H662" t="s">
        <v>2977</v>
      </c>
      <c r="I662" t="s">
        <v>2978</v>
      </c>
      <c r="J662" t="s">
        <v>2979</v>
      </c>
      <c r="K662" t="s">
        <v>2979</v>
      </c>
      <c r="L662" t="s">
        <v>2979</v>
      </c>
      <c r="N662" t="s">
        <v>2980</v>
      </c>
      <c r="O662" t="s">
        <v>117</v>
      </c>
      <c r="R662" t="s">
        <v>190</v>
      </c>
      <c r="S662" t="s">
        <v>121</v>
      </c>
      <c r="T662" t="s">
        <v>130</v>
      </c>
      <c r="U662" t="s">
        <v>210</v>
      </c>
      <c r="X662" t="s">
        <v>168</v>
      </c>
      <c r="Y662">
        <v>0</v>
      </c>
      <c r="BN662">
        <v>0</v>
      </c>
    </row>
    <row r="663" spans="1:91" x14ac:dyDescent="0.2">
      <c r="A663" t="s">
        <v>111</v>
      </c>
      <c r="B663" t="b">
        <v>1</v>
      </c>
      <c r="E663">
        <v>795</v>
      </c>
      <c r="F663" t="str">
        <f>HYPERLINK("https://portal.dnb.de/opac.htm?method=simpleSearch&amp;cqlMode=true&amp;query=idn%3D997386355", "Portal")</f>
        <v>Portal</v>
      </c>
      <c r="G663" t="s">
        <v>112</v>
      </c>
      <c r="H663" t="s">
        <v>2981</v>
      </c>
      <c r="I663" t="s">
        <v>2982</v>
      </c>
      <c r="J663" t="s">
        <v>2983</v>
      </c>
      <c r="K663" t="s">
        <v>2983</v>
      </c>
      <c r="L663" t="s">
        <v>2983</v>
      </c>
      <c r="N663" t="s">
        <v>2984</v>
      </c>
      <c r="O663" t="s">
        <v>117</v>
      </c>
      <c r="R663" t="s">
        <v>120</v>
      </c>
      <c r="S663" t="s">
        <v>121</v>
      </c>
      <c r="T663" t="s">
        <v>130</v>
      </c>
      <c r="U663" t="s">
        <v>1774</v>
      </c>
      <c r="W663" t="s">
        <v>68</v>
      </c>
      <c r="X663" t="s">
        <v>124</v>
      </c>
      <c r="Y663">
        <v>0</v>
      </c>
      <c r="BN663">
        <v>0</v>
      </c>
    </row>
    <row r="664" spans="1:91" x14ac:dyDescent="0.2">
      <c r="A664" t="s">
        <v>111</v>
      </c>
      <c r="B664" t="b">
        <v>0</v>
      </c>
      <c r="E664">
        <v>743</v>
      </c>
      <c r="F664" t="str">
        <f>HYPERLINK("https://portal.dnb.de/opac.htm?method=simpleSearch&amp;cqlMode=true&amp;query=idn%3D993993958", "Portal")</f>
        <v>Portal</v>
      </c>
      <c r="H664" t="s">
        <v>2985</v>
      </c>
      <c r="I664" t="s">
        <v>2986</v>
      </c>
      <c r="L664" t="s">
        <v>2987</v>
      </c>
      <c r="BN664">
        <v>0</v>
      </c>
    </row>
    <row r="665" spans="1:91" x14ac:dyDescent="0.2">
      <c r="A665" t="s">
        <v>111</v>
      </c>
      <c r="B665" t="b">
        <v>1</v>
      </c>
      <c r="E665">
        <v>744</v>
      </c>
      <c r="F665" t="str">
        <f>HYPERLINK("https://portal.dnb.de/opac.htm?method=simpleSearch&amp;cqlMode=true&amp;query=idn%3D1066752419", "Portal")</f>
        <v>Portal</v>
      </c>
      <c r="G665" t="s">
        <v>125</v>
      </c>
      <c r="H665" t="s">
        <v>2988</v>
      </c>
      <c r="I665" t="s">
        <v>2989</v>
      </c>
      <c r="J665" t="s">
        <v>2990</v>
      </c>
      <c r="K665" t="s">
        <v>2990</v>
      </c>
      <c r="L665" t="s">
        <v>2990</v>
      </c>
      <c r="N665" t="s">
        <v>2991</v>
      </c>
      <c r="O665" t="s">
        <v>117</v>
      </c>
      <c r="P665" t="s">
        <v>118</v>
      </c>
      <c r="R665" t="s">
        <v>238</v>
      </c>
      <c r="S665" t="s">
        <v>121</v>
      </c>
      <c r="T665" t="s">
        <v>122</v>
      </c>
      <c r="U665" t="s">
        <v>203</v>
      </c>
      <c r="W665" t="s">
        <v>147</v>
      </c>
      <c r="X665" t="s">
        <v>860</v>
      </c>
      <c r="Y665">
        <v>0</v>
      </c>
      <c r="AA665" t="s">
        <v>2813</v>
      </c>
      <c r="BN665">
        <v>0</v>
      </c>
    </row>
    <row r="666" spans="1:91" x14ac:dyDescent="0.2">
      <c r="A666" t="s">
        <v>111</v>
      </c>
      <c r="B666" t="b">
        <v>1</v>
      </c>
      <c r="E666">
        <v>745</v>
      </c>
      <c r="F666" t="str">
        <f>HYPERLINK("https://portal.dnb.de/opac.htm?method=simpleSearch&amp;cqlMode=true&amp;query=idn%3D1066787409", "Portal")</f>
        <v>Portal</v>
      </c>
      <c r="G666" t="s">
        <v>125</v>
      </c>
      <c r="H666" t="s">
        <v>2992</v>
      </c>
      <c r="I666" t="s">
        <v>2993</v>
      </c>
      <c r="J666" t="s">
        <v>2994</v>
      </c>
      <c r="K666" t="s">
        <v>2994</v>
      </c>
      <c r="L666" t="s">
        <v>2994</v>
      </c>
      <c r="N666" t="s">
        <v>2995</v>
      </c>
      <c r="O666" t="s">
        <v>117</v>
      </c>
      <c r="P666" t="s">
        <v>118</v>
      </c>
      <c r="R666" t="s">
        <v>157</v>
      </c>
      <c r="S666" t="s">
        <v>121</v>
      </c>
      <c r="T666" t="s">
        <v>130</v>
      </c>
      <c r="U666" t="s">
        <v>203</v>
      </c>
      <c r="W666" t="s">
        <v>67</v>
      </c>
      <c r="X666" t="s">
        <v>124</v>
      </c>
      <c r="Y666">
        <v>0</v>
      </c>
      <c r="BN666">
        <v>0</v>
      </c>
    </row>
    <row r="667" spans="1:91" x14ac:dyDescent="0.2">
      <c r="A667" t="s">
        <v>111</v>
      </c>
      <c r="B667" t="b">
        <v>1</v>
      </c>
      <c r="E667">
        <v>746</v>
      </c>
      <c r="F667" t="str">
        <f>HYPERLINK("https://portal.dnb.de/opac.htm?method=simpleSearch&amp;cqlMode=true&amp;query=idn%3D1066787018", "Portal")</f>
        <v>Portal</v>
      </c>
      <c r="G667" t="s">
        <v>125</v>
      </c>
      <c r="H667" t="s">
        <v>2996</v>
      </c>
      <c r="I667" t="s">
        <v>2997</v>
      </c>
      <c r="J667" t="s">
        <v>2998</v>
      </c>
      <c r="K667" t="s">
        <v>2998</v>
      </c>
      <c r="L667" t="s">
        <v>2998</v>
      </c>
      <c r="N667" t="s">
        <v>2999</v>
      </c>
      <c r="O667" t="s">
        <v>117</v>
      </c>
      <c r="P667" t="s">
        <v>118</v>
      </c>
      <c r="R667" t="s">
        <v>145</v>
      </c>
      <c r="S667" t="s">
        <v>121</v>
      </c>
      <c r="T667" t="s">
        <v>130</v>
      </c>
      <c r="U667" t="s">
        <v>203</v>
      </c>
      <c r="W667" t="s">
        <v>147</v>
      </c>
      <c r="X667" t="s">
        <v>860</v>
      </c>
      <c r="Y667">
        <v>1</v>
      </c>
      <c r="AA667" t="s">
        <v>2813</v>
      </c>
      <c r="AI667" t="s">
        <v>133</v>
      </c>
      <c r="AK667" t="s">
        <v>132</v>
      </c>
      <c r="AM667" t="s">
        <v>134</v>
      </c>
      <c r="AS667" t="s">
        <v>135</v>
      </c>
      <c r="BG667">
        <v>80</v>
      </c>
      <c r="BM667" t="s">
        <v>137</v>
      </c>
      <c r="BN667">
        <v>0</v>
      </c>
      <c r="BR667" t="s">
        <v>132</v>
      </c>
    </row>
    <row r="668" spans="1:91" x14ac:dyDescent="0.2">
      <c r="A668" t="s">
        <v>111</v>
      </c>
      <c r="B668" t="b">
        <v>1</v>
      </c>
      <c r="E668">
        <v>747</v>
      </c>
      <c r="F668" t="str">
        <f>HYPERLINK("https://portal.dnb.de/opac.htm?method=simpleSearch&amp;cqlMode=true&amp;query=idn%3D1066849463", "Portal")</f>
        <v>Portal</v>
      </c>
      <c r="G668" t="s">
        <v>125</v>
      </c>
      <c r="H668" t="s">
        <v>3000</v>
      </c>
      <c r="I668" t="s">
        <v>3001</v>
      </c>
      <c r="J668" t="s">
        <v>3002</v>
      </c>
      <c r="K668" t="s">
        <v>3002</v>
      </c>
      <c r="L668" t="s">
        <v>3002</v>
      </c>
      <c r="N668" t="s">
        <v>3003</v>
      </c>
      <c r="O668" t="s">
        <v>117</v>
      </c>
      <c r="P668" t="s">
        <v>118</v>
      </c>
      <c r="R668" t="s">
        <v>238</v>
      </c>
      <c r="S668" t="s">
        <v>121</v>
      </c>
      <c r="T668" t="s">
        <v>130</v>
      </c>
      <c r="U668" t="s">
        <v>203</v>
      </c>
      <c r="W668" t="s">
        <v>147</v>
      </c>
      <c r="X668" t="s">
        <v>860</v>
      </c>
      <c r="Y668">
        <v>1</v>
      </c>
      <c r="BN668">
        <v>0</v>
      </c>
    </row>
    <row r="669" spans="1:91" x14ac:dyDescent="0.2">
      <c r="A669" t="s">
        <v>111</v>
      </c>
      <c r="B669" t="b">
        <v>1</v>
      </c>
      <c r="E669">
        <v>748</v>
      </c>
      <c r="F669" t="str">
        <f>HYPERLINK("https://portal.dnb.de/opac.htm?method=simpleSearch&amp;cqlMode=true&amp;query=idn%3D1066834903", "Portal")</f>
        <v>Portal</v>
      </c>
      <c r="G669" t="s">
        <v>125</v>
      </c>
      <c r="H669" t="s">
        <v>3004</v>
      </c>
      <c r="I669" t="s">
        <v>3005</v>
      </c>
      <c r="J669" t="s">
        <v>3006</v>
      </c>
      <c r="K669" t="s">
        <v>3006</v>
      </c>
      <c r="L669" t="s">
        <v>3006</v>
      </c>
      <c r="N669" t="s">
        <v>3007</v>
      </c>
      <c r="O669" t="s">
        <v>117</v>
      </c>
      <c r="S669" t="s">
        <v>146</v>
      </c>
      <c r="AI669" t="s">
        <v>646</v>
      </c>
      <c r="AL669" t="s">
        <v>132</v>
      </c>
      <c r="AM669" t="s">
        <v>134</v>
      </c>
      <c r="AS669" t="s">
        <v>135</v>
      </c>
      <c r="BG669" t="s">
        <v>793</v>
      </c>
      <c r="BM669" t="s">
        <v>137</v>
      </c>
      <c r="BN669">
        <v>0</v>
      </c>
      <c r="BP669" t="s">
        <v>181</v>
      </c>
      <c r="BV669" t="s">
        <v>3008</v>
      </c>
      <c r="BW669" t="s">
        <v>3009</v>
      </c>
      <c r="BX669" t="s">
        <v>3010</v>
      </c>
    </row>
    <row r="670" spans="1:91" x14ac:dyDescent="0.2">
      <c r="A670" t="s">
        <v>111</v>
      </c>
      <c r="B670" t="b">
        <v>1</v>
      </c>
      <c r="E670">
        <v>749</v>
      </c>
      <c r="F670" t="str">
        <f>HYPERLINK("https://portal.dnb.de/opac.htm?method=simpleSearch&amp;cqlMode=true&amp;query=idn%3D1066859361", "Portal")</f>
        <v>Portal</v>
      </c>
      <c r="G670" t="s">
        <v>125</v>
      </c>
      <c r="H670" t="s">
        <v>3011</v>
      </c>
      <c r="I670" t="s">
        <v>3012</v>
      </c>
      <c r="J670" t="s">
        <v>3013</v>
      </c>
      <c r="K670" t="s">
        <v>3013</v>
      </c>
      <c r="L670" t="s">
        <v>3013</v>
      </c>
      <c r="N670" t="s">
        <v>3014</v>
      </c>
      <c r="O670" t="s">
        <v>117</v>
      </c>
      <c r="P670" t="s">
        <v>118</v>
      </c>
      <c r="R670" t="s">
        <v>120</v>
      </c>
      <c r="S670" t="s">
        <v>121</v>
      </c>
      <c r="T670" t="s">
        <v>130</v>
      </c>
      <c r="U670" t="s">
        <v>178</v>
      </c>
      <c r="W670" t="s">
        <v>67</v>
      </c>
      <c r="X670" t="s">
        <v>124</v>
      </c>
      <c r="Y670">
        <v>0</v>
      </c>
      <c r="BN670">
        <v>0</v>
      </c>
    </row>
    <row r="671" spans="1:91" x14ac:dyDescent="0.2">
      <c r="A671" t="s">
        <v>111</v>
      </c>
      <c r="B671" t="b">
        <v>1</v>
      </c>
      <c r="F671" t="str">
        <f>HYPERLINK("https://portal.dnb.de/opac.htm?method=simpleSearch&amp;cqlMode=true&amp;query=idn%3D1268890332", "Portal")</f>
        <v>Portal</v>
      </c>
      <c r="G671" t="s">
        <v>319</v>
      </c>
      <c r="H671" t="s">
        <v>3015</v>
      </c>
      <c r="I671" t="s">
        <v>3016</v>
      </c>
      <c r="J671" t="s">
        <v>3017</v>
      </c>
      <c r="K671" t="s">
        <v>3017</v>
      </c>
      <c r="L671" t="s">
        <v>3017</v>
      </c>
      <c r="N671" t="s">
        <v>338</v>
      </c>
      <c r="O671" t="s">
        <v>117</v>
      </c>
      <c r="S671" t="s">
        <v>146</v>
      </c>
      <c r="AI671" t="s">
        <v>133</v>
      </c>
      <c r="AL671" t="s">
        <v>132</v>
      </c>
      <c r="AM671" t="s">
        <v>196</v>
      </c>
      <c r="AS671" t="s">
        <v>135</v>
      </c>
      <c r="BG671">
        <v>60</v>
      </c>
      <c r="BM671" t="s">
        <v>137</v>
      </c>
      <c r="BN671">
        <v>0</v>
      </c>
      <c r="BP671" t="s">
        <v>181</v>
      </c>
    </row>
    <row r="672" spans="1:91" x14ac:dyDescent="0.2">
      <c r="A672" t="s">
        <v>111</v>
      </c>
      <c r="B672" t="b">
        <v>1</v>
      </c>
      <c r="C672" t="s">
        <v>132</v>
      </c>
      <c r="E672">
        <v>798</v>
      </c>
      <c r="F672" t="str">
        <f>HYPERLINK("https://portal.dnb.de/opac.htm?method=simpleSearch&amp;cqlMode=true&amp;query=idn%3D1002285739", "Portal")</f>
        <v>Portal</v>
      </c>
      <c r="G672" t="s">
        <v>542</v>
      </c>
      <c r="H672" t="s">
        <v>3018</v>
      </c>
      <c r="I672" t="s">
        <v>3019</v>
      </c>
      <c r="J672" t="s">
        <v>3020</v>
      </c>
      <c r="K672" t="s">
        <v>3020</v>
      </c>
      <c r="L672" t="s">
        <v>3021</v>
      </c>
      <c r="N672" t="s">
        <v>3022</v>
      </c>
      <c r="O672" t="s">
        <v>713</v>
      </c>
      <c r="P672" t="s">
        <v>118</v>
      </c>
      <c r="R672" t="s">
        <v>120</v>
      </c>
      <c r="S672" t="s">
        <v>121</v>
      </c>
      <c r="T672" t="s">
        <v>130</v>
      </c>
      <c r="U672" t="s">
        <v>123</v>
      </c>
      <c r="W672" t="s">
        <v>229</v>
      </c>
      <c r="X672" t="s">
        <v>302</v>
      </c>
      <c r="Y672">
        <v>0</v>
      </c>
      <c r="AH672" t="s">
        <v>132</v>
      </c>
      <c r="AI672" t="s">
        <v>133</v>
      </c>
      <c r="AM672" t="s">
        <v>179</v>
      </c>
      <c r="AS672" t="s">
        <v>135</v>
      </c>
      <c r="BG672">
        <v>60</v>
      </c>
      <c r="BM672" t="s">
        <v>180</v>
      </c>
      <c r="BN672">
        <v>0.5</v>
      </c>
      <c r="BT672" t="s">
        <v>562</v>
      </c>
      <c r="BU672" t="s">
        <v>132</v>
      </c>
      <c r="BY672" t="s">
        <v>3023</v>
      </c>
      <c r="BZ672" t="s">
        <v>132</v>
      </c>
      <c r="CB672" t="s">
        <v>132</v>
      </c>
      <c r="CL672" t="s">
        <v>132</v>
      </c>
      <c r="CM672">
        <v>0.5</v>
      </c>
    </row>
    <row r="673" spans="1:74" x14ac:dyDescent="0.2">
      <c r="A673" t="s">
        <v>111</v>
      </c>
      <c r="B673" t="b">
        <v>1</v>
      </c>
      <c r="E673">
        <v>750</v>
      </c>
      <c r="F673" t="str">
        <f>HYPERLINK("https://portal.dnb.de/opac.htm?method=simpleSearch&amp;cqlMode=true&amp;query=idn%3D1066850437", "Portal")</f>
        <v>Portal</v>
      </c>
      <c r="G673" t="s">
        <v>125</v>
      </c>
      <c r="H673" t="s">
        <v>3024</v>
      </c>
      <c r="I673" t="s">
        <v>3025</v>
      </c>
      <c r="J673" t="s">
        <v>3026</v>
      </c>
      <c r="K673" t="s">
        <v>3026</v>
      </c>
      <c r="L673" t="s">
        <v>3026</v>
      </c>
      <c r="N673" t="s">
        <v>3027</v>
      </c>
      <c r="O673" t="s">
        <v>117</v>
      </c>
      <c r="S673" t="s">
        <v>470</v>
      </c>
      <c r="AI673" t="s">
        <v>646</v>
      </c>
      <c r="AK673" t="s">
        <v>132</v>
      </c>
      <c r="AM673" t="s">
        <v>150</v>
      </c>
      <c r="AS673" t="s">
        <v>135</v>
      </c>
      <c r="BG673">
        <v>110</v>
      </c>
      <c r="BM673" t="s">
        <v>137</v>
      </c>
      <c r="BN673">
        <v>0</v>
      </c>
    </row>
    <row r="674" spans="1:74" x14ac:dyDescent="0.2">
      <c r="A674" t="s">
        <v>111</v>
      </c>
      <c r="B674" t="b">
        <v>1</v>
      </c>
      <c r="E674">
        <v>751</v>
      </c>
      <c r="F674" t="str">
        <f>HYPERLINK("https://portal.dnb.de/opac.htm?method=simpleSearch&amp;cqlMode=true&amp;query=idn%3D1066753873", "Portal")</f>
        <v>Portal</v>
      </c>
      <c r="G674" t="s">
        <v>125</v>
      </c>
      <c r="H674" t="s">
        <v>3028</v>
      </c>
      <c r="I674" t="s">
        <v>3029</v>
      </c>
      <c r="J674" t="s">
        <v>3030</v>
      </c>
      <c r="K674" t="s">
        <v>3030</v>
      </c>
      <c r="L674" t="s">
        <v>3030</v>
      </c>
      <c r="N674" t="s">
        <v>3031</v>
      </c>
      <c r="O674" t="s">
        <v>117</v>
      </c>
      <c r="P674" t="s">
        <v>118</v>
      </c>
      <c r="R674" t="s">
        <v>238</v>
      </c>
      <c r="S674" t="s">
        <v>121</v>
      </c>
      <c r="T674" t="s">
        <v>130</v>
      </c>
      <c r="U674" t="s">
        <v>203</v>
      </c>
      <c r="W674" t="s">
        <v>147</v>
      </c>
      <c r="X674" t="s">
        <v>860</v>
      </c>
      <c r="Y674">
        <v>0</v>
      </c>
      <c r="AA674" t="s">
        <v>2813</v>
      </c>
      <c r="BN674">
        <v>0</v>
      </c>
    </row>
    <row r="675" spans="1:74" x14ac:dyDescent="0.2">
      <c r="A675" t="s">
        <v>111</v>
      </c>
      <c r="B675" t="b">
        <v>1</v>
      </c>
      <c r="E675">
        <v>802</v>
      </c>
      <c r="F675" t="str">
        <f>HYPERLINK("https://portal.dnb.de/opac.htm?method=simpleSearch&amp;cqlMode=true&amp;query=idn%3D994566468", "Portal")</f>
        <v>Portal</v>
      </c>
      <c r="G675" t="s">
        <v>112</v>
      </c>
      <c r="H675" t="s">
        <v>3032</v>
      </c>
      <c r="I675" t="s">
        <v>3033</v>
      </c>
      <c r="J675" t="s">
        <v>3034</v>
      </c>
      <c r="K675" t="s">
        <v>3034</v>
      </c>
      <c r="L675" t="s">
        <v>3035</v>
      </c>
      <c r="N675" t="s">
        <v>3036</v>
      </c>
      <c r="O675" t="s">
        <v>117</v>
      </c>
      <c r="P675" t="s">
        <v>118</v>
      </c>
      <c r="R675" t="s">
        <v>120</v>
      </c>
      <c r="S675" t="s">
        <v>121</v>
      </c>
      <c r="T675" t="s">
        <v>130</v>
      </c>
      <c r="U675" t="s">
        <v>458</v>
      </c>
      <c r="W675" t="s">
        <v>67</v>
      </c>
      <c r="X675" t="s">
        <v>860</v>
      </c>
      <c r="Y675">
        <v>0</v>
      </c>
      <c r="AA675" t="s">
        <v>3037</v>
      </c>
      <c r="BN675">
        <v>0</v>
      </c>
    </row>
    <row r="676" spans="1:74" x14ac:dyDescent="0.2">
      <c r="A676" t="s">
        <v>111</v>
      </c>
      <c r="B676" t="b">
        <v>1</v>
      </c>
      <c r="E676">
        <v>752</v>
      </c>
      <c r="F676" t="str">
        <f>HYPERLINK("https://portal.dnb.de/opac.htm?method=simpleSearch&amp;cqlMode=true&amp;query=idn%3D1066777330", "Portal")</f>
        <v>Portal</v>
      </c>
      <c r="G676" t="s">
        <v>125</v>
      </c>
      <c r="H676" t="s">
        <v>3038</v>
      </c>
      <c r="I676" t="s">
        <v>3039</v>
      </c>
      <c r="J676" t="s">
        <v>3040</v>
      </c>
      <c r="K676" t="s">
        <v>3040</v>
      </c>
      <c r="L676" t="s">
        <v>3040</v>
      </c>
      <c r="N676" t="s">
        <v>3041</v>
      </c>
      <c r="O676" t="s">
        <v>117</v>
      </c>
      <c r="P676" t="s">
        <v>118</v>
      </c>
      <c r="R676" t="s">
        <v>262</v>
      </c>
      <c r="S676" t="s">
        <v>121</v>
      </c>
      <c r="T676" t="s">
        <v>130</v>
      </c>
      <c r="U676" t="s">
        <v>203</v>
      </c>
      <c r="X676" t="s">
        <v>168</v>
      </c>
      <c r="Y676">
        <v>0</v>
      </c>
      <c r="AA676" t="s">
        <v>2813</v>
      </c>
      <c r="BN676">
        <v>0</v>
      </c>
    </row>
    <row r="677" spans="1:74" x14ac:dyDescent="0.2">
      <c r="A677" t="s">
        <v>111</v>
      </c>
      <c r="B677" t="b">
        <v>1</v>
      </c>
      <c r="F677" t="str">
        <f>HYPERLINK("https://portal.dnb.de/opac.htm?method=simpleSearch&amp;cqlMode=true&amp;query=idn%3D1137732741", "Portal")</f>
        <v>Portal</v>
      </c>
      <c r="G677" t="s">
        <v>319</v>
      </c>
      <c r="H677" t="s">
        <v>3042</v>
      </c>
      <c r="I677" t="s">
        <v>3043</v>
      </c>
      <c r="J677" t="s">
        <v>3044</v>
      </c>
      <c r="K677" t="s">
        <v>3044</v>
      </c>
      <c r="L677" t="s">
        <v>3044</v>
      </c>
      <c r="N677" t="s">
        <v>3045</v>
      </c>
      <c r="O677" t="s">
        <v>117</v>
      </c>
      <c r="P677" t="s">
        <v>118</v>
      </c>
      <c r="R677" t="s">
        <v>238</v>
      </c>
      <c r="S677" t="s">
        <v>121</v>
      </c>
      <c r="T677" t="s">
        <v>130</v>
      </c>
      <c r="U677" t="s">
        <v>203</v>
      </c>
      <c r="W677" t="s">
        <v>147</v>
      </c>
      <c r="X677" t="s">
        <v>860</v>
      </c>
      <c r="Y677">
        <v>0</v>
      </c>
      <c r="BN677">
        <v>0</v>
      </c>
    </row>
    <row r="678" spans="1:74" x14ac:dyDescent="0.2">
      <c r="A678" t="s">
        <v>111</v>
      </c>
      <c r="B678" t="b">
        <v>1</v>
      </c>
      <c r="E678">
        <v>805</v>
      </c>
      <c r="F678" t="str">
        <f>HYPERLINK("https://portal.dnb.de/opac.htm?method=simpleSearch&amp;cqlMode=true&amp;query=idn%3D994151691", "Portal")</f>
        <v>Portal</v>
      </c>
      <c r="G678" t="s">
        <v>112</v>
      </c>
      <c r="H678" t="s">
        <v>3046</v>
      </c>
      <c r="I678" t="s">
        <v>3047</v>
      </c>
      <c r="J678" t="s">
        <v>3048</v>
      </c>
      <c r="K678" t="s">
        <v>3048</v>
      </c>
      <c r="L678" t="s">
        <v>3049</v>
      </c>
      <c r="M678" t="s">
        <v>3050</v>
      </c>
      <c r="N678" t="s">
        <v>3051</v>
      </c>
      <c r="O678" t="s">
        <v>117</v>
      </c>
      <c r="S678" t="s">
        <v>470</v>
      </c>
      <c r="AI678" t="s">
        <v>149</v>
      </c>
      <c r="AL678" t="s">
        <v>132</v>
      </c>
      <c r="AM678" t="s">
        <v>196</v>
      </c>
      <c r="AS678" t="s">
        <v>135</v>
      </c>
      <c r="AX678" t="s">
        <v>132</v>
      </c>
      <c r="BE678">
        <v>0</v>
      </c>
      <c r="BF678" t="s">
        <v>132</v>
      </c>
      <c r="BG678" t="s">
        <v>793</v>
      </c>
      <c r="BM678" t="s">
        <v>137</v>
      </c>
      <c r="BN678">
        <v>0</v>
      </c>
      <c r="BP678" t="s">
        <v>181</v>
      </c>
    </row>
    <row r="679" spans="1:74" x14ac:dyDescent="0.2">
      <c r="A679" t="s">
        <v>111</v>
      </c>
      <c r="B679" t="b">
        <v>1</v>
      </c>
      <c r="E679">
        <v>754</v>
      </c>
      <c r="F679" t="str">
        <f>HYPERLINK("https://portal.dnb.de/opac.htm?method=simpleSearch&amp;cqlMode=true&amp;query=idn%3D1066933766", "Portal")</f>
        <v>Portal</v>
      </c>
      <c r="G679" t="s">
        <v>125</v>
      </c>
      <c r="H679" t="s">
        <v>3052</v>
      </c>
      <c r="I679" t="s">
        <v>3053</v>
      </c>
      <c r="J679" t="s">
        <v>3054</v>
      </c>
      <c r="K679" t="s">
        <v>3054</v>
      </c>
      <c r="L679" t="s">
        <v>3054</v>
      </c>
      <c r="N679" t="s">
        <v>3055</v>
      </c>
      <c r="O679" t="s">
        <v>117</v>
      </c>
      <c r="P679" t="s">
        <v>118</v>
      </c>
      <c r="R679" t="s">
        <v>223</v>
      </c>
      <c r="S679" t="s">
        <v>146</v>
      </c>
      <c r="T679" t="s">
        <v>122</v>
      </c>
      <c r="U679" t="s">
        <v>203</v>
      </c>
      <c r="W679" t="s">
        <v>147</v>
      </c>
      <c r="X679" t="s">
        <v>124</v>
      </c>
      <c r="AI679" t="s">
        <v>365</v>
      </c>
      <c r="AK679" t="s">
        <v>132</v>
      </c>
      <c r="AM679" t="s">
        <v>134</v>
      </c>
      <c r="AS679" t="s">
        <v>135</v>
      </c>
      <c r="BG679">
        <v>60</v>
      </c>
      <c r="BM679" t="s">
        <v>137</v>
      </c>
      <c r="BN679">
        <v>0</v>
      </c>
      <c r="BR679" t="s">
        <v>132</v>
      </c>
      <c r="BV679" t="s">
        <v>355</v>
      </c>
    </row>
    <row r="680" spans="1:74" x14ac:dyDescent="0.2">
      <c r="A680" t="s">
        <v>111</v>
      </c>
      <c r="B680" t="b">
        <v>1</v>
      </c>
      <c r="E680">
        <v>755</v>
      </c>
      <c r="F680" t="str">
        <f>HYPERLINK("https://portal.dnb.de/opac.htm?method=simpleSearch&amp;cqlMode=true&amp;query=idn%3D1066876231", "Portal")</f>
        <v>Portal</v>
      </c>
      <c r="G680" t="s">
        <v>125</v>
      </c>
      <c r="H680" t="s">
        <v>3056</v>
      </c>
      <c r="I680" t="s">
        <v>3057</v>
      </c>
      <c r="J680" t="s">
        <v>3058</v>
      </c>
      <c r="K680" t="s">
        <v>3058</v>
      </c>
      <c r="L680" t="s">
        <v>3058</v>
      </c>
      <c r="N680" t="s">
        <v>3059</v>
      </c>
      <c r="O680" t="s">
        <v>117</v>
      </c>
      <c r="R680" t="s">
        <v>145</v>
      </c>
      <c r="S680" t="s">
        <v>146</v>
      </c>
      <c r="T680" t="s">
        <v>122</v>
      </c>
      <c r="U680" t="s">
        <v>123</v>
      </c>
      <c r="Y680">
        <v>2</v>
      </c>
      <c r="AI680" t="s">
        <v>133</v>
      </c>
      <c r="AK680" t="s">
        <v>132</v>
      </c>
      <c r="AM680" t="s">
        <v>179</v>
      </c>
      <c r="AS680" t="s">
        <v>135</v>
      </c>
      <c r="BG680">
        <v>0</v>
      </c>
      <c r="BH680" t="s">
        <v>800</v>
      </c>
      <c r="BM680" t="s">
        <v>137</v>
      </c>
      <c r="BN680">
        <v>0</v>
      </c>
      <c r="BV680" t="s">
        <v>355</v>
      </c>
    </row>
    <row r="681" spans="1:74" x14ac:dyDescent="0.2">
      <c r="A681" t="s">
        <v>111</v>
      </c>
      <c r="B681" t="b">
        <v>1</v>
      </c>
      <c r="E681">
        <v>756</v>
      </c>
      <c r="F681" t="str">
        <f>HYPERLINK("https://portal.dnb.de/opac.htm?method=simpleSearch&amp;cqlMode=true&amp;query=idn%3D1066488770", "Portal")</f>
        <v>Portal</v>
      </c>
      <c r="G681" t="s">
        <v>125</v>
      </c>
      <c r="H681" t="s">
        <v>3060</v>
      </c>
      <c r="I681" t="s">
        <v>3061</v>
      </c>
      <c r="J681" t="s">
        <v>3062</v>
      </c>
      <c r="K681" t="s">
        <v>3062</v>
      </c>
      <c r="L681" t="s">
        <v>3062</v>
      </c>
      <c r="N681" t="s">
        <v>3063</v>
      </c>
      <c r="O681" t="s">
        <v>117</v>
      </c>
      <c r="P681" t="s">
        <v>118</v>
      </c>
      <c r="R681" t="s">
        <v>120</v>
      </c>
      <c r="S681" t="s">
        <v>121</v>
      </c>
      <c r="T681" t="s">
        <v>130</v>
      </c>
      <c r="U681" t="s">
        <v>178</v>
      </c>
      <c r="X681" t="s">
        <v>168</v>
      </c>
      <c r="Y681">
        <v>0</v>
      </c>
      <c r="BN681">
        <v>0</v>
      </c>
    </row>
    <row r="682" spans="1:74" x14ac:dyDescent="0.2">
      <c r="A682" t="s">
        <v>111</v>
      </c>
      <c r="B682" t="b">
        <v>1</v>
      </c>
      <c r="E682">
        <v>757</v>
      </c>
      <c r="F682" t="str">
        <f>HYPERLINK("https://portal.dnb.de/opac.htm?method=simpleSearch&amp;cqlMode=true&amp;query=idn%3D1066937478", "Portal")</f>
        <v>Portal</v>
      </c>
      <c r="G682" t="s">
        <v>125</v>
      </c>
      <c r="H682" t="s">
        <v>3064</v>
      </c>
      <c r="I682" t="s">
        <v>3065</v>
      </c>
      <c r="J682" t="s">
        <v>3066</v>
      </c>
      <c r="K682" t="s">
        <v>3066</v>
      </c>
      <c r="L682" t="s">
        <v>3066</v>
      </c>
      <c r="N682" t="s">
        <v>3067</v>
      </c>
      <c r="O682" t="s">
        <v>117</v>
      </c>
      <c r="P682" t="s">
        <v>118</v>
      </c>
      <c r="R682" t="s">
        <v>157</v>
      </c>
      <c r="S682" t="s">
        <v>121</v>
      </c>
      <c r="T682" t="s">
        <v>130</v>
      </c>
      <c r="U682" t="s">
        <v>203</v>
      </c>
      <c r="Y682">
        <v>0</v>
      </c>
      <c r="BN682">
        <v>0</v>
      </c>
    </row>
    <row r="683" spans="1:74" x14ac:dyDescent="0.2">
      <c r="A683" t="s">
        <v>111</v>
      </c>
      <c r="B683" t="b">
        <v>1</v>
      </c>
      <c r="E683">
        <v>758</v>
      </c>
      <c r="F683" t="str">
        <f>HYPERLINK("https://portal.dnb.de/opac.htm?method=simpleSearch&amp;cqlMode=true&amp;query=idn%3D1066488940", "Portal")</f>
        <v>Portal</v>
      </c>
      <c r="G683" t="s">
        <v>125</v>
      </c>
      <c r="H683" t="s">
        <v>3068</v>
      </c>
      <c r="I683" t="s">
        <v>3069</v>
      </c>
      <c r="J683" t="s">
        <v>3070</v>
      </c>
      <c r="K683" t="s">
        <v>3070</v>
      </c>
      <c r="L683" t="s">
        <v>3070</v>
      </c>
      <c r="N683" t="s">
        <v>3071</v>
      </c>
      <c r="O683" t="s">
        <v>117</v>
      </c>
      <c r="P683" t="s">
        <v>118</v>
      </c>
      <c r="R683" t="s">
        <v>145</v>
      </c>
      <c r="S683" t="s">
        <v>121</v>
      </c>
      <c r="T683" t="s">
        <v>834</v>
      </c>
      <c r="U683" t="s">
        <v>178</v>
      </c>
      <c r="W683" t="s">
        <v>67</v>
      </c>
      <c r="X683" t="s">
        <v>124</v>
      </c>
      <c r="Y683">
        <v>0</v>
      </c>
      <c r="BN683">
        <v>0</v>
      </c>
    </row>
    <row r="684" spans="1:74" x14ac:dyDescent="0.2">
      <c r="A684" t="s">
        <v>111</v>
      </c>
      <c r="B684" t="b">
        <v>1</v>
      </c>
      <c r="E684">
        <v>759</v>
      </c>
      <c r="F684" t="str">
        <f>HYPERLINK("https://portal.dnb.de/opac.htm?method=simpleSearch&amp;cqlMode=true&amp;query=idn%3D106693505X", "Portal")</f>
        <v>Portal</v>
      </c>
      <c r="G684" t="s">
        <v>125</v>
      </c>
      <c r="H684" t="s">
        <v>3072</v>
      </c>
      <c r="I684" t="s">
        <v>3073</v>
      </c>
      <c r="J684" t="s">
        <v>3074</v>
      </c>
      <c r="K684" t="s">
        <v>3074</v>
      </c>
      <c r="L684" t="s">
        <v>3074</v>
      </c>
      <c r="N684" t="s">
        <v>3075</v>
      </c>
      <c r="O684" t="s">
        <v>117</v>
      </c>
      <c r="P684" t="s">
        <v>118</v>
      </c>
      <c r="R684" t="s">
        <v>120</v>
      </c>
      <c r="S684" t="s">
        <v>121</v>
      </c>
      <c r="T684" t="s">
        <v>834</v>
      </c>
      <c r="U684" t="s">
        <v>210</v>
      </c>
      <c r="X684" t="s">
        <v>168</v>
      </c>
      <c r="Y684">
        <v>0</v>
      </c>
      <c r="BN684">
        <v>0</v>
      </c>
    </row>
    <row r="685" spans="1:74" x14ac:dyDescent="0.2">
      <c r="A685" t="s">
        <v>111</v>
      </c>
      <c r="B685" t="b">
        <v>1</v>
      </c>
      <c r="E685">
        <v>760</v>
      </c>
      <c r="F685" t="str">
        <f>HYPERLINK("https://portal.dnb.de/opac.htm?method=simpleSearch&amp;cqlMode=true&amp;query=idn%3D1066941742", "Portal")</f>
        <v>Portal</v>
      </c>
      <c r="G685" t="s">
        <v>125</v>
      </c>
      <c r="H685" t="s">
        <v>3076</v>
      </c>
      <c r="I685" t="s">
        <v>3077</v>
      </c>
      <c r="J685" t="s">
        <v>3078</v>
      </c>
      <c r="K685" t="s">
        <v>3078</v>
      </c>
      <c r="L685" t="s">
        <v>3078</v>
      </c>
      <c r="N685" t="s">
        <v>3079</v>
      </c>
      <c r="O685" t="s">
        <v>117</v>
      </c>
      <c r="P685" t="s">
        <v>118</v>
      </c>
      <c r="R685" t="s">
        <v>145</v>
      </c>
      <c r="S685" t="s">
        <v>146</v>
      </c>
      <c r="T685" t="s">
        <v>130</v>
      </c>
      <c r="U685" t="s">
        <v>123</v>
      </c>
      <c r="W685" t="s">
        <v>147</v>
      </c>
      <c r="X685" t="s">
        <v>124</v>
      </c>
      <c r="Y685">
        <v>2</v>
      </c>
      <c r="Z685" t="s">
        <v>3080</v>
      </c>
      <c r="BN685">
        <v>0</v>
      </c>
    </row>
    <row r="686" spans="1:74" x14ac:dyDescent="0.2">
      <c r="A686" t="s">
        <v>111</v>
      </c>
      <c r="B686" t="b">
        <v>1</v>
      </c>
      <c r="E686">
        <v>761</v>
      </c>
      <c r="F686" t="str">
        <f>HYPERLINK("https://portal.dnb.de/opac.htm?method=simpleSearch&amp;cqlMode=true&amp;query=idn%3D1066870756", "Portal")</f>
        <v>Portal</v>
      </c>
      <c r="G686" t="s">
        <v>125</v>
      </c>
      <c r="H686" t="s">
        <v>3081</v>
      </c>
      <c r="I686" t="s">
        <v>3082</v>
      </c>
      <c r="J686" t="s">
        <v>3083</v>
      </c>
      <c r="K686" t="s">
        <v>3083</v>
      </c>
      <c r="L686" t="s">
        <v>3083</v>
      </c>
      <c r="N686" t="s">
        <v>3084</v>
      </c>
      <c r="O686" t="s">
        <v>117</v>
      </c>
      <c r="P686" t="s">
        <v>118</v>
      </c>
      <c r="R686" t="s">
        <v>480</v>
      </c>
      <c r="S686" t="s">
        <v>121</v>
      </c>
      <c r="T686" t="s">
        <v>130</v>
      </c>
      <c r="U686" t="s">
        <v>203</v>
      </c>
      <c r="X686" t="s">
        <v>168</v>
      </c>
      <c r="Y686">
        <v>0</v>
      </c>
      <c r="BN686">
        <v>0</v>
      </c>
    </row>
    <row r="687" spans="1:74" x14ac:dyDescent="0.2">
      <c r="A687" t="s">
        <v>111</v>
      </c>
      <c r="B687" t="b">
        <v>1</v>
      </c>
      <c r="E687">
        <v>806</v>
      </c>
      <c r="F687" t="str">
        <f>HYPERLINK("https://portal.dnb.de/opac.htm?method=simpleSearch&amp;cqlMode=true&amp;query=idn%3D1066943184", "Portal")</f>
        <v>Portal</v>
      </c>
      <c r="G687" t="s">
        <v>125</v>
      </c>
      <c r="H687" t="s">
        <v>3085</v>
      </c>
      <c r="I687" t="s">
        <v>3086</v>
      </c>
      <c r="J687" t="s">
        <v>3087</v>
      </c>
      <c r="K687" t="s">
        <v>3087</v>
      </c>
      <c r="L687" t="s">
        <v>3087</v>
      </c>
      <c r="N687" t="s">
        <v>3088</v>
      </c>
      <c r="O687" t="s">
        <v>117</v>
      </c>
      <c r="P687" t="s">
        <v>118</v>
      </c>
      <c r="R687" t="s">
        <v>257</v>
      </c>
      <c r="S687" t="s">
        <v>121</v>
      </c>
      <c r="T687" t="s">
        <v>122</v>
      </c>
      <c r="U687" t="s">
        <v>203</v>
      </c>
      <c r="X687" t="s">
        <v>168</v>
      </c>
      <c r="Y687">
        <v>0</v>
      </c>
      <c r="AI687" t="s">
        <v>135</v>
      </c>
      <c r="AM687" t="s">
        <v>134</v>
      </c>
      <c r="AS687" t="s">
        <v>135</v>
      </c>
      <c r="BG687">
        <v>110</v>
      </c>
      <c r="BM687" t="s">
        <v>137</v>
      </c>
      <c r="BN687">
        <v>0</v>
      </c>
      <c r="BV687" t="s">
        <v>355</v>
      </c>
    </row>
    <row r="688" spans="1:74" x14ac:dyDescent="0.2">
      <c r="A688" t="s">
        <v>111</v>
      </c>
      <c r="B688" t="b">
        <v>1</v>
      </c>
      <c r="E688">
        <v>762</v>
      </c>
      <c r="F688" t="str">
        <f>HYPERLINK("https://portal.dnb.de/opac.htm?method=simpleSearch&amp;cqlMode=true&amp;query=idn%3D1066674361", "Portal")</f>
        <v>Portal</v>
      </c>
      <c r="G688" t="s">
        <v>125</v>
      </c>
      <c r="H688" t="s">
        <v>3089</v>
      </c>
      <c r="I688" t="s">
        <v>3090</v>
      </c>
      <c r="J688" t="s">
        <v>3091</v>
      </c>
      <c r="K688" t="s">
        <v>3091</v>
      </c>
      <c r="L688" t="s">
        <v>3091</v>
      </c>
      <c r="N688" t="s">
        <v>3092</v>
      </c>
      <c r="O688" t="s">
        <v>117</v>
      </c>
      <c r="R688" t="s">
        <v>157</v>
      </c>
      <c r="S688" t="s">
        <v>146</v>
      </c>
      <c r="T688" t="s">
        <v>122</v>
      </c>
      <c r="U688" t="s">
        <v>203</v>
      </c>
      <c r="W688" t="s">
        <v>67</v>
      </c>
      <c r="X688" t="s">
        <v>124</v>
      </c>
      <c r="Y688">
        <v>0</v>
      </c>
      <c r="BN688">
        <v>0</v>
      </c>
    </row>
    <row r="689" spans="1:74" x14ac:dyDescent="0.2">
      <c r="A689" t="s">
        <v>111</v>
      </c>
      <c r="B689" t="b">
        <v>1</v>
      </c>
      <c r="F689" t="str">
        <f>HYPERLINK("https://portal.dnb.de/opac.htm?method=simpleSearch&amp;cqlMode=true&amp;query=idn%3D1253118221", "Portal")</f>
        <v>Portal</v>
      </c>
      <c r="G689" t="s">
        <v>319</v>
      </c>
      <c r="H689" t="s">
        <v>3093</v>
      </c>
      <c r="I689" t="s">
        <v>3094</v>
      </c>
      <c r="J689" t="s">
        <v>3095</v>
      </c>
      <c r="K689" t="s">
        <v>3095</v>
      </c>
      <c r="L689" t="s">
        <v>3095</v>
      </c>
      <c r="N689" t="s">
        <v>3096</v>
      </c>
      <c r="O689" t="s">
        <v>117</v>
      </c>
      <c r="P689" t="s">
        <v>118</v>
      </c>
      <c r="Q689" t="s">
        <v>3097</v>
      </c>
      <c r="R689" t="s">
        <v>223</v>
      </c>
      <c r="S689" t="s">
        <v>146</v>
      </c>
      <c r="T689" t="s">
        <v>130</v>
      </c>
      <c r="U689" t="s">
        <v>178</v>
      </c>
      <c r="W689" t="s">
        <v>147</v>
      </c>
      <c r="X689" t="s">
        <v>124</v>
      </c>
      <c r="Y689">
        <v>1</v>
      </c>
      <c r="BN689">
        <v>0</v>
      </c>
    </row>
    <row r="690" spans="1:74" x14ac:dyDescent="0.2">
      <c r="A690" t="s">
        <v>111</v>
      </c>
      <c r="B690" t="b">
        <v>1</v>
      </c>
      <c r="E690">
        <v>763</v>
      </c>
      <c r="F690" t="str">
        <f>HYPERLINK("https://portal.dnb.de/opac.htm?method=simpleSearch&amp;cqlMode=true&amp;query=idn%3D1066873933", "Portal")</f>
        <v>Portal</v>
      </c>
      <c r="G690" t="s">
        <v>125</v>
      </c>
      <c r="H690" t="s">
        <v>3098</v>
      </c>
      <c r="I690" t="s">
        <v>3099</v>
      </c>
      <c r="J690" t="s">
        <v>3100</v>
      </c>
      <c r="K690" t="s">
        <v>3100</v>
      </c>
      <c r="L690" t="s">
        <v>3100</v>
      </c>
      <c r="N690" t="s">
        <v>3101</v>
      </c>
      <c r="O690" t="s">
        <v>117</v>
      </c>
      <c r="P690" t="s">
        <v>118</v>
      </c>
      <c r="R690" t="s">
        <v>257</v>
      </c>
      <c r="S690" t="s">
        <v>121</v>
      </c>
      <c r="T690" t="s">
        <v>130</v>
      </c>
      <c r="U690" t="s">
        <v>131</v>
      </c>
      <c r="X690" t="s">
        <v>168</v>
      </c>
      <c r="Y690">
        <v>0</v>
      </c>
      <c r="BN690">
        <v>0</v>
      </c>
    </row>
    <row r="691" spans="1:74" x14ac:dyDescent="0.2">
      <c r="A691" t="s">
        <v>111</v>
      </c>
      <c r="B691" t="b">
        <v>1</v>
      </c>
      <c r="E691">
        <v>810</v>
      </c>
      <c r="F691" t="str">
        <f>HYPERLINK("https://portal.dnb.de/opac.htm?method=simpleSearch&amp;cqlMode=true&amp;query=idn%3D1000777227", "Portal")</f>
        <v>Portal</v>
      </c>
      <c r="G691" t="s">
        <v>542</v>
      </c>
      <c r="H691" t="s">
        <v>3102</v>
      </c>
      <c r="I691" t="s">
        <v>3103</v>
      </c>
      <c r="J691" t="s">
        <v>3104</v>
      </c>
      <c r="K691" t="s">
        <v>3104</v>
      </c>
      <c r="L691" t="s">
        <v>3105</v>
      </c>
      <c r="N691" t="s">
        <v>3106</v>
      </c>
      <c r="O691" t="s">
        <v>3107</v>
      </c>
      <c r="P691" t="s">
        <v>118</v>
      </c>
      <c r="R691" t="s">
        <v>120</v>
      </c>
      <c r="S691" t="s">
        <v>121</v>
      </c>
      <c r="T691" t="s">
        <v>130</v>
      </c>
      <c r="U691" t="s">
        <v>178</v>
      </c>
      <c r="W691" t="s">
        <v>67</v>
      </c>
      <c r="X691" t="s">
        <v>124</v>
      </c>
      <c r="Y691">
        <v>0</v>
      </c>
      <c r="BN691">
        <v>0</v>
      </c>
    </row>
    <row r="692" spans="1:74" x14ac:dyDescent="0.2">
      <c r="A692" t="s">
        <v>111</v>
      </c>
      <c r="B692" t="b">
        <v>1</v>
      </c>
      <c r="E692">
        <v>811</v>
      </c>
      <c r="F692" t="str">
        <f>HYPERLINK("https://portal.dnb.de/opac.htm?method=simpleSearch&amp;cqlMode=true&amp;query=idn%3D1000777332", "Portal")</f>
        <v>Portal</v>
      </c>
      <c r="G692" t="s">
        <v>542</v>
      </c>
      <c r="H692" t="s">
        <v>3108</v>
      </c>
      <c r="I692" t="s">
        <v>3109</v>
      </c>
      <c r="J692" t="s">
        <v>3104</v>
      </c>
      <c r="K692" t="s">
        <v>3104</v>
      </c>
      <c r="L692" t="s">
        <v>3110</v>
      </c>
      <c r="N692" t="s">
        <v>3106</v>
      </c>
      <c r="O692" t="s">
        <v>3111</v>
      </c>
      <c r="BN692">
        <v>0</v>
      </c>
    </row>
    <row r="693" spans="1:74" x14ac:dyDescent="0.2">
      <c r="A693" t="s">
        <v>111</v>
      </c>
      <c r="B693" t="b">
        <v>1</v>
      </c>
      <c r="E693">
        <v>764</v>
      </c>
      <c r="F693" t="str">
        <f>HYPERLINK("https://portal.dnb.de/opac.htm?method=simpleSearch&amp;cqlMode=true&amp;query=idn%3D1066851433", "Portal")</f>
        <v>Portal</v>
      </c>
      <c r="G693" t="s">
        <v>125</v>
      </c>
      <c r="H693" t="s">
        <v>3112</v>
      </c>
      <c r="I693" t="s">
        <v>3113</v>
      </c>
      <c r="J693" t="s">
        <v>3114</v>
      </c>
      <c r="K693" t="s">
        <v>3114</v>
      </c>
      <c r="L693" t="s">
        <v>3114</v>
      </c>
      <c r="N693" t="s">
        <v>3115</v>
      </c>
      <c r="O693" t="s">
        <v>117</v>
      </c>
      <c r="P693" t="s">
        <v>118</v>
      </c>
      <c r="R693" t="s">
        <v>223</v>
      </c>
      <c r="S693" t="s">
        <v>146</v>
      </c>
      <c r="T693" t="s">
        <v>122</v>
      </c>
      <c r="U693" t="s">
        <v>203</v>
      </c>
      <c r="W693" t="s">
        <v>147</v>
      </c>
      <c r="X693" t="s">
        <v>124</v>
      </c>
      <c r="Y693">
        <v>2</v>
      </c>
      <c r="AI693" t="s">
        <v>365</v>
      </c>
      <c r="AK693" t="s">
        <v>132</v>
      </c>
      <c r="AM693" t="s">
        <v>134</v>
      </c>
      <c r="AS693" t="s">
        <v>135</v>
      </c>
      <c r="BG693">
        <v>110</v>
      </c>
      <c r="BM693" t="s">
        <v>137</v>
      </c>
      <c r="BN693">
        <v>0</v>
      </c>
      <c r="BR693" t="s">
        <v>132</v>
      </c>
      <c r="BV693" t="s">
        <v>355</v>
      </c>
    </row>
    <row r="694" spans="1:74" x14ac:dyDescent="0.2">
      <c r="A694" t="s">
        <v>111</v>
      </c>
      <c r="B694" t="b">
        <v>1</v>
      </c>
      <c r="E694">
        <v>765</v>
      </c>
      <c r="F694" t="str">
        <f>HYPERLINK("https://portal.dnb.de/opac.htm?method=simpleSearch&amp;cqlMode=true&amp;query=idn%3D1066929327", "Portal")</f>
        <v>Portal</v>
      </c>
      <c r="G694" t="s">
        <v>125</v>
      </c>
      <c r="H694" t="s">
        <v>3116</v>
      </c>
      <c r="I694" t="s">
        <v>3117</v>
      </c>
      <c r="J694" t="s">
        <v>3118</v>
      </c>
      <c r="K694" t="s">
        <v>3118</v>
      </c>
      <c r="L694" t="s">
        <v>3118</v>
      </c>
      <c r="N694" t="s">
        <v>3119</v>
      </c>
      <c r="O694" t="s">
        <v>117</v>
      </c>
      <c r="P694" t="s">
        <v>118</v>
      </c>
      <c r="R694" t="s">
        <v>480</v>
      </c>
      <c r="S694" t="s">
        <v>121</v>
      </c>
      <c r="U694" t="s">
        <v>131</v>
      </c>
      <c r="Y694">
        <v>0</v>
      </c>
      <c r="BN694">
        <v>0</v>
      </c>
    </row>
    <row r="695" spans="1:74" x14ac:dyDescent="0.2">
      <c r="A695" t="s">
        <v>111</v>
      </c>
      <c r="B695" t="b">
        <v>1</v>
      </c>
      <c r="F695" t="str">
        <f>HYPERLINK("https://portal.dnb.de/opac.htm?method=simpleSearch&amp;cqlMode=true&amp;query=idn%3D1268677469", "Portal")</f>
        <v>Portal</v>
      </c>
      <c r="G695" t="s">
        <v>415</v>
      </c>
      <c r="H695" t="s">
        <v>3120</v>
      </c>
      <c r="I695" t="s">
        <v>3121</v>
      </c>
      <c r="J695" t="s">
        <v>3122</v>
      </c>
      <c r="K695" t="s">
        <v>3122</v>
      </c>
      <c r="L695" t="s">
        <v>3122</v>
      </c>
      <c r="N695" t="s">
        <v>3123</v>
      </c>
      <c r="O695" t="s">
        <v>117</v>
      </c>
      <c r="P695" t="s">
        <v>118</v>
      </c>
      <c r="R695" t="s">
        <v>120</v>
      </c>
      <c r="S695" t="s">
        <v>121</v>
      </c>
      <c r="T695" t="s">
        <v>130</v>
      </c>
      <c r="U695" t="s">
        <v>210</v>
      </c>
      <c r="X695" t="s">
        <v>168</v>
      </c>
      <c r="Y695">
        <v>0</v>
      </c>
      <c r="BN695">
        <v>0</v>
      </c>
    </row>
    <row r="696" spans="1:74" x14ac:dyDescent="0.2">
      <c r="A696" t="s">
        <v>111</v>
      </c>
      <c r="B696" t="b">
        <v>1</v>
      </c>
      <c r="E696">
        <v>766</v>
      </c>
      <c r="F696" t="str">
        <f>HYPERLINK("https://portal.dnb.de/opac.htm?method=simpleSearch&amp;cqlMode=true&amp;query=idn%3D1066878196", "Portal")</f>
        <v>Portal</v>
      </c>
      <c r="G696" t="s">
        <v>125</v>
      </c>
      <c r="H696" t="s">
        <v>3124</v>
      </c>
      <c r="I696" t="s">
        <v>3125</v>
      </c>
      <c r="J696" t="s">
        <v>3126</v>
      </c>
      <c r="K696" t="s">
        <v>3126</v>
      </c>
      <c r="L696" t="s">
        <v>3126</v>
      </c>
      <c r="N696" t="s">
        <v>3127</v>
      </c>
      <c r="O696" t="s">
        <v>117</v>
      </c>
      <c r="P696" t="s">
        <v>118</v>
      </c>
      <c r="R696" t="s">
        <v>223</v>
      </c>
      <c r="S696" t="s">
        <v>121</v>
      </c>
      <c r="T696" t="s">
        <v>130</v>
      </c>
      <c r="U696" t="s">
        <v>203</v>
      </c>
      <c r="W696" t="s">
        <v>147</v>
      </c>
      <c r="X696" t="s">
        <v>860</v>
      </c>
      <c r="Y696">
        <v>0</v>
      </c>
      <c r="BN696">
        <v>0</v>
      </c>
    </row>
    <row r="697" spans="1:74" x14ac:dyDescent="0.2">
      <c r="A697" t="s">
        <v>111</v>
      </c>
      <c r="B697" t="b">
        <v>1</v>
      </c>
      <c r="E697">
        <v>767</v>
      </c>
      <c r="F697" t="str">
        <f>HYPERLINK("https://portal.dnb.de/opac.htm?method=simpleSearch&amp;cqlMode=true&amp;query=idn%3D1066936382", "Portal")</f>
        <v>Portal</v>
      </c>
      <c r="G697" t="s">
        <v>125</v>
      </c>
      <c r="H697" t="s">
        <v>3128</v>
      </c>
      <c r="I697" t="s">
        <v>3129</v>
      </c>
      <c r="J697" t="s">
        <v>3130</v>
      </c>
      <c r="K697" t="s">
        <v>3130</v>
      </c>
      <c r="L697" t="s">
        <v>3130</v>
      </c>
      <c r="N697" t="s">
        <v>3131</v>
      </c>
      <c r="O697" t="s">
        <v>117</v>
      </c>
      <c r="P697" t="s">
        <v>118</v>
      </c>
      <c r="R697" t="s">
        <v>120</v>
      </c>
      <c r="S697" t="s">
        <v>121</v>
      </c>
      <c r="T697" t="s">
        <v>130</v>
      </c>
      <c r="U697" t="s">
        <v>3132</v>
      </c>
      <c r="V697" t="s">
        <v>3133</v>
      </c>
      <c r="W697" t="s">
        <v>67</v>
      </c>
      <c r="X697" t="s">
        <v>124</v>
      </c>
      <c r="Y697">
        <v>0</v>
      </c>
      <c r="BN697">
        <v>0</v>
      </c>
    </row>
    <row r="698" spans="1:74" x14ac:dyDescent="0.2">
      <c r="A698" t="s">
        <v>111</v>
      </c>
      <c r="B698" t="b">
        <v>1</v>
      </c>
      <c r="E698">
        <v>768</v>
      </c>
      <c r="F698" t="str">
        <f>HYPERLINK("https://portal.dnb.de/opac.htm?method=simpleSearch&amp;cqlMode=true&amp;query=idn%3D106684092X", "Portal")</f>
        <v>Portal</v>
      </c>
      <c r="G698" t="s">
        <v>125</v>
      </c>
      <c r="H698" t="s">
        <v>3134</v>
      </c>
      <c r="I698" t="s">
        <v>3135</v>
      </c>
      <c r="J698" t="s">
        <v>3136</v>
      </c>
      <c r="K698" t="s">
        <v>3136</v>
      </c>
      <c r="L698" t="s">
        <v>3136</v>
      </c>
      <c r="N698" t="s">
        <v>3137</v>
      </c>
      <c r="O698" t="s">
        <v>117</v>
      </c>
      <c r="P698" t="s">
        <v>118</v>
      </c>
      <c r="R698" t="s">
        <v>157</v>
      </c>
      <c r="S698" t="s">
        <v>146</v>
      </c>
      <c r="T698" t="s">
        <v>122</v>
      </c>
      <c r="U698" t="s">
        <v>173</v>
      </c>
      <c r="Y698">
        <v>0</v>
      </c>
      <c r="AI698" t="s">
        <v>646</v>
      </c>
      <c r="AL698" t="s">
        <v>132</v>
      </c>
      <c r="AM698" t="s">
        <v>134</v>
      </c>
      <c r="AN698" t="s">
        <v>132</v>
      </c>
      <c r="AS698" t="s">
        <v>135</v>
      </c>
      <c r="BG698">
        <v>180</v>
      </c>
      <c r="BM698" t="s">
        <v>137</v>
      </c>
      <c r="BN698">
        <v>0</v>
      </c>
      <c r="BV698" t="s">
        <v>3138</v>
      </c>
    </row>
    <row r="699" spans="1:74" x14ac:dyDescent="0.2">
      <c r="A699" t="s">
        <v>111</v>
      </c>
      <c r="B699" t="b">
        <v>1</v>
      </c>
      <c r="E699">
        <v>769</v>
      </c>
      <c r="F699" t="str">
        <f>HYPERLINK("https://portal.dnb.de/opac.htm?method=simpleSearch&amp;cqlMode=true&amp;query=idn%3D1066942129", "Portal")</f>
        <v>Portal</v>
      </c>
      <c r="G699" t="s">
        <v>125</v>
      </c>
      <c r="H699" t="s">
        <v>3139</v>
      </c>
      <c r="I699" t="s">
        <v>3140</v>
      </c>
      <c r="J699" t="s">
        <v>3141</v>
      </c>
      <c r="K699" t="s">
        <v>3141</v>
      </c>
      <c r="L699" t="s">
        <v>3141</v>
      </c>
      <c r="N699" t="s">
        <v>3142</v>
      </c>
      <c r="O699" t="s">
        <v>117</v>
      </c>
      <c r="P699" t="s">
        <v>118</v>
      </c>
      <c r="R699" t="s">
        <v>284</v>
      </c>
      <c r="S699" t="s">
        <v>121</v>
      </c>
      <c r="T699" t="s">
        <v>130</v>
      </c>
      <c r="U699" t="s">
        <v>173</v>
      </c>
      <c r="W699" t="s">
        <v>1959</v>
      </c>
      <c r="X699" t="s">
        <v>124</v>
      </c>
      <c r="Y699">
        <v>0</v>
      </c>
      <c r="BN699">
        <v>0</v>
      </c>
    </row>
    <row r="700" spans="1:74" x14ac:dyDescent="0.2">
      <c r="A700" t="s">
        <v>111</v>
      </c>
      <c r="B700" t="b">
        <v>1</v>
      </c>
      <c r="E700">
        <v>812</v>
      </c>
      <c r="F700" t="str">
        <f>HYPERLINK("https://portal.dnb.de/opac.htm?method=simpleSearch&amp;cqlMode=true&amp;query=idn%3D994511248", "Portal")</f>
        <v>Portal</v>
      </c>
      <c r="G700" t="s">
        <v>112</v>
      </c>
      <c r="H700" t="s">
        <v>3143</v>
      </c>
      <c r="I700" t="s">
        <v>3144</v>
      </c>
      <c r="J700" t="s">
        <v>3145</v>
      </c>
      <c r="K700" t="s">
        <v>3145</v>
      </c>
      <c r="L700" t="s">
        <v>3145</v>
      </c>
      <c r="N700" t="s">
        <v>3146</v>
      </c>
      <c r="O700" t="s">
        <v>117</v>
      </c>
      <c r="P700" t="s">
        <v>118</v>
      </c>
      <c r="Q700" t="s">
        <v>3147</v>
      </c>
      <c r="R700" t="s">
        <v>120</v>
      </c>
      <c r="S700" t="s">
        <v>121</v>
      </c>
      <c r="T700" t="s">
        <v>130</v>
      </c>
      <c r="U700" t="s">
        <v>740</v>
      </c>
      <c r="W700" t="s">
        <v>229</v>
      </c>
      <c r="X700" t="s">
        <v>302</v>
      </c>
      <c r="Y700">
        <v>0</v>
      </c>
      <c r="BN700">
        <v>0</v>
      </c>
    </row>
    <row r="701" spans="1:74" x14ac:dyDescent="0.2">
      <c r="A701" t="s">
        <v>111</v>
      </c>
      <c r="B701" t="b">
        <v>1</v>
      </c>
      <c r="F701" t="str">
        <f>HYPERLINK("https://portal.dnb.de/opac.htm?method=simpleSearch&amp;cqlMode=true&amp;query=idn%3D1263572855", "Portal")</f>
        <v>Portal</v>
      </c>
      <c r="G701" t="s">
        <v>319</v>
      </c>
      <c r="H701" t="s">
        <v>3148</v>
      </c>
      <c r="I701" t="s">
        <v>3149</v>
      </c>
      <c r="J701" t="s">
        <v>3150</v>
      </c>
      <c r="K701" t="s">
        <v>3150</v>
      </c>
      <c r="L701" t="s">
        <v>3150</v>
      </c>
      <c r="N701" t="s">
        <v>3151</v>
      </c>
      <c r="O701" t="s">
        <v>117</v>
      </c>
      <c r="R701" t="s">
        <v>145</v>
      </c>
      <c r="S701" t="s">
        <v>121</v>
      </c>
      <c r="T701" t="s">
        <v>834</v>
      </c>
      <c r="U701" t="s">
        <v>740</v>
      </c>
      <c r="W701" t="s">
        <v>67</v>
      </c>
      <c r="X701" t="s">
        <v>124</v>
      </c>
      <c r="Y701">
        <v>0</v>
      </c>
      <c r="BN701">
        <v>0</v>
      </c>
    </row>
    <row r="702" spans="1:74" x14ac:dyDescent="0.2">
      <c r="A702" t="s">
        <v>111</v>
      </c>
      <c r="B702" t="b">
        <v>1</v>
      </c>
      <c r="E702">
        <v>770</v>
      </c>
      <c r="F702" t="str">
        <f>HYPERLINK("https://portal.dnb.de/opac.htm?method=simpleSearch&amp;cqlMode=true&amp;query=idn%3D1066935661", "Portal")</f>
        <v>Portal</v>
      </c>
      <c r="G702" t="s">
        <v>125</v>
      </c>
      <c r="H702" t="s">
        <v>3152</v>
      </c>
      <c r="I702" t="s">
        <v>3153</v>
      </c>
      <c r="J702" t="s">
        <v>3154</v>
      </c>
      <c r="K702" t="s">
        <v>3154</v>
      </c>
      <c r="L702" t="s">
        <v>3154</v>
      </c>
      <c r="N702" t="s">
        <v>3155</v>
      </c>
      <c r="O702" t="s">
        <v>117</v>
      </c>
      <c r="P702" t="s">
        <v>118</v>
      </c>
      <c r="R702" t="s">
        <v>120</v>
      </c>
      <c r="S702" t="s">
        <v>121</v>
      </c>
      <c r="T702" t="s">
        <v>122</v>
      </c>
      <c r="U702" t="s">
        <v>203</v>
      </c>
      <c r="X702" t="s">
        <v>168</v>
      </c>
      <c r="Y702">
        <v>0</v>
      </c>
      <c r="BN702">
        <v>0</v>
      </c>
    </row>
    <row r="703" spans="1:74" x14ac:dyDescent="0.2">
      <c r="A703" t="s">
        <v>111</v>
      </c>
      <c r="B703" t="b">
        <v>1</v>
      </c>
      <c r="E703">
        <v>771</v>
      </c>
      <c r="F703" t="str">
        <f>HYPERLINK("https://portal.dnb.de/opac.htm?method=simpleSearch&amp;cqlMode=true&amp;query=idn%3D1066936692", "Portal")</f>
        <v>Portal</v>
      </c>
      <c r="G703" t="s">
        <v>125</v>
      </c>
      <c r="H703" t="s">
        <v>3156</v>
      </c>
      <c r="I703" t="s">
        <v>3157</v>
      </c>
      <c r="J703" t="s">
        <v>3158</v>
      </c>
      <c r="K703" t="s">
        <v>3158</v>
      </c>
      <c r="L703" t="s">
        <v>3158</v>
      </c>
      <c r="N703" t="s">
        <v>3159</v>
      </c>
      <c r="O703" t="s">
        <v>117</v>
      </c>
      <c r="P703" t="s">
        <v>118</v>
      </c>
      <c r="R703" t="s">
        <v>120</v>
      </c>
      <c r="S703" t="s">
        <v>146</v>
      </c>
      <c r="T703" t="s">
        <v>122</v>
      </c>
      <c r="U703" t="s">
        <v>123</v>
      </c>
      <c r="W703" t="s">
        <v>229</v>
      </c>
      <c r="X703" t="s">
        <v>302</v>
      </c>
      <c r="Y703">
        <v>0</v>
      </c>
      <c r="BN703">
        <v>0</v>
      </c>
    </row>
    <row r="704" spans="1:74" x14ac:dyDescent="0.2">
      <c r="A704" t="s">
        <v>111</v>
      </c>
      <c r="B704" t="b">
        <v>1</v>
      </c>
      <c r="E704">
        <v>815</v>
      </c>
      <c r="F704" t="str">
        <f>HYPERLINK("https://portal.dnb.de/opac.htm?method=simpleSearch&amp;cqlMode=true&amp;query=idn%3D995009910", "Portal")</f>
        <v>Portal</v>
      </c>
      <c r="G704" t="s">
        <v>112</v>
      </c>
      <c r="H704" t="s">
        <v>3160</v>
      </c>
      <c r="I704" t="s">
        <v>3161</v>
      </c>
      <c r="J704" t="s">
        <v>3162</v>
      </c>
      <c r="K704" t="s">
        <v>3162</v>
      </c>
      <c r="L704" t="s">
        <v>3162</v>
      </c>
      <c r="N704" t="s">
        <v>3163</v>
      </c>
      <c r="O704" t="s">
        <v>117</v>
      </c>
      <c r="P704" t="s">
        <v>118</v>
      </c>
      <c r="R704" t="s">
        <v>120</v>
      </c>
      <c r="S704" t="s">
        <v>146</v>
      </c>
      <c r="T704" t="s">
        <v>122</v>
      </c>
      <c r="U704" t="s">
        <v>3164</v>
      </c>
      <c r="W704" t="s">
        <v>229</v>
      </c>
      <c r="X704" t="s">
        <v>302</v>
      </c>
      <c r="Y704">
        <v>1</v>
      </c>
      <c r="AI704" t="s">
        <v>133</v>
      </c>
      <c r="AM704" t="s">
        <v>179</v>
      </c>
      <c r="AS704" t="s">
        <v>135</v>
      </c>
      <c r="AZ704" t="s">
        <v>132</v>
      </c>
      <c r="BA704" t="s">
        <v>3165</v>
      </c>
      <c r="BG704">
        <v>110</v>
      </c>
      <c r="BL704" t="s">
        <v>132</v>
      </c>
      <c r="BM704" t="s">
        <v>137</v>
      </c>
      <c r="BN704">
        <v>0</v>
      </c>
      <c r="BT704" t="s">
        <v>562</v>
      </c>
      <c r="BU704" t="s">
        <v>132</v>
      </c>
    </row>
    <row r="705" spans="1:92" x14ac:dyDescent="0.2">
      <c r="A705" t="s">
        <v>111</v>
      </c>
      <c r="B705" t="b">
        <v>1</v>
      </c>
      <c r="E705">
        <v>816</v>
      </c>
      <c r="F705" t="str">
        <f>HYPERLINK("https://portal.dnb.de/opac.htm?method=simpleSearch&amp;cqlMode=true&amp;query=idn%3D993976174", "Portal")</f>
        <v>Portal</v>
      </c>
      <c r="G705" t="s">
        <v>112</v>
      </c>
      <c r="H705" t="s">
        <v>3166</v>
      </c>
      <c r="I705" t="s">
        <v>3167</v>
      </c>
      <c r="J705" t="s">
        <v>3168</v>
      </c>
      <c r="K705" t="s">
        <v>3168</v>
      </c>
      <c r="L705" t="s">
        <v>3168</v>
      </c>
      <c r="N705" t="s">
        <v>3169</v>
      </c>
      <c r="O705" t="s">
        <v>117</v>
      </c>
      <c r="P705" t="s">
        <v>118</v>
      </c>
      <c r="R705" t="s">
        <v>480</v>
      </c>
      <c r="S705" t="s">
        <v>121</v>
      </c>
      <c r="T705" t="s">
        <v>122</v>
      </c>
      <c r="U705" t="s">
        <v>131</v>
      </c>
      <c r="Y705">
        <v>2</v>
      </c>
      <c r="AI705" t="s">
        <v>325</v>
      </c>
      <c r="AK705" t="s">
        <v>132</v>
      </c>
      <c r="AM705" t="s">
        <v>134</v>
      </c>
      <c r="AS705" t="s">
        <v>135</v>
      </c>
      <c r="AT705" t="s">
        <v>132</v>
      </c>
      <c r="BG705">
        <v>110</v>
      </c>
      <c r="BM705" t="s">
        <v>137</v>
      </c>
      <c r="BN705">
        <v>0</v>
      </c>
      <c r="BV705" t="s">
        <v>355</v>
      </c>
    </row>
    <row r="706" spans="1:92" x14ac:dyDescent="0.2">
      <c r="A706" t="s">
        <v>111</v>
      </c>
      <c r="B706" t="b">
        <v>1</v>
      </c>
      <c r="E706">
        <v>772</v>
      </c>
      <c r="F706" t="str">
        <f>HYPERLINK("https://portal.dnb.de/opac.htm?method=simpleSearch&amp;cqlMode=true&amp;query=idn%3D993914640", "Portal")</f>
        <v>Portal</v>
      </c>
      <c r="G706" t="s">
        <v>112</v>
      </c>
      <c r="H706" t="s">
        <v>3170</v>
      </c>
      <c r="I706" t="s">
        <v>3171</v>
      </c>
      <c r="J706" t="s">
        <v>3172</v>
      </c>
      <c r="K706" t="s">
        <v>3172</v>
      </c>
      <c r="L706" t="s">
        <v>3172</v>
      </c>
      <c r="N706" t="s">
        <v>3173</v>
      </c>
      <c r="O706" t="s">
        <v>117</v>
      </c>
      <c r="S706" t="s">
        <v>470</v>
      </c>
      <c r="AI706" t="s">
        <v>149</v>
      </c>
      <c r="AK706" t="s">
        <v>132</v>
      </c>
      <c r="AM706" t="s">
        <v>179</v>
      </c>
      <c r="AR706" t="s">
        <v>132</v>
      </c>
      <c r="AS706" t="s">
        <v>135</v>
      </c>
      <c r="BG706">
        <v>80</v>
      </c>
      <c r="BM706" t="s">
        <v>137</v>
      </c>
      <c r="BN706">
        <v>0</v>
      </c>
    </row>
    <row r="707" spans="1:92" x14ac:dyDescent="0.2">
      <c r="A707" t="s">
        <v>111</v>
      </c>
      <c r="B707" t="b">
        <v>1</v>
      </c>
      <c r="E707">
        <v>773</v>
      </c>
      <c r="F707" t="str">
        <f>HYPERLINK("https://portal.dnb.de/opac.htm?method=simpleSearch&amp;cqlMode=true&amp;query=idn%3D1066927502", "Portal")</f>
        <v>Portal</v>
      </c>
      <c r="G707" t="s">
        <v>125</v>
      </c>
      <c r="H707" t="s">
        <v>3174</v>
      </c>
      <c r="I707" t="s">
        <v>3175</v>
      </c>
      <c r="J707" t="s">
        <v>3176</v>
      </c>
      <c r="K707" t="s">
        <v>3176</v>
      </c>
      <c r="L707" t="s">
        <v>3176</v>
      </c>
      <c r="N707" t="s">
        <v>3177</v>
      </c>
      <c r="O707" t="s">
        <v>117</v>
      </c>
      <c r="P707" t="s">
        <v>118</v>
      </c>
      <c r="R707" t="s">
        <v>480</v>
      </c>
      <c r="S707" t="s">
        <v>121</v>
      </c>
      <c r="T707" t="s">
        <v>130</v>
      </c>
      <c r="U707" t="s">
        <v>131</v>
      </c>
      <c r="X707" t="s">
        <v>168</v>
      </c>
      <c r="Y707">
        <v>0</v>
      </c>
      <c r="BN707">
        <v>0</v>
      </c>
    </row>
    <row r="708" spans="1:92" x14ac:dyDescent="0.2">
      <c r="A708" t="s">
        <v>111</v>
      </c>
      <c r="B708" t="b">
        <v>1</v>
      </c>
      <c r="C708" t="s">
        <v>132</v>
      </c>
      <c r="F708" t="str">
        <f>HYPERLINK("https://portal.dnb.de/opac.htm?method=simpleSearch&amp;cqlMode=true&amp;query=idn%3D1137891300", "Portal")</f>
        <v>Portal</v>
      </c>
      <c r="G708" t="s">
        <v>319</v>
      </c>
      <c r="H708" t="s">
        <v>3178</v>
      </c>
      <c r="I708" t="s">
        <v>3179</v>
      </c>
      <c r="J708" t="s">
        <v>3180</v>
      </c>
      <c r="K708" t="s">
        <v>3180</v>
      </c>
      <c r="L708" t="s">
        <v>3180</v>
      </c>
      <c r="N708" t="s">
        <v>338</v>
      </c>
      <c r="O708" t="s">
        <v>117</v>
      </c>
      <c r="P708" t="s">
        <v>118</v>
      </c>
      <c r="Q708" t="s">
        <v>324</v>
      </c>
      <c r="R708" t="s">
        <v>145</v>
      </c>
      <c r="S708" t="s">
        <v>121</v>
      </c>
      <c r="T708" t="s">
        <v>130</v>
      </c>
      <c r="U708" t="s">
        <v>210</v>
      </c>
      <c r="X708" t="s">
        <v>168</v>
      </c>
      <c r="Y708">
        <v>1</v>
      </c>
      <c r="AH708" t="s">
        <v>132</v>
      </c>
      <c r="AI708" t="s">
        <v>133</v>
      </c>
      <c r="AM708" t="s">
        <v>134</v>
      </c>
      <c r="AS708" t="s">
        <v>135</v>
      </c>
      <c r="BG708">
        <v>110</v>
      </c>
      <c r="BM708" t="s">
        <v>180</v>
      </c>
      <c r="BN708">
        <v>0.5</v>
      </c>
      <c r="BZ708" t="s">
        <v>132</v>
      </c>
      <c r="CA708" t="s">
        <v>132</v>
      </c>
      <c r="CB708" t="s">
        <v>132</v>
      </c>
      <c r="CM708">
        <v>0.5</v>
      </c>
    </row>
    <row r="709" spans="1:92" x14ac:dyDescent="0.2">
      <c r="A709" t="s">
        <v>111</v>
      </c>
      <c r="B709" t="b">
        <v>1</v>
      </c>
      <c r="E709">
        <v>775</v>
      </c>
      <c r="F709" t="str">
        <f>HYPERLINK("https://portal.dnb.de/opac.htm?method=simpleSearch&amp;cqlMode=true&amp;query=idn%3D1066787719", "Portal")</f>
        <v>Portal</v>
      </c>
      <c r="G709" t="s">
        <v>125</v>
      </c>
      <c r="H709" t="s">
        <v>3181</v>
      </c>
      <c r="I709" t="s">
        <v>3182</v>
      </c>
      <c r="J709" t="s">
        <v>3183</v>
      </c>
      <c r="K709" t="s">
        <v>3183</v>
      </c>
      <c r="L709" t="s">
        <v>3183</v>
      </c>
      <c r="N709" t="s">
        <v>3184</v>
      </c>
      <c r="O709" t="s">
        <v>117</v>
      </c>
      <c r="P709" t="s">
        <v>118</v>
      </c>
      <c r="R709" t="s">
        <v>480</v>
      </c>
      <c r="S709" t="s">
        <v>121</v>
      </c>
      <c r="T709" t="s">
        <v>122</v>
      </c>
      <c r="U709" t="s">
        <v>203</v>
      </c>
      <c r="X709" t="s">
        <v>168</v>
      </c>
      <c r="BN709">
        <v>0</v>
      </c>
    </row>
    <row r="710" spans="1:92" x14ac:dyDescent="0.2">
      <c r="A710" t="s">
        <v>111</v>
      </c>
      <c r="B710" t="b">
        <v>1</v>
      </c>
      <c r="E710">
        <v>776</v>
      </c>
      <c r="F710" t="str">
        <f>HYPERLINK("https://portal.dnb.de/opac.htm?method=simpleSearch&amp;cqlMode=true&amp;query=idn%3D1066938083", "Portal")</f>
        <v>Portal</v>
      </c>
      <c r="G710" t="s">
        <v>125</v>
      </c>
      <c r="H710" t="s">
        <v>3185</v>
      </c>
      <c r="I710" t="s">
        <v>3186</v>
      </c>
      <c r="J710" t="s">
        <v>3187</v>
      </c>
      <c r="K710" t="s">
        <v>3187</v>
      </c>
      <c r="L710" t="s">
        <v>3187</v>
      </c>
      <c r="N710" t="s">
        <v>3188</v>
      </c>
      <c r="O710" t="s">
        <v>117</v>
      </c>
      <c r="P710" t="s">
        <v>118</v>
      </c>
      <c r="R710" t="s">
        <v>145</v>
      </c>
      <c r="S710" t="s">
        <v>121</v>
      </c>
      <c r="T710" t="s">
        <v>130</v>
      </c>
      <c r="U710" t="s">
        <v>123</v>
      </c>
      <c r="W710" t="s">
        <v>147</v>
      </c>
      <c r="X710" t="s">
        <v>124</v>
      </c>
      <c r="Y710">
        <v>1</v>
      </c>
      <c r="BN710">
        <v>0</v>
      </c>
    </row>
    <row r="711" spans="1:92" x14ac:dyDescent="0.2">
      <c r="A711" t="s">
        <v>111</v>
      </c>
      <c r="B711" t="b">
        <v>1</v>
      </c>
      <c r="E711">
        <v>777</v>
      </c>
      <c r="F711" t="str">
        <f>HYPERLINK("https://portal.dnb.de/opac.htm?method=simpleSearch&amp;cqlMode=true&amp;query=idn%3D1066935017", "Portal")</f>
        <v>Portal</v>
      </c>
      <c r="G711" t="s">
        <v>125</v>
      </c>
      <c r="H711" t="s">
        <v>3189</v>
      </c>
      <c r="I711" t="s">
        <v>3190</v>
      </c>
      <c r="J711" t="s">
        <v>3191</v>
      </c>
      <c r="K711" t="s">
        <v>3191</v>
      </c>
      <c r="L711" t="s">
        <v>3191</v>
      </c>
      <c r="N711" t="s">
        <v>3192</v>
      </c>
      <c r="O711" t="s">
        <v>117</v>
      </c>
      <c r="P711" t="s">
        <v>118</v>
      </c>
      <c r="R711" t="s">
        <v>480</v>
      </c>
      <c r="S711" t="s">
        <v>146</v>
      </c>
      <c r="U711" t="s">
        <v>203</v>
      </c>
      <c r="Y711">
        <v>2</v>
      </c>
      <c r="AI711" t="s">
        <v>365</v>
      </c>
      <c r="AK711" t="s">
        <v>132</v>
      </c>
      <c r="AM711" t="s">
        <v>134</v>
      </c>
      <c r="AS711" t="s">
        <v>135</v>
      </c>
      <c r="BG711">
        <v>110</v>
      </c>
      <c r="BM711" t="s">
        <v>137</v>
      </c>
      <c r="BN711">
        <v>0</v>
      </c>
      <c r="BV711" t="s">
        <v>355</v>
      </c>
    </row>
    <row r="712" spans="1:92" x14ac:dyDescent="0.2">
      <c r="A712" t="s">
        <v>111</v>
      </c>
      <c r="B712" t="b">
        <v>1</v>
      </c>
      <c r="E712">
        <v>778</v>
      </c>
      <c r="F712" t="str">
        <f>HYPERLINK("https://portal.dnb.de/opac.htm?method=simpleSearch&amp;cqlMode=true&amp;query=idn%3D994340877", "Portal")</f>
        <v>Portal</v>
      </c>
      <c r="G712" t="s">
        <v>112</v>
      </c>
      <c r="H712" t="s">
        <v>3193</v>
      </c>
      <c r="I712" t="s">
        <v>3194</v>
      </c>
      <c r="J712" t="s">
        <v>3195</v>
      </c>
      <c r="K712" t="s">
        <v>3195</v>
      </c>
      <c r="L712" t="s">
        <v>3195</v>
      </c>
      <c r="N712" t="s">
        <v>3196</v>
      </c>
      <c r="O712" t="s">
        <v>117</v>
      </c>
      <c r="P712" t="s">
        <v>118</v>
      </c>
      <c r="R712" t="s">
        <v>190</v>
      </c>
      <c r="S712" t="s">
        <v>121</v>
      </c>
      <c r="T712" t="s">
        <v>122</v>
      </c>
      <c r="U712" t="s">
        <v>203</v>
      </c>
      <c r="Y712">
        <v>1</v>
      </c>
      <c r="BN712">
        <v>0</v>
      </c>
    </row>
    <row r="713" spans="1:92" x14ac:dyDescent="0.2">
      <c r="A713" t="s">
        <v>111</v>
      </c>
      <c r="B713" t="b">
        <v>1</v>
      </c>
      <c r="F713" t="str">
        <f>HYPERLINK("https://portal.dnb.de/opac.htm?method=simpleSearch&amp;cqlMode=true&amp;query=idn%3D1138056731", "Portal")</f>
        <v>Portal</v>
      </c>
      <c r="G713" t="s">
        <v>319</v>
      </c>
      <c r="H713" t="s">
        <v>3197</v>
      </c>
      <c r="I713" t="s">
        <v>3198</v>
      </c>
      <c r="J713" t="s">
        <v>3199</v>
      </c>
      <c r="K713" t="s">
        <v>3199</v>
      </c>
      <c r="L713" t="s">
        <v>3199</v>
      </c>
      <c r="N713" t="s">
        <v>338</v>
      </c>
      <c r="O713" t="s">
        <v>117</v>
      </c>
      <c r="P713" t="s">
        <v>118</v>
      </c>
      <c r="R713" t="s">
        <v>120</v>
      </c>
      <c r="S713" t="s">
        <v>121</v>
      </c>
      <c r="T713" t="s">
        <v>130</v>
      </c>
      <c r="U713" t="s">
        <v>123</v>
      </c>
      <c r="Y713">
        <v>0</v>
      </c>
      <c r="BN713">
        <v>0</v>
      </c>
    </row>
    <row r="714" spans="1:92" x14ac:dyDescent="0.2">
      <c r="A714" t="s">
        <v>111</v>
      </c>
      <c r="B714" t="b">
        <v>1</v>
      </c>
      <c r="F714" t="str">
        <f>HYPERLINK("https://portal.dnb.de/opac.htm?method=simpleSearch&amp;cqlMode=true&amp;query=idn%3D1272479420", "Portal")</f>
        <v>Portal</v>
      </c>
      <c r="G714" t="s">
        <v>112</v>
      </c>
      <c r="H714" t="s">
        <v>3200</v>
      </c>
      <c r="I714" t="s">
        <v>3201</v>
      </c>
      <c r="J714" t="s">
        <v>3202</v>
      </c>
      <c r="K714" t="s">
        <v>3202</v>
      </c>
      <c r="L714" t="s">
        <v>3202</v>
      </c>
      <c r="N714" t="s">
        <v>3203</v>
      </c>
      <c r="O714" t="s">
        <v>117</v>
      </c>
      <c r="P714" t="s">
        <v>118</v>
      </c>
      <c r="R714" t="s">
        <v>157</v>
      </c>
      <c r="S714" t="s">
        <v>121</v>
      </c>
      <c r="T714" t="s">
        <v>130</v>
      </c>
      <c r="U714" t="s">
        <v>173</v>
      </c>
      <c r="W714" t="s">
        <v>1959</v>
      </c>
      <c r="X714" t="s">
        <v>124</v>
      </c>
      <c r="Y714">
        <v>0</v>
      </c>
      <c r="BN714">
        <v>0</v>
      </c>
    </row>
    <row r="715" spans="1:92" x14ac:dyDescent="0.2">
      <c r="A715" t="s">
        <v>111</v>
      </c>
      <c r="B715" t="b">
        <v>1</v>
      </c>
      <c r="E715">
        <v>780</v>
      </c>
      <c r="F715" t="str">
        <f>HYPERLINK("https://portal.dnb.de/opac.htm?method=simpleSearch&amp;cqlMode=true&amp;query=idn%3D1066753563", "Portal")</f>
        <v>Portal</v>
      </c>
      <c r="G715" t="s">
        <v>125</v>
      </c>
      <c r="H715" t="s">
        <v>3204</v>
      </c>
      <c r="I715" t="s">
        <v>3205</v>
      </c>
      <c r="J715" t="s">
        <v>3206</v>
      </c>
      <c r="K715" t="s">
        <v>3206</v>
      </c>
      <c r="L715" t="s">
        <v>3206</v>
      </c>
      <c r="N715" t="s">
        <v>3207</v>
      </c>
      <c r="O715" t="s">
        <v>117</v>
      </c>
      <c r="P715" t="s">
        <v>118</v>
      </c>
      <c r="R715" t="s">
        <v>480</v>
      </c>
      <c r="S715" t="s">
        <v>121</v>
      </c>
      <c r="T715" t="s">
        <v>122</v>
      </c>
      <c r="U715" t="s">
        <v>203</v>
      </c>
      <c r="X715" t="s">
        <v>168</v>
      </c>
      <c r="Y715">
        <v>0</v>
      </c>
      <c r="BN715">
        <v>0</v>
      </c>
    </row>
    <row r="716" spans="1:92" x14ac:dyDescent="0.2">
      <c r="A716" t="s">
        <v>111</v>
      </c>
      <c r="B716" t="b">
        <v>1</v>
      </c>
      <c r="C716" t="s">
        <v>132</v>
      </c>
      <c r="E716">
        <v>781</v>
      </c>
      <c r="F716" t="str">
        <f>HYPERLINK("https://portal.dnb.de/opac.htm?method=simpleSearch&amp;cqlMode=true&amp;query=idn%3D1066940789", "Portal")</f>
        <v>Portal</v>
      </c>
      <c r="G716" t="s">
        <v>125</v>
      </c>
      <c r="H716" t="s">
        <v>3208</v>
      </c>
      <c r="I716" t="s">
        <v>3209</v>
      </c>
      <c r="J716" t="s">
        <v>3210</v>
      </c>
      <c r="K716" t="s">
        <v>3210</v>
      </c>
      <c r="L716" t="s">
        <v>3210</v>
      </c>
      <c r="N716" t="s">
        <v>3211</v>
      </c>
      <c r="O716" t="s">
        <v>117</v>
      </c>
      <c r="P716" t="s">
        <v>118</v>
      </c>
      <c r="R716" t="s">
        <v>1463</v>
      </c>
      <c r="S716" t="s">
        <v>121</v>
      </c>
      <c r="T716" t="s">
        <v>122</v>
      </c>
      <c r="U716" t="s">
        <v>123</v>
      </c>
      <c r="W716" t="s">
        <v>147</v>
      </c>
      <c r="X716" t="s">
        <v>124</v>
      </c>
      <c r="Y716">
        <v>2</v>
      </c>
      <c r="AI716" t="s">
        <v>133</v>
      </c>
      <c r="AK716" t="s">
        <v>132</v>
      </c>
      <c r="AM716" t="s">
        <v>179</v>
      </c>
      <c r="AS716" t="s">
        <v>135</v>
      </c>
      <c r="BG716">
        <v>60</v>
      </c>
      <c r="BM716" t="s">
        <v>180</v>
      </c>
      <c r="BN716">
        <v>2</v>
      </c>
      <c r="BR716" t="s">
        <v>132</v>
      </c>
      <c r="BZ716" t="s">
        <v>132</v>
      </c>
      <c r="CA716" t="s">
        <v>132</v>
      </c>
      <c r="CB716" t="s">
        <v>132</v>
      </c>
      <c r="CD716" t="s">
        <v>204</v>
      </c>
      <c r="CM716">
        <v>2</v>
      </c>
      <c r="CN716" t="s">
        <v>3212</v>
      </c>
    </row>
    <row r="717" spans="1:92" x14ac:dyDescent="0.2">
      <c r="A717" t="s">
        <v>111</v>
      </c>
      <c r="B717" t="b">
        <v>1</v>
      </c>
      <c r="E717">
        <v>782</v>
      </c>
      <c r="F717" t="str">
        <f>HYPERLINK("https://portal.dnb.de/opac.htm?method=simpleSearch&amp;cqlMode=true&amp;query=idn%3D106678132X", "Portal")</f>
        <v>Portal</v>
      </c>
      <c r="G717" t="s">
        <v>125</v>
      </c>
      <c r="H717" t="s">
        <v>3213</v>
      </c>
      <c r="I717" t="s">
        <v>3214</v>
      </c>
      <c r="J717" t="s">
        <v>3215</v>
      </c>
      <c r="K717" t="s">
        <v>3215</v>
      </c>
      <c r="L717" t="s">
        <v>3215</v>
      </c>
      <c r="N717" t="s">
        <v>3216</v>
      </c>
      <c r="O717" t="s">
        <v>117</v>
      </c>
      <c r="P717" t="s">
        <v>118</v>
      </c>
      <c r="R717" t="s">
        <v>480</v>
      </c>
      <c r="S717" t="s">
        <v>121</v>
      </c>
      <c r="T717" t="s">
        <v>122</v>
      </c>
      <c r="U717" t="s">
        <v>203</v>
      </c>
      <c r="X717" t="s">
        <v>168</v>
      </c>
      <c r="Y717">
        <v>0</v>
      </c>
      <c r="AA717" t="s">
        <v>3217</v>
      </c>
      <c r="BN717">
        <v>0</v>
      </c>
    </row>
    <row r="718" spans="1:92" x14ac:dyDescent="0.2">
      <c r="A718" t="s">
        <v>111</v>
      </c>
      <c r="B718" t="b">
        <v>1</v>
      </c>
      <c r="C718" t="s">
        <v>132</v>
      </c>
      <c r="E718">
        <v>783</v>
      </c>
      <c r="F718" t="str">
        <f>HYPERLINK("https://portal.dnb.de/opac.htm?method=simpleSearch&amp;cqlMode=true&amp;query=idn%3D1066837643", "Portal")</f>
        <v>Portal</v>
      </c>
      <c r="G718" t="s">
        <v>125</v>
      </c>
      <c r="H718" t="s">
        <v>3218</v>
      </c>
      <c r="I718" t="s">
        <v>3219</v>
      </c>
      <c r="J718" t="s">
        <v>3220</v>
      </c>
      <c r="K718" t="s">
        <v>3220</v>
      </c>
      <c r="L718" t="s">
        <v>3220</v>
      </c>
      <c r="N718" t="s">
        <v>3221</v>
      </c>
      <c r="O718" t="s">
        <v>117</v>
      </c>
      <c r="S718" t="s">
        <v>146</v>
      </c>
      <c r="AI718" t="s">
        <v>133</v>
      </c>
      <c r="AK718" t="s">
        <v>132</v>
      </c>
      <c r="AM718" t="s">
        <v>179</v>
      </c>
      <c r="AS718" t="s">
        <v>135</v>
      </c>
      <c r="BG718">
        <v>60</v>
      </c>
      <c r="BM718" t="s">
        <v>180</v>
      </c>
      <c r="BN718">
        <v>2</v>
      </c>
      <c r="BY718" t="s">
        <v>3222</v>
      </c>
      <c r="CA718" t="s">
        <v>132</v>
      </c>
      <c r="CB718" t="s">
        <v>132</v>
      </c>
      <c r="CL718" t="s">
        <v>3223</v>
      </c>
      <c r="CM718">
        <v>2</v>
      </c>
    </row>
    <row r="719" spans="1:92" x14ac:dyDescent="0.2">
      <c r="A719" t="s">
        <v>111</v>
      </c>
      <c r="B719" t="b">
        <v>1</v>
      </c>
      <c r="E719">
        <v>784</v>
      </c>
      <c r="F719" t="str">
        <f>HYPERLINK("https://portal.dnb.de/opac.htm?method=simpleSearch&amp;cqlMode=true&amp;query=idn%3D1066935440", "Portal")</f>
        <v>Portal</v>
      </c>
      <c r="G719" t="s">
        <v>125</v>
      </c>
      <c r="H719" t="s">
        <v>3224</v>
      </c>
      <c r="I719" t="s">
        <v>3225</v>
      </c>
      <c r="J719" t="s">
        <v>3226</v>
      </c>
      <c r="K719" t="s">
        <v>3226</v>
      </c>
      <c r="L719" t="s">
        <v>3226</v>
      </c>
      <c r="N719" t="s">
        <v>3227</v>
      </c>
      <c r="O719" t="s">
        <v>117</v>
      </c>
      <c r="S719" t="s">
        <v>146</v>
      </c>
      <c r="AI719" t="s">
        <v>133</v>
      </c>
      <c r="AM719" t="s">
        <v>179</v>
      </c>
      <c r="AS719" t="s">
        <v>135</v>
      </c>
      <c r="BG719" t="s">
        <v>1223</v>
      </c>
      <c r="BM719" t="s">
        <v>137</v>
      </c>
      <c r="BN719">
        <v>0</v>
      </c>
    </row>
    <row r="720" spans="1:92" x14ac:dyDescent="0.2">
      <c r="A720" t="s">
        <v>111</v>
      </c>
      <c r="B720" t="b">
        <v>1</v>
      </c>
      <c r="E720">
        <v>785</v>
      </c>
      <c r="F720" t="str">
        <f>HYPERLINK("https://portal.dnb.de/opac.htm?method=simpleSearch&amp;cqlMode=true&amp;query=idn%3D1066837066", "Portal")</f>
        <v>Portal</v>
      </c>
      <c r="G720" t="s">
        <v>125</v>
      </c>
      <c r="H720" t="s">
        <v>3228</v>
      </c>
      <c r="I720" t="s">
        <v>3229</v>
      </c>
      <c r="J720" t="s">
        <v>3230</v>
      </c>
      <c r="K720" t="s">
        <v>3230</v>
      </c>
      <c r="L720" t="s">
        <v>3230</v>
      </c>
      <c r="N720" t="s">
        <v>3231</v>
      </c>
      <c r="O720" t="s">
        <v>117</v>
      </c>
      <c r="P720" t="s">
        <v>118</v>
      </c>
      <c r="R720" t="s">
        <v>480</v>
      </c>
      <c r="S720" t="s">
        <v>121</v>
      </c>
      <c r="T720" t="s">
        <v>122</v>
      </c>
      <c r="U720" t="s">
        <v>203</v>
      </c>
      <c r="X720" t="s">
        <v>168</v>
      </c>
      <c r="Y720">
        <v>0</v>
      </c>
      <c r="AA720" t="s">
        <v>2813</v>
      </c>
      <c r="BN720">
        <v>0</v>
      </c>
    </row>
    <row r="721" spans="1:111" x14ac:dyDescent="0.2">
      <c r="A721" t="s">
        <v>111</v>
      </c>
      <c r="B721" t="b">
        <v>1</v>
      </c>
      <c r="C721" t="s">
        <v>132</v>
      </c>
      <c r="E721">
        <v>786</v>
      </c>
      <c r="F721" t="str">
        <f>HYPERLINK("https://portal.dnb.de/opac.htm?method=simpleSearch&amp;cqlMode=true&amp;query=idn%3D1066785902", "Portal")</f>
        <v>Portal</v>
      </c>
      <c r="G721" t="s">
        <v>125</v>
      </c>
      <c r="H721" t="s">
        <v>3232</v>
      </c>
      <c r="I721" t="s">
        <v>3233</v>
      </c>
      <c r="J721" t="s">
        <v>3234</v>
      </c>
      <c r="K721" t="s">
        <v>3234</v>
      </c>
      <c r="L721" t="s">
        <v>3234</v>
      </c>
      <c r="N721" t="s">
        <v>3235</v>
      </c>
      <c r="O721" t="s">
        <v>117</v>
      </c>
      <c r="P721" t="s">
        <v>118</v>
      </c>
      <c r="R721" t="s">
        <v>223</v>
      </c>
      <c r="S721" t="s">
        <v>121</v>
      </c>
      <c r="T721" t="s">
        <v>834</v>
      </c>
      <c r="U721" t="s">
        <v>123</v>
      </c>
      <c r="X721" t="s">
        <v>168</v>
      </c>
      <c r="Y721">
        <v>2</v>
      </c>
      <c r="AI721" t="s">
        <v>365</v>
      </c>
      <c r="AK721" t="s">
        <v>132</v>
      </c>
      <c r="AM721" t="s">
        <v>179</v>
      </c>
      <c r="AS721" t="s">
        <v>135</v>
      </c>
      <c r="BG721">
        <v>45</v>
      </c>
      <c r="BM721" t="s">
        <v>180</v>
      </c>
      <c r="BN721">
        <v>2</v>
      </c>
      <c r="BZ721" t="s">
        <v>132</v>
      </c>
      <c r="CA721" t="s">
        <v>132</v>
      </c>
      <c r="CB721" t="s">
        <v>132</v>
      </c>
      <c r="CD721" t="s">
        <v>184</v>
      </c>
      <c r="CM721">
        <v>2</v>
      </c>
      <c r="CN721" t="s">
        <v>3236</v>
      </c>
    </row>
    <row r="722" spans="1:111" x14ac:dyDescent="0.2">
      <c r="A722" t="s">
        <v>111</v>
      </c>
      <c r="B722" t="b">
        <v>1</v>
      </c>
      <c r="E722">
        <v>787</v>
      </c>
      <c r="F722" t="str">
        <f>HYPERLINK("https://portal.dnb.de/opac.htm?method=simpleSearch&amp;cqlMode=true&amp;query=idn%3D1001857976", "Portal")</f>
        <v>Portal</v>
      </c>
      <c r="G722" t="s">
        <v>112</v>
      </c>
      <c r="H722" t="s">
        <v>3237</v>
      </c>
      <c r="I722" t="s">
        <v>3238</v>
      </c>
      <c r="J722" t="s">
        <v>3239</v>
      </c>
      <c r="K722" t="s">
        <v>3239</v>
      </c>
      <c r="L722" t="s">
        <v>3239</v>
      </c>
      <c r="N722" t="s">
        <v>3240</v>
      </c>
      <c r="O722" t="s">
        <v>117</v>
      </c>
      <c r="R722" t="s">
        <v>190</v>
      </c>
      <c r="S722" t="s">
        <v>121</v>
      </c>
      <c r="T722" t="s">
        <v>122</v>
      </c>
      <c r="Y722">
        <v>0</v>
      </c>
      <c r="BN722">
        <v>0</v>
      </c>
    </row>
    <row r="723" spans="1:111" x14ac:dyDescent="0.2">
      <c r="A723" t="s">
        <v>111</v>
      </c>
      <c r="B723" t="b">
        <v>1</v>
      </c>
      <c r="E723">
        <v>788</v>
      </c>
      <c r="F723" t="str">
        <f>HYPERLINK("https://portal.dnb.de/opac.htm?method=simpleSearch&amp;cqlMode=true&amp;query=idn%3D997386932", "Portal")</f>
        <v>Portal</v>
      </c>
      <c r="G723" t="s">
        <v>112</v>
      </c>
      <c r="H723" t="s">
        <v>3241</v>
      </c>
      <c r="I723" t="s">
        <v>3242</v>
      </c>
      <c r="J723" t="s">
        <v>3243</v>
      </c>
      <c r="K723" t="s">
        <v>3243</v>
      </c>
      <c r="L723" t="s">
        <v>3243</v>
      </c>
      <c r="N723" t="s">
        <v>3244</v>
      </c>
      <c r="O723" t="s">
        <v>117</v>
      </c>
      <c r="P723" t="s">
        <v>118</v>
      </c>
      <c r="R723" t="s">
        <v>3245</v>
      </c>
      <c r="S723" t="s">
        <v>121</v>
      </c>
      <c r="T723" t="s">
        <v>130</v>
      </c>
      <c r="U723" t="s">
        <v>123</v>
      </c>
      <c r="V723" t="s">
        <v>3246</v>
      </c>
      <c r="W723" t="s">
        <v>67</v>
      </c>
      <c r="Y723">
        <v>0</v>
      </c>
      <c r="BN723">
        <v>0</v>
      </c>
    </row>
    <row r="724" spans="1:111" x14ac:dyDescent="0.2">
      <c r="A724" t="s">
        <v>111</v>
      </c>
      <c r="B724" t="b">
        <v>1</v>
      </c>
      <c r="C724" t="s">
        <v>132</v>
      </c>
      <c r="F724" t="str">
        <f>HYPERLINK("https://portal.dnb.de/opac.htm?method=simpleSearch&amp;cqlMode=true&amp;query=idn%3D1268059498", "Portal")</f>
        <v>Portal</v>
      </c>
      <c r="G724" t="s">
        <v>319</v>
      </c>
      <c r="H724" t="s">
        <v>3247</v>
      </c>
      <c r="I724" t="s">
        <v>3248</v>
      </c>
      <c r="J724" t="s">
        <v>3249</v>
      </c>
      <c r="K724" t="s">
        <v>3249</v>
      </c>
      <c r="L724" t="s">
        <v>3249</v>
      </c>
      <c r="N724" t="s">
        <v>338</v>
      </c>
      <c r="O724" t="s">
        <v>117</v>
      </c>
      <c r="Q724" t="s">
        <v>3250</v>
      </c>
      <c r="R724" t="s">
        <v>157</v>
      </c>
      <c r="S724" t="s">
        <v>121</v>
      </c>
      <c r="T724" t="s">
        <v>122</v>
      </c>
      <c r="U724" t="s">
        <v>123</v>
      </c>
      <c r="W724" t="s">
        <v>229</v>
      </c>
      <c r="X724" t="s">
        <v>124</v>
      </c>
      <c r="Y724">
        <v>1</v>
      </c>
      <c r="AI724" t="s">
        <v>720</v>
      </c>
      <c r="AM724" t="s">
        <v>150</v>
      </c>
      <c r="AS724" t="s">
        <v>135</v>
      </c>
      <c r="BG724">
        <v>110</v>
      </c>
      <c r="BM724" t="s">
        <v>180</v>
      </c>
      <c r="BN724">
        <v>2</v>
      </c>
      <c r="BT724" t="s">
        <v>562</v>
      </c>
      <c r="BZ724" t="s">
        <v>132</v>
      </c>
      <c r="CB724" t="s">
        <v>132</v>
      </c>
      <c r="CD724" t="s">
        <v>204</v>
      </c>
      <c r="CM724">
        <v>2</v>
      </c>
      <c r="CN724" t="s">
        <v>3251</v>
      </c>
    </row>
    <row r="725" spans="1:111" x14ac:dyDescent="0.2">
      <c r="A725" t="s">
        <v>111</v>
      </c>
      <c r="B725" t="b">
        <v>1</v>
      </c>
      <c r="E725">
        <v>1206</v>
      </c>
      <c r="F725" t="str">
        <f>HYPERLINK("https://portal.dnb.de/opac.htm?method=simpleSearch&amp;cqlMode=true&amp;query=idn%3D99431339X", "Portal")</f>
        <v>Portal</v>
      </c>
      <c r="G725" t="s">
        <v>112</v>
      </c>
      <c r="H725" t="s">
        <v>3252</v>
      </c>
      <c r="I725" t="s">
        <v>3253</v>
      </c>
      <c r="J725" t="s">
        <v>3254</v>
      </c>
      <c r="K725" t="s">
        <v>3254</v>
      </c>
      <c r="L725" t="s">
        <v>3254</v>
      </c>
      <c r="N725" t="s">
        <v>3255</v>
      </c>
      <c r="O725" t="s">
        <v>117</v>
      </c>
      <c r="R725" t="s">
        <v>120</v>
      </c>
      <c r="S725" t="s">
        <v>121</v>
      </c>
      <c r="T725" t="s">
        <v>122</v>
      </c>
      <c r="U725" t="s">
        <v>2118</v>
      </c>
      <c r="X725" t="s">
        <v>168</v>
      </c>
      <c r="Y725">
        <v>0</v>
      </c>
      <c r="BN725">
        <v>0</v>
      </c>
    </row>
    <row r="726" spans="1:111" x14ac:dyDescent="0.2">
      <c r="A726" t="s">
        <v>111</v>
      </c>
      <c r="B726" t="b">
        <v>1</v>
      </c>
      <c r="C726" t="s">
        <v>132</v>
      </c>
      <c r="E726">
        <v>823</v>
      </c>
      <c r="F726" t="str">
        <f>HYPERLINK("https://portal.dnb.de/opac.htm?method=simpleSearch&amp;cqlMode=true&amp;query=idn%3D1066866074", "Portal")</f>
        <v>Portal</v>
      </c>
      <c r="G726" t="s">
        <v>125</v>
      </c>
      <c r="H726" t="s">
        <v>3256</v>
      </c>
      <c r="I726" t="s">
        <v>3257</v>
      </c>
      <c r="J726" t="s">
        <v>3258</v>
      </c>
      <c r="K726" t="s">
        <v>3258</v>
      </c>
      <c r="L726" t="s">
        <v>3258</v>
      </c>
      <c r="N726" t="s">
        <v>3259</v>
      </c>
      <c r="O726" t="s">
        <v>117</v>
      </c>
      <c r="P726" t="s">
        <v>118</v>
      </c>
      <c r="R726" t="s">
        <v>145</v>
      </c>
      <c r="S726" t="s">
        <v>146</v>
      </c>
      <c r="T726" t="s">
        <v>122</v>
      </c>
      <c r="U726" t="s">
        <v>203</v>
      </c>
      <c r="W726" t="s">
        <v>147</v>
      </c>
      <c r="X726" t="s">
        <v>124</v>
      </c>
      <c r="Y726">
        <v>2</v>
      </c>
      <c r="AI726" t="s">
        <v>149</v>
      </c>
      <c r="AK726" t="s">
        <v>132</v>
      </c>
      <c r="AM726" t="s">
        <v>179</v>
      </c>
      <c r="AS726" t="s">
        <v>135</v>
      </c>
      <c r="BG726">
        <v>60</v>
      </c>
      <c r="BM726" t="s">
        <v>180</v>
      </c>
      <c r="BN726">
        <v>0.5</v>
      </c>
      <c r="BR726" t="s">
        <v>132</v>
      </c>
      <c r="BW726" t="s">
        <v>139</v>
      </c>
      <c r="BX726" t="s">
        <v>3260</v>
      </c>
      <c r="BZ726" t="s">
        <v>132</v>
      </c>
      <c r="CA726" t="s">
        <v>132</v>
      </c>
      <c r="CB726" t="s">
        <v>132</v>
      </c>
      <c r="CM726">
        <v>0.5</v>
      </c>
    </row>
    <row r="727" spans="1:111" x14ac:dyDescent="0.2">
      <c r="A727" t="s">
        <v>111</v>
      </c>
      <c r="B727" t="b">
        <v>1</v>
      </c>
      <c r="E727">
        <v>824</v>
      </c>
      <c r="F727" t="str">
        <f>HYPERLINK("https://portal.dnb.de/opac.htm?method=simpleSearch&amp;cqlMode=true&amp;query=idn%3D1003970656", "Portal")</f>
        <v>Portal</v>
      </c>
      <c r="G727" t="s">
        <v>112</v>
      </c>
      <c r="H727" t="s">
        <v>3261</v>
      </c>
      <c r="I727" t="s">
        <v>3262</v>
      </c>
      <c r="J727" t="s">
        <v>3263</v>
      </c>
      <c r="K727" t="s">
        <v>3263</v>
      </c>
      <c r="L727" t="s">
        <v>3263</v>
      </c>
      <c r="N727" t="s">
        <v>3264</v>
      </c>
      <c r="O727" t="s">
        <v>117</v>
      </c>
      <c r="P727" t="s">
        <v>118</v>
      </c>
      <c r="R727" t="s">
        <v>190</v>
      </c>
      <c r="S727" t="s">
        <v>146</v>
      </c>
      <c r="T727" t="s">
        <v>130</v>
      </c>
      <c r="U727" t="s">
        <v>203</v>
      </c>
      <c r="Y727">
        <v>0</v>
      </c>
      <c r="BN727">
        <v>0</v>
      </c>
    </row>
    <row r="728" spans="1:111" x14ac:dyDescent="0.2">
      <c r="A728" t="s">
        <v>111</v>
      </c>
      <c r="B728" t="b">
        <v>1</v>
      </c>
      <c r="E728">
        <v>825</v>
      </c>
      <c r="F728" t="str">
        <f>HYPERLINK("https://portal.dnb.de/opac.htm?method=simpleSearch&amp;cqlMode=true&amp;query=idn%3D1066961379", "Portal")</f>
        <v>Portal</v>
      </c>
      <c r="G728" t="s">
        <v>125</v>
      </c>
      <c r="H728" t="s">
        <v>3265</v>
      </c>
      <c r="I728" t="s">
        <v>3266</v>
      </c>
      <c r="J728" t="s">
        <v>3267</v>
      </c>
      <c r="K728" t="s">
        <v>3267</v>
      </c>
      <c r="L728" t="s">
        <v>3267</v>
      </c>
      <c r="N728" t="s">
        <v>3268</v>
      </c>
      <c r="O728" t="s">
        <v>117</v>
      </c>
      <c r="P728" t="s">
        <v>118</v>
      </c>
      <c r="R728" t="s">
        <v>238</v>
      </c>
      <c r="S728" t="s">
        <v>121</v>
      </c>
      <c r="T728" t="s">
        <v>130</v>
      </c>
      <c r="U728" t="s">
        <v>203</v>
      </c>
      <c r="W728" t="s">
        <v>147</v>
      </c>
      <c r="X728" t="s">
        <v>124</v>
      </c>
      <c r="Y728">
        <v>0</v>
      </c>
      <c r="BN728">
        <v>0</v>
      </c>
    </row>
    <row r="729" spans="1:111" x14ac:dyDescent="0.2">
      <c r="A729" t="s">
        <v>111</v>
      </c>
      <c r="B729" t="b">
        <v>1</v>
      </c>
      <c r="E729">
        <v>826</v>
      </c>
      <c r="F729" t="str">
        <f>HYPERLINK("https://portal.dnb.de/opac.htm?method=simpleSearch&amp;cqlMode=true&amp;query=idn%3D1066961468", "Portal")</f>
        <v>Portal</v>
      </c>
      <c r="G729" t="s">
        <v>125</v>
      </c>
      <c r="H729" t="s">
        <v>3269</v>
      </c>
      <c r="I729" t="s">
        <v>3270</v>
      </c>
      <c r="J729" t="s">
        <v>3271</v>
      </c>
      <c r="K729" t="s">
        <v>3271</v>
      </c>
      <c r="L729" t="s">
        <v>3271</v>
      </c>
      <c r="N729" t="s">
        <v>3272</v>
      </c>
      <c r="O729" t="s">
        <v>117</v>
      </c>
      <c r="P729" t="s">
        <v>118</v>
      </c>
      <c r="R729" t="s">
        <v>157</v>
      </c>
      <c r="S729" t="s">
        <v>121</v>
      </c>
      <c r="T729" t="s">
        <v>122</v>
      </c>
      <c r="U729" t="s">
        <v>203</v>
      </c>
      <c r="Y729">
        <v>0</v>
      </c>
      <c r="BN729">
        <v>0</v>
      </c>
    </row>
    <row r="730" spans="1:111" x14ac:dyDescent="0.2">
      <c r="A730" t="s">
        <v>111</v>
      </c>
      <c r="B730" t="b">
        <v>1</v>
      </c>
      <c r="E730">
        <v>827</v>
      </c>
      <c r="F730" t="str">
        <f>HYPERLINK("https://portal.dnb.de/opac.htm?method=simpleSearch&amp;cqlMode=true&amp;query=idn%3D993993621", "Portal")</f>
        <v>Portal</v>
      </c>
      <c r="G730" t="s">
        <v>112</v>
      </c>
      <c r="H730" t="s">
        <v>3273</v>
      </c>
      <c r="I730" t="s">
        <v>3274</v>
      </c>
      <c r="J730" t="s">
        <v>3275</v>
      </c>
      <c r="K730" t="s">
        <v>3275</v>
      </c>
      <c r="L730" t="s">
        <v>3275</v>
      </c>
      <c r="N730" t="s">
        <v>3276</v>
      </c>
      <c r="O730" t="s">
        <v>117</v>
      </c>
      <c r="P730" t="s">
        <v>118</v>
      </c>
      <c r="R730" t="s">
        <v>145</v>
      </c>
      <c r="S730" t="s">
        <v>121</v>
      </c>
      <c r="T730" t="s">
        <v>122</v>
      </c>
      <c r="AI730" t="s">
        <v>133</v>
      </c>
      <c r="AK730" t="s">
        <v>132</v>
      </c>
      <c r="AL730" t="s">
        <v>132</v>
      </c>
      <c r="AM730" t="s">
        <v>134</v>
      </c>
      <c r="AQ730" t="s">
        <v>132</v>
      </c>
      <c r="AS730" t="s">
        <v>135</v>
      </c>
      <c r="BC730" t="s">
        <v>3277</v>
      </c>
      <c r="BD730" t="s">
        <v>132</v>
      </c>
      <c r="BG730">
        <v>110</v>
      </c>
      <c r="BM730" t="s">
        <v>137</v>
      </c>
      <c r="BN730">
        <v>0</v>
      </c>
      <c r="BR730" t="s">
        <v>132</v>
      </c>
      <c r="BV730" t="s">
        <v>355</v>
      </c>
    </row>
    <row r="731" spans="1:111" x14ac:dyDescent="0.2">
      <c r="A731" t="s">
        <v>111</v>
      </c>
      <c r="B731" t="b">
        <v>1</v>
      </c>
      <c r="E731">
        <v>828</v>
      </c>
      <c r="F731" t="str">
        <f>HYPERLINK("https://portal.dnb.de/opac.htm?method=simpleSearch&amp;cqlMode=true&amp;query=idn%3D1000466167", "Portal")</f>
        <v>Portal</v>
      </c>
      <c r="G731" t="s">
        <v>112</v>
      </c>
      <c r="H731" t="s">
        <v>3278</v>
      </c>
      <c r="I731" t="s">
        <v>3279</v>
      </c>
      <c r="J731" t="s">
        <v>3280</v>
      </c>
      <c r="K731" t="s">
        <v>3280</v>
      </c>
      <c r="L731" t="s">
        <v>3280</v>
      </c>
      <c r="N731" t="s">
        <v>3281</v>
      </c>
      <c r="O731" t="s">
        <v>117</v>
      </c>
      <c r="R731" t="s">
        <v>145</v>
      </c>
      <c r="S731" t="s">
        <v>146</v>
      </c>
      <c r="T731" t="s">
        <v>130</v>
      </c>
      <c r="W731" t="s">
        <v>67</v>
      </c>
      <c r="X731" t="s">
        <v>124</v>
      </c>
      <c r="Y731">
        <v>0</v>
      </c>
      <c r="BN731">
        <v>0</v>
      </c>
    </row>
    <row r="732" spans="1:111" x14ac:dyDescent="0.2">
      <c r="A732" t="s">
        <v>111</v>
      </c>
      <c r="B732" t="b">
        <v>1</v>
      </c>
      <c r="E732">
        <v>829</v>
      </c>
      <c r="F732" t="str">
        <f>HYPERLINK("https://portal.dnb.de/opac.htm?method=simpleSearch&amp;cqlMode=true&amp;query=idn%3D1066779627", "Portal")</f>
        <v>Portal</v>
      </c>
      <c r="G732" t="s">
        <v>125</v>
      </c>
      <c r="H732" t="s">
        <v>3282</v>
      </c>
      <c r="I732" t="s">
        <v>3283</v>
      </c>
      <c r="J732" t="s">
        <v>3284</v>
      </c>
      <c r="K732" t="s">
        <v>3284</v>
      </c>
      <c r="L732" t="s">
        <v>3284</v>
      </c>
      <c r="N732" t="s">
        <v>3285</v>
      </c>
      <c r="O732" t="s">
        <v>117</v>
      </c>
      <c r="P732" t="s">
        <v>118</v>
      </c>
      <c r="R732" t="s">
        <v>145</v>
      </c>
      <c r="S732" t="s">
        <v>146</v>
      </c>
      <c r="T732" t="s">
        <v>130</v>
      </c>
      <c r="U732" t="s">
        <v>123</v>
      </c>
      <c r="W732" t="s">
        <v>147</v>
      </c>
      <c r="X732" t="s">
        <v>124</v>
      </c>
      <c r="Y732">
        <v>0</v>
      </c>
      <c r="BN732">
        <v>0</v>
      </c>
    </row>
    <row r="733" spans="1:111" x14ac:dyDescent="0.2">
      <c r="A733" t="s">
        <v>111</v>
      </c>
      <c r="B733" t="b">
        <v>1</v>
      </c>
      <c r="C733" t="s">
        <v>132</v>
      </c>
      <c r="E733">
        <v>830</v>
      </c>
      <c r="F733" t="str">
        <f>HYPERLINK("https://portal.dnb.de/opac.htm?method=simpleSearch&amp;cqlMode=true&amp;query=idn%3D1066767114", "Portal")</f>
        <v>Portal</v>
      </c>
      <c r="G733" t="s">
        <v>125</v>
      </c>
      <c r="H733" t="s">
        <v>3286</v>
      </c>
      <c r="I733" t="s">
        <v>3287</v>
      </c>
      <c r="J733" t="s">
        <v>3288</v>
      </c>
      <c r="K733" t="s">
        <v>3288</v>
      </c>
      <c r="L733" t="s">
        <v>3288</v>
      </c>
      <c r="N733" t="s">
        <v>3289</v>
      </c>
      <c r="O733" t="s">
        <v>117</v>
      </c>
      <c r="P733" t="s">
        <v>118</v>
      </c>
      <c r="R733" t="s">
        <v>257</v>
      </c>
      <c r="S733" t="s">
        <v>121</v>
      </c>
      <c r="T733" t="s">
        <v>122</v>
      </c>
      <c r="U733" t="s">
        <v>123</v>
      </c>
      <c r="Y733">
        <v>3</v>
      </c>
      <c r="AI733" t="s">
        <v>135</v>
      </c>
      <c r="AM733" t="s">
        <v>196</v>
      </c>
      <c r="AS733" t="s">
        <v>135</v>
      </c>
      <c r="BG733">
        <v>80</v>
      </c>
      <c r="BM733" t="s">
        <v>180</v>
      </c>
      <c r="BN733">
        <v>1.5</v>
      </c>
      <c r="BZ733" t="s">
        <v>132</v>
      </c>
      <c r="CB733" t="s">
        <v>132</v>
      </c>
      <c r="CF733" t="s">
        <v>132</v>
      </c>
      <c r="CM733">
        <v>1.5</v>
      </c>
      <c r="CN733" t="s">
        <v>3290</v>
      </c>
    </row>
    <row r="734" spans="1:111" x14ac:dyDescent="0.2">
      <c r="A734" t="s">
        <v>111</v>
      </c>
      <c r="B734" t="b">
        <v>0</v>
      </c>
      <c r="C734" t="s">
        <v>132</v>
      </c>
      <c r="F734" t="str">
        <f>HYPERLINK("https://portal.dnb.de/opac.htm?method=simpleSearch&amp;cqlMode=true&amp;query=idn%3D", "Portal")</f>
        <v>Portal</v>
      </c>
      <c r="L734" t="s">
        <v>3291</v>
      </c>
      <c r="P734" t="s">
        <v>118</v>
      </c>
      <c r="R734" t="s">
        <v>157</v>
      </c>
      <c r="S734" t="s">
        <v>146</v>
      </c>
      <c r="T734" t="s">
        <v>834</v>
      </c>
      <c r="U734" t="s">
        <v>203</v>
      </c>
      <c r="W734" t="s">
        <v>67</v>
      </c>
      <c r="X734" t="s">
        <v>124</v>
      </c>
      <c r="Y734">
        <v>2</v>
      </c>
      <c r="AI734" t="s">
        <v>646</v>
      </c>
      <c r="AJ734" t="s">
        <v>3292</v>
      </c>
      <c r="AM734" t="s">
        <v>150</v>
      </c>
      <c r="AS734" t="s">
        <v>135</v>
      </c>
      <c r="BG734">
        <v>45</v>
      </c>
      <c r="BI734" t="s">
        <v>132</v>
      </c>
      <c r="BJ734" t="s">
        <v>3293</v>
      </c>
      <c r="BM734" t="s">
        <v>180</v>
      </c>
      <c r="BN734">
        <v>2</v>
      </c>
      <c r="BP734" t="s">
        <v>181</v>
      </c>
      <c r="BW734" t="s">
        <v>139</v>
      </c>
      <c r="BZ734" t="s">
        <v>132</v>
      </c>
      <c r="CX734" t="s">
        <v>132</v>
      </c>
      <c r="DF734">
        <v>2</v>
      </c>
      <c r="DG734" t="s">
        <v>3294</v>
      </c>
    </row>
    <row r="735" spans="1:111" x14ac:dyDescent="0.2">
      <c r="A735" t="s">
        <v>111</v>
      </c>
      <c r="B735" t="b">
        <v>1</v>
      </c>
      <c r="F735" t="str">
        <f>HYPERLINK("https://portal.dnb.de/opac.htm?method=simpleSearch&amp;cqlMode=true&amp;query=idn%3D1268123862", "Portal")</f>
        <v>Portal</v>
      </c>
      <c r="G735" t="s">
        <v>415</v>
      </c>
      <c r="H735" t="s">
        <v>3295</v>
      </c>
      <c r="I735" t="s">
        <v>3296</v>
      </c>
      <c r="J735" t="s">
        <v>3291</v>
      </c>
      <c r="K735" t="s">
        <v>3291</v>
      </c>
      <c r="L735" t="s">
        <v>3291</v>
      </c>
      <c r="N735" t="s">
        <v>3297</v>
      </c>
      <c r="O735" t="s">
        <v>117</v>
      </c>
      <c r="Q735" t="s">
        <v>3298</v>
      </c>
    </row>
    <row r="736" spans="1:111" x14ac:dyDescent="0.2">
      <c r="A736" t="s">
        <v>111</v>
      </c>
      <c r="B736" t="b">
        <v>1</v>
      </c>
      <c r="E736">
        <v>831</v>
      </c>
      <c r="F736" t="str">
        <f>HYPERLINK("https://portal.dnb.de/opac.htm?method=simpleSearch&amp;cqlMode=true&amp;query=idn%3D1066936455", "Portal")</f>
        <v>Portal</v>
      </c>
      <c r="G736" t="s">
        <v>125</v>
      </c>
      <c r="H736" t="s">
        <v>3299</v>
      </c>
      <c r="I736" t="s">
        <v>3300</v>
      </c>
      <c r="J736" t="s">
        <v>3301</v>
      </c>
      <c r="K736" t="s">
        <v>3301</v>
      </c>
      <c r="L736" t="s">
        <v>3301</v>
      </c>
      <c r="N736" t="s">
        <v>3302</v>
      </c>
      <c r="O736" t="s">
        <v>117</v>
      </c>
      <c r="P736" t="s">
        <v>118</v>
      </c>
      <c r="R736" t="s">
        <v>145</v>
      </c>
      <c r="S736" t="s">
        <v>121</v>
      </c>
      <c r="T736" t="s">
        <v>130</v>
      </c>
      <c r="U736" t="s">
        <v>123</v>
      </c>
      <c r="W736" t="s">
        <v>147</v>
      </c>
      <c r="X736" t="s">
        <v>124</v>
      </c>
      <c r="Y736">
        <v>1</v>
      </c>
      <c r="AI736" t="s">
        <v>149</v>
      </c>
      <c r="AM736" t="s">
        <v>196</v>
      </c>
      <c r="AS736" t="s">
        <v>135</v>
      </c>
      <c r="BG736">
        <v>60</v>
      </c>
      <c r="BM736" t="s">
        <v>137</v>
      </c>
      <c r="BN736">
        <v>0</v>
      </c>
      <c r="BR736" t="s">
        <v>132</v>
      </c>
      <c r="BV736" t="s">
        <v>355</v>
      </c>
    </row>
    <row r="737" spans="1:92" x14ac:dyDescent="0.2">
      <c r="A737" t="s">
        <v>111</v>
      </c>
      <c r="B737" t="b">
        <v>1</v>
      </c>
      <c r="E737">
        <v>832</v>
      </c>
      <c r="F737" t="str">
        <f>HYPERLINK("https://portal.dnb.de/opac.htm?method=simpleSearch&amp;cqlMode=true&amp;query=idn%3D995843651", "Portal")</f>
        <v>Portal</v>
      </c>
      <c r="G737" t="s">
        <v>112</v>
      </c>
      <c r="H737" t="s">
        <v>3303</v>
      </c>
      <c r="I737" t="s">
        <v>3304</v>
      </c>
      <c r="J737" t="s">
        <v>3305</v>
      </c>
      <c r="K737" t="s">
        <v>3305</v>
      </c>
      <c r="L737" t="s">
        <v>3305</v>
      </c>
      <c r="N737" t="s">
        <v>3306</v>
      </c>
      <c r="O737" t="s">
        <v>117</v>
      </c>
      <c r="S737" t="s">
        <v>121</v>
      </c>
      <c r="AI737" t="s">
        <v>646</v>
      </c>
      <c r="AM737" t="s">
        <v>150</v>
      </c>
      <c r="AS737" t="s">
        <v>135</v>
      </c>
      <c r="BG737">
        <v>180</v>
      </c>
      <c r="BM737" t="s">
        <v>137</v>
      </c>
      <c r="BN737">
        <v>0</v>
      </c>
    </row>
    <row r="738" spans="1:92" x14ac:dyDescent="0.2">
      <c r="A738" t="s">
        <v>111</v>
      </c>
      <c r="B738" t="b">
        <v>1</v>
      </c>
      <c r="E738">
        <v>833</v>
      </c>
      <c r="F738" t="str">
        <f>HYPERLINK("https://portal.dnb.de/opac.htm?method=simpleSearch&amp;cqlMode=true&amp;query=idn%3D106686814X", "Portal")</f>
        <v>Portal</v>
      </c>
      <c r="G738" t="s">
        <v>125</v>
      </c>
      <c r="H738" t="s">
        <v>3307</v>
      </c>
      <c r="I738" t="s">
        <v>3308</v>
      </c>
      <c r="J738" t="s">
        <v>3309</v>
      </c>
      <c r="K738" t="s">
        <v>3309</v>
      </c>
      <c r="L738" t="s">
        <v>3309</v>
      </c>
      <c r="N738" t="s">
        <v>3310</v>
      </c>
      <c r="O738" t="s">
        <v>117</v>
      </c>
      <c r="S738" t="s">
        <v>121</v>
      </c>
      <c r="AI738" t="s">
        <v>792</v>
      </c>
      <c r="AM738" t="s">
        <v>150</v>
      </c>
      <c r="AS738" t="s">
        <v>135</v>
      </c>
      <c r="BG738">
        <v>110</v>
      </c>
      <c r="BM738" t="s">
        <v>137</v>
      </c>
      <c r="BN738">
        <v>0</v>
      </c>
    </row>
    <row r="739" spans="1:92" x14ac:dyDescent="0.2">
      <c r="A739" t="s">
        <v>111</v>
      </c>
      <c r="B739" t="b">
        <v>1</v>
      </c>
      <c r="E739">
        <v>834</v>
      </c>
      <c r="F739" t="str">
        <f>HYPERLINK("https://portal.dnb.de/opac.htm?method=simpleSearch&amp;cqlMode=true&amp;query=idn%3D1066956375", "Portal")</f>
        <v>Portal</v>
      </c>
      <c r="G739" t="s">
        <v>125</v>
      </c>
      <c r="H739" t="s">
        <v>3311</v>
      </c>
      <c r="I739" t="s">
        <v>3312</v>
      </c>
      <c r="J739" t="s">
        <v>3313</v>
      </c>
      <c r="K739" t="s">
        <v>3313</v>
      </c>
      <c r="L739" t="s">
        <v>3313</v>
      </c>
      <c r="N739" t="s">
        <v>3314</v>
      </c>
      <c r="O739" t="s">
        <v>117</v>
      </c>
      <c r="S739" t="s">
        <v>121</v>
      </c>
      <c r="AI739" t="s">
        <v>365</v>
      </c>
      <c r="AK739" t="s">
        <v>132</v>
      </c>
      <c r="AM739" t="s">
        <v>134</v>
      </c>
      <c r="AS739" t="s">
        <v>135</v>
      </c>
      <c r="AT739" t="s">
        <v>132</v>
      </c>
      <c r="BG739">
        <v>110</v>
      </c>
      <c r="BM739" t="s">
        <v>137</v>
      </c>
      <c r="BN739">
        <v>0</v>
      </c>
      <c r="BR739" t="s">
        <v>132</v>
      </c>
    </row>
    <row r="740" spans="1:92" x14ac:dyDescent="0.2">
      <c r="A740" t="s">
        <v>111</v>
      </c>
      <c r="B740" t="b">
        <v>1</v>
      </c>
      <c r="E740">
        <v>835</v>
      </c>
      <c r="F740" t="str">
        <f>HYPERLINK("https://portal.dnb.de/opac.htm?method=simpleSearch&amp;cqlMode=true&amp;query=idn%3D1066800278", "Portal")</f>
        <v>Portal</v>
      </c>
      <c r="G740" t="s">
        <v>125</v>
      </c>
      <c r="H740" t="s">
        <v>3315</v>
      </c>
      <c r="I740" t="s">
        <v>3316</v>
      </c>
      <c r="J740" t="s">
        <v>3317</v>
      </c>
      <c r="K740" t="s">
        <v>3317</v>
      </c>
      <c r="L740" t="s">
        <v>3317</v>
      </c>
      <c r="N740" t="s">
        <v>3318</v>
      </c>
      <c r="O740" t="s">
        <v>117</v>
      </c>
      <c r="S740" t="s">
        <v>121</v>
      </c>
      <c r="AI740" t="s">
        <v>149</v>
      </c>
      <c r="AK740" t="s">
        <v>132</v>
      </c>
      <c r="AM740" t="s">
        <v>196</v>
      </c>
      <c r="AS740" t="s">
        <v>135</v>
      </c>
      <c r="BC740" t="s">
        <v>1768</v>
      </c>
      <c r="BD740" t="s">
        <v>132</v>
      </c>
      <c r="BG740">
        <v>80</v>
      </c>
      <c r="BM740" t="s">
        <v>137</v>
      </c>
      <c r="BN740">
        <v>0</v>
      </c>
      <c r="BR740" t="s">
        <v>132</v>
      </c>
    </row>
    <row r="741" spans="1:92" x14ac:dyDescent="0.2">
      <c r="A741" t="s">
        <v>111</v>
      </c>
      <c r="B741" t="b">
        <v>1</v>
      </c>
      <c r="E741">
        <v>836</v>
      </c>
      <c r="F741" t="str">
        <f>HYPERLINK("https://portal.dnb.de/opac.htm?method=simpleSearch&amp;cqlMode=true&amp;query=idn%3D1066800278", "Portal")</f>
        <v>Portal</v>
      </c>
      <c r="G741" t="s">
        <v>125</v>
      </c>
      <c r="H741" t="s">
        <v>3319</v>
      </c>
      <c r="I741" t="s">
        <v>3316</v>
      </c>
      <c r="J741" t="s">
        <v>3317</v>
      </c>
      <c r="K741" t="s">
        <v>3317</v>
      </c>
      <c r="L741" t="s">
        <v>3317</v>
      </c>
      <c r="M741" t="s">
        <v>3320</v>
      </c>
      <c r="N741" t="s">
        <v>3318</v>
      </c>
      <c r="O741" t="s">
        <v>117</v>
      </c>
      <c r="BN741">
        <v>0</v>
      </c>
    </row>
    <row r="742" spans="1:92" x14ac:dyDescent="0.2">
      <c r="A742" t="s">
        <v>111</v>
      </c>
      <c r="B742" t="b">
        <v>1</v>
      </c>
      <c r="E742">
        <v>837</v>
      </c>
      <c r="F742" t="str">
        <f>HYPERLINK("https://portal.dnb.de/opac.htm?method=simpleSearch&amp;cqlMode=true&amp;query=idn%3D1066798540", "Portal")</f>
        <v>Portal</v>
      </c>
      <c r="G742" t="s">
        <v>125</v>
      </c>
      <c r="H742" t="s">
        <v>3321</v>
      </c>
      <c r="I742" t="s">
        <v>3322</v>
      </c>
      <c r="J742" t="s">
        <v>3323</v>
      </c>
      <c r="K742" t="s">
        <v>3323</v>
      </c>
      <c r="L742" t="s">
        <v>3323</v>
      </c>
      <c r="N742" t="s">
        <v>3324</v>
      </c>
      <c r="O742" t="s">
        <v>117</v>
      </c>
      <c r="S742" t="s">
        <v>146</v>
      </c>
      <c r="AI742" t="s">
        <v>365</v>
      </c>
      <c r="AK742" t="s">
        <v>132</v>
      </c>
      <c r="AM742" t="s">
        <v>134</v>
      </c>
      <c r="AS742" t="s">
        <v>135</v>
      </c>
      <c r="BG742">
        <v>110</v>
      </c>
      <c r="BM742" t="s">
        <v>137</v>
      </c>
      <c r="BN742">
        <v>0</v>
      </c>
      <c r="BR742" t="s">
        <v>132</v>
      </c>
    </row>
    <row r="743" spans="1:92" x14ac:dyDescent="0.2">
      <c r="A743" t="s">
        <v>111</v>
      </c>
      <c r="B743" t="b">
        <v>0</v>
      </c>
      <c r="E743">
        <v>838</v>
      </c>
      <c r="F743" t="str">
        <f>HYPERLINK("https://portal.dnb.de/opac.htm?method=simpleSearch&amp;cqlMode=true&amp;query=idn%3D1066834555", "Portal")</f>
        <v>Portal</v>
      </c>
      <c r="H743" t="s">
        <v>3325</v>
      </c>
      <c r="I743" t="s">
        <v>3326</v>
      </c>
      <c r="L743" t="s">
        <v>3327</v>
      </c>
      <c r="S743" t="s">
        <v>121</v>
      </c>
      <c r="AD743" t="s">
        <v>489</v>
      </c>
      <c r="BN743">
        <v>0</v>
      </c>
      <c r="BS743" t="s">
        <v>132</v>
      </c>
      <c r="BV743" t="s">
        <v>3328</v>
      </c>
    </row>
    <row r="744" spans="1:92" x14ac:dyDescent="0.2">
      <c r="A744" t="s">
        <v>111</v>
      </c>
      <c r="B744" t="b">
        <v>1</v>
      </c>
      <c r="E744">
        <v>839</v>
      </c>
      <c r="F744" t="str">
        <f>HYPERLINK("https://portal.dnb.de/opac.htm?method=simpleSearch&amp;cqlMode=true&amp;query=idn%3D1000270947", "Portal")</f>
        <v>Portal</v>
      </c>
      <c r="G744" t="s">
        <v>112</v>
      </c>
      <c r="H744" t="s">
        <v>3329</v>
      </c>
      <c r="I744" t="s">
        <v>3330</v>
      </c>
      <c r="J744" t="s">
        <v>3331</v>
      </c>
      <c r="K744" t="s">
        <v>3331</v>
      </c>
      <c r="L744" t="s">
        <v>3331</v>
      </c>
      <c r="N744" t="s">
        <v>3332</v>
      </c>
      <c r="O744" t="s">
        <v>117</v>
      </c>
      <c r="S744" t="s">
        <v>121</v>
      </c>
      <c r="AI744" t="s">
        <v>792</v>
      </c>
      <c r="AM744" t="s">
        <v>134</v>
      </c>
      <c r="AS744" t="s">
        <v>135</v>
      </c>
      <c r="BG744">
        <v>110</v>
      </c>
      <c r="BM744" t="s">
        <v>137</v>
      </c>
      <c r="BN744">
        <v>0</v>
      </c>
    </row>
    <row r="745" spans="1:92" x14ac:dyDescent="0.2">
      <c r="A745" t="s">
        <v>111</v>
      </c>
      <c r="B745" t="b">
        <v>1</v>
      </c>
      <c r="F745" t="str">
        <f>HYPERLINK("https://portal.dnb.de/opac.htm?method=simpleSearch&amp;cqlMode=true&amp;query=idn%3D1255208783", "Portal")</f>
        <v>Portal</v>
      </c>
      <c r="G745" t="s">
        <v>319</v>
      </c>
      <c r="H745" t="s">
        <v>3333</v>
      </c>
      <c r="I745" t="s">
        <v>3334</v>
      </c>
      <c r="J745" t="s">
        <v>3335</v>
      </c>
      <c r="K745" t="s">
        <v>3335</v>
      </c>
      <c r="L745" t="s">
        <v>3335</v>
      </c>
      <c r="N745" t="s">
        <v>3336</v>
      </c>
      <c r="O745" t="s">
        <v>117</v>
      </c>
      <c r="S745" t="s">
        <v>121</v>
      </c>
      <c r="AI745" t="s">
        <v>133</v>
      </c>
      <c r="AM745" t="s">
        <v>196</v>
      </c>
      <c r="AS745" t="s">
        <v>135</v>
      </c>
      <c r="BG745" t="s">
        <v>793</v>
      </c>
      <c r="BM745" t="s">
        <v>137</v>
      </c>
      <c r="BN745">
        <v>0</v>
      </c>
      <c r="BP745" t="s">
        <v>181</v>
      </c>
    </row>
    <row r="746" spans="1:92" x14ac:dyDescent="0.2">
      <c r="A746" t="s">
        <v>111</v>
      </c>
      <c r="B746" t="b">
        <v>1</v>
      </c>
      <c r="E746">
        <v>842</v>
      </c>
      <c r="F746" t="str">
        <f>HYPERLINK("https://portal.dnb.de/opac.htm?method=simpleSearch&amp;cqlMode=true&amp;query=idn%3D1066960453", "Portal")</f>
        <v>Portal</v>
      </c>
      <c r="G746" t="s">
        <v>125</v>
      </c>
      <c r="H746" t="s">
        <v>3337</v>
      </c>
      <c r="I746" t="s">
        <v>3338</v>
      </c>
      <c r="J746" t="s">
        <v>3339</v>
      </c>
      <c r="K746" t="s">
        <v>3339</v>
      </c>
      <c r="L746" t="s">
        <v>3339</v>
      </c>
      <c r="N746" t="s">
        <v>3340</v>
      </c>
      <c r="O746" t="s">
        <v>117</v>
      </c>
      <c r="S746" t="s">
        <v>121</v>
      </c>
      <c r="AH746" t="s">
        <v>132</v>
      </c>
      <c r="AI746" t="s">
        <v>365</v>
      </c>
      <c r="AK746" t="s">
        <v>132</v>
      </c>
      <c r="AM746" t="s">
        <v>134</v>
      </c>
      <c r="AS746" t="s">
        <v>135</v>
      </c>
      <c r="AT746" t="s">
        <v>132</v>
      </c>
      <c r="BG746">
        <v>110</v>
      </c>
      <c r="BM746" t="s">
        <v>137</v>
      </c>
      <c r="BN746">
        <v>0</v>
      </c>
      <c r="BR746" t="s">
        <v>132</v>
      </c>
    </row>
    <row r="747" spans="1:92" x14ac:dyDescent="0.2">
      <c r="A747" t="s">
        <v>111</v>
      </c>
      <c r="B747" t="b">
        <v>1</v>
      </c>
      <c r="E747">
        <v>843</v>
      </c>
      <c r="F747" t="str">
        <f>HYPERLINK("https://portal.dnb.de/opac.htm?method=simpleSearch&amp;cqlMode=true&amp;query=idn%3D1066959978", "Portal")</f>
        <v>Portal</v>
      </c>
      <c r="G747" t="s">
        <v>125</v>
      </c>
      <c r="H747" t="s">
        <v>3341</v>
      </c>
      <c r="I747" t="s">
        <v>3342</v>
      </c>
      <c r="J747" t="s">
        <v>3343</v>
      </c>
      <c r="K747" t="s">
        <v>3343</v>
      </c>
      <c r="L747" t="s">
        <v>3343</v>
      </c>
      <c r="N747" t="s">
        <v>3344</v>
      </c>
      <c r="O747" t="s">
        <v>117</v>
      </c>
      <c r="S747" t="s">
        <v>121</v>
      </c>
      <c r="AI747" t="s">
        <v>792</v>
      </c>
      <c r="AM747" t="s">
        <v>134</v>
      </c>
      <c r="AS747" t="s">
        <v>135</v>
      </c>
      <c r="BG747">
        <v>110</v>
      </c>
      <c r="BM747" t="s">
        <v>137</v>
      </c>
      <c r="BN747">
        <v>0</v>
      </c>
    </row>
    <row r="748" spans="1:92" x14ac:dyDescent="0.2">
      <c r="A748" t="s">
        <v>111</v>
      </c>
      <c r="B748" t="b">
        <v>1</v>
      </c>
      <c r="E748">
        <v>844</v>
      </c>
      <c r="F748" t="str">
        <f>HYPERLINK("https://portal.dnb.de/opac.htm?method=simpleSearch&amp;cqlMode=true&amp;query=idn%3D106677935X", "Portal")</f>
        <v>Portal</v>
      </c>
      <c r="G748" t="s">
        <v>125</v>
      </c>
      <c r="H748" t="s">
        <v>3345</v>
      </c>
      <c r="I748" t="s">
        <v>3346</v>
      </c>
      <c r="J748" t="s">
        <v>3347</v>
      </c>
      <c r="K748" t="s">
        <v>3347</v>
      </c>
      <c r="L748" t="s">
        <v>3347</v>
      </c>
      <c r="N748" t="s">
        <v>3348</v>
      </c>
      <c r="O748" t="s">
        <v>117</v>
      </c>
      <c r="S748" t="s">
        <v>146</v>
      </c>
      <c r="AI748" t="s">
        <v>646</v>
      </c>
      <c r="AM748" t="s">
        <v>150</v>
      </c>
      <c r="AP748" t="s">
        <v>132</v>
      </c>
      <c r="AS748" t="s">
        <v>135</v>
      </c>
      <c r="BG748">
        <v>110</v>
      </c>
      <c r="BM748" t="s">
        <v>137</v>
      </c>
      <c r="BN748">
        <v>0</v>
      </c>
      <c r="BV748" t="s">
        <v>3349</v>
      </c>
      <c r="BY748" t="s">
        <v>3350</v>
      </c>
    </row>
    <row r="749" spans="1:92" x14ac:dyDescent="0.2">
      <c r="A749" t="s">
        <v>111</v>
      </c>
      <c r="B749" t="b">
        <v>1</v>
      </c>
      <c r="F749" t="str">
        <f>HYPERLINK("https://portal.dnb.de/opac.htm?method=simpleSearch&amp;cqlMode=true&amp;query=idn%3D1138240702", "Portal")</f>
        <v>Portal</v>
      </c>
      <c r="G749" t="s">
        <v>319</v>
      </c>
      <c r="H749" t="s">
        <v>3351</v>
      </c>
      <c r="I749" t="s">
        <v>3352</v>
      </c>
      <c r="J749" t="s">
        <v>3353</v>
      </c>
      <c r="K749" t="s">
        <v>3353</v>
      </c>
      <c r="L749" t="s">
        <v>3353</v>
      </c>
      <c r="N749" t="s">
        <v>323</v>
      </c>
      <c r="O749" t="s">
        <v>117</v>
      </c>
      <c r="S749" t="s">
        <v>121</v>
      </c>
      <c r="AI749" t="s">
        <v>365</v>
      </c>
      <c r="AK749" t="s">
        <v>132</v>
      </c>
      <c r="AM749" t="s">
        <v>134</v>
      </c>
      <c r="AS749" t="s">
        <v>135</v>
      </c>
      <c r="BG749">
        <v>110</v>
      </c>
      <c r="BM749" t="s">
        <v>137</v>
      </c>
      <c r="BN749">
        <v>0</v>
      </c>
      <c r="BR749" t="s">
        <v>132</v>
      </c>
    </row>
    <row r="750" spans="1:92" x14ac:dyDescent="0.2">
      <c r="A750" t="s">
        <v>111</v>
      </c>
      <c r="B750" t="b">
        <v>1</v>
      </c>
      <c r="C750" t="s">
        <v>132</v>
      </c>
      <c r="E750">
        <v>849</v>
      </c>
      <c r="F750" t="str">
        <f>HYPERLINK("https://portal.dnb.de/opac.htm?method=simpleSearch&amp;cqlMode=true&amp;query=idn%3D1066937672", "Portal")</f>
        <v>Portal</v>
      </c>
      <c r="G750" t="s">
        <v>125</v>
      </c>
      <c r="H750" t="s">
        <v>3354</v>
      </c>
      <c r="I750" t="s">
        <v>3355</v>
      </c>
      <c r="J750" t="s">
        <v>3356</v>
      </c>
      <c r="K750" t="s">
        <v>3356</v>
      </c>
      <c r="L750" t="s">
        <v>3356</v>
      </c>
      <c r="N750" t="s">
        <v>3357</v>
      </c>
      <c r="O750" t="s">
        <v>117</v>
      </c>
      <c r="S750" t="s">
        <v>121</v>
      </c>
      <c r="AI750" t="s">
        <v>325</v>
      </c>
      <c r="AK750" t="s">
        <v>132</v>
      </c>
      <c r="AM750" t="s">
        <v>134</v>
      </c>
      <c r="AS750" t="s">
        <v>135</v>
      </c>
      <c r="AT750" t="s">
        <v>132</v>
      </c>
      <c r="BG750">
        <v>110</v>
      </c>
      <c r="BM750" t="s">
        <v>180</v>
      </c>
      <c r="BN750">
        <v>1.5</v>
      </c>
      <c r="BR750" t="s">
        <v>132</v>
      </c>
      <c r="CB750" t="s">
        <v>132</v>
      </c>
      <c r="CD750" t="s">
        <v>204</v>
      </c>
      <c r="CM750">
        <v>1.5</v>
      </c>
      <c r="CN750" t="s">
        <v>3358</v>
      </c>
    </row>
    <row r="751" spans="1:92" x14ac:dyDescent="0.2">
      <c r="A751" t="s">
        <v>111</v>
      </c>
      <c r="B751" t="b">
        <v>1</v>
      </c>
      <c r="E751">
        <v>850</v>
      </c>
      <c r="F751" t="str">
        <f>HYPERLINK("https://portal.dnb.de/opac.htm?method=simpleSearch&amp;cqlMode=true&amp;query=idn%3D1066964491", "Portal")</f>
        <v>Portal</v>
      </c>
      <c r="G751" t="s">
        <v>125</v>
      </c>
      <c r="H751" t="s">
        <v>3359</v>
      </c>
      <c r="I751" t="s">
        <v>3360</v>
      </c>
      <c r="J751" t="s">
        <v>3361</v>
      </c>
      <c r="K751" t="s">
        <v>3361</v>
      </c>
      <c r="L751" t="s">
        <v>3361</v>
      </c>
      <c r="N751" t="s">
        <v>3362</v>
      </c>
      <c r="O751" t="s">
        <v>117</v>
      </c>
      <c r="S751" t="s">
        <v>121</v>
      </c>
      <c r="AI751" t="s">
        <v>1684</v>
      </c>
      <c r="AM751" t="s">
        <v>196</v>
      </c>
      <c r="AS751" t="s">
        <v>135</v>
      </c>
      <c r="BG751">
        <v>180</v>
      </c>
      <c r="BM751" t="s">
        <v>137</v>
      </c>
      <c r="BN751">
        <v>0</v>
      </c>
    </row>
    <row r="752" spans="1:92" x14ac:dyDescent="0.2">
      <c r="A752" t="s">
        <v>111</v>
      </c>
      <c r="B752" t="b">
        <v>1</v>
      </c>
      <c r="E752">
        <v>851</v>
      </c>
      <c r="F752" t="str">
        <f>HYPERLINK("https://portal.dnb.de/opac.htm?method=simpleSearch&amp;cqlMode=true&amp;query=idn%3D1066962200", "Portal")</f>
        <v>Portal</v>
      </c>
      <c r="G752" t="s">
        <v>125</v>
      </c>
      <c r="H752" t="s">
        <v>3363</v>
      </c>
      <c r="I752" t="s">
        <v>3364</v>
      </c>
      <c r="J752" t="s">
        <v>3365</v>
      </c>
      <c r="K752" t="s">
        <v>3365</v>
      </c>
      <c r="L752" t="s">
        <v>3365</v>
      </c>
      <c r="N752" t="s">
        <v>3366</v>
      </c>
      <c r="O752" t="s">
        <v>117</v>
      </c>
      <c r="S752" t="s">
        <v>121</v>
      </c>
      <c r="AI752" t="s">
        <v>1684</v>
      </c>
      <c r="AM752" t="s">
        <v>196</v>
      </c>
      <c r="AS752" t="s">
        <v>135</v>
      </c>
      <c r="BG752">
        <v>180</v>
      </c>
      <c r="BM752" t="s">
        <v>137</v>
      </c>
      <c r="BN752">
        <v>0</v>
      </c>
    </row>
    <row r="753" spans="1:92" x14ac:dyDescent="0.2">
      <c r="A753" t="s">
        <v>111</v>
      </c>
      <c r="B753" t="b">
        <v>1</v>
      </c>
      <c r="E753">
        <v>852</v>
      </c>
      <c r="F753" t="str">
        <f>HYPERLINK("https://portal.dnb.de/opac.htm?method=simpleSearch&amp;cqlMode=true&amp;query=idn%3D106696274X", "Portal")</f>
        <v>Portal</v>
      </c>
      <c r="G753" t="s">
        <v>125</v>
      </c>
      <c r="H753" t="s">
        <v>3367</v>
      </c>
      <c r="I753" t="s">
        <v>3368</v>
      </c>
      <c r="J753" t="s">
        <v>3369</v>
      </c>
      <c r="K753" t="s">
        <v>3369</v>
      </c>
      <c r="L753" t="s">
        <v>3369</v>
      </c>
      <c r="N753" t="s">
        <v>3370</v>
      </c>
      <c r="O753" t="s">
        <v>117</v>
      </c>
      <c r="S753" t="s">
        <v>121</v>
      </c>
      <c r="AI753" t="s">
        <v>325</v>
      </c>
      <c r="AK753" t="s">
        <v>132</v>
      </c>
      <c r="AM753" t="s">
        <v>134</v>
      </c>
      <c r="AS753" t="s">
        <v>135</v>
      </c>
      <c r="AT753" t="s">
        <v>132</v>
      </c>
      <c r="BG753">
        <v>110</v>
      </c>
      <c r="BM753" t="s">
        <v>137</v>
      </c>
      <c r="BN753">
        <v>0</v>
      </c>
    </row>
    <row r="754" spans="1:92" x14ac:dyDescent="0.2">
      <c r="A754" t="s">
        <v>111</v>
      </c>
      <c r="B754" t="b">
        <v>1</v>
      </c>
      <c r="E754">
        <v>853</v>
      </c>
      <c r="F754" t="str">
        <f>HYPERLINK("https://portal.dnb.de/opac.htm?method=simpleSearch&amp;cqlMode=true&amp;query=idn%3D106696310X", "Portal")</f>
        <v>Portal</v>
      </c>
      <c r="G754" t="s">
        <v>125</v>
      </c>
      <c r="H754" t="s">
        <v>3371</v>
      </c>
      <c r="I754" t="s">
        <v>3372</v>
      </c>
      <c r="J754" t="s">
        <v>3373</v>
      </c>
      <c r="K754" t="s">
        <v>3373</v>
      </c>
      <c r="L754" t="s">
        <v>3373</v>
      </c>
      <c r="N754" t="s">
        <v>3374</v>
      </c>
      <c r="O754" t="s">
        <v>117</v>
      </c>
      <c r="S754" t="s">
        <v>121</v>
      </c>
      <c r="AI754" t="s">
        <v>646</v>
      </c>
      <c r="AM754" t="s">
        <v>134</v>
      </c>
      <c r="AS754" t="s">
        <v>135</v>
      </c>
      <c r="BG754">
        <v>110</v>
      </c>
      <c r="BM754" t="s">
        <v>137</v>
      </c>
      <c r="BN754">
        <v>0</v>
      </c>
    </row>
    <row r="755" spans="1:92" x14ac:dyDescent="0.2">
      <c r="A755" t="s">
        <v>111</v>
      </c>
      <c r="B755" t="b">
        <v>1</v>
      </c>
      <c r="E755">
        <v>854</v>
      </c>
      <c r="F755" t="str">
        <f>HYPERLINK("https://portal.dnb.de/opac.htm?method=simpleSearch&amp;cqlMode=true&amp;query=idn%3D1066935823", "Portal")</f>
        <v>Portal</v>
      </c>
      <c r="G755" t="s">
        <v>125</v>
      </c>
      <c r="H755" t="s">
        <v>3375</v>
      </c>
      <c r="I755" t="s">
        <v>3376</v>
      </c>
      <c r="J755" t="s">
        <v>3377</v>
      </c>
      <c r="K755" t="s">
        <v>3377</v>
      </c>
      <c r="L755" t="s">
        <v>3377</v>
      </c>
      <c r="N755" t="s">
        <v>3378</v>
      </c>
      <c r="O755" t="s">
        <v>117</v>
      </c>
      <c r="S755" t="s">
        <v>121</v>
      </c>
      <c r="AI755" t="s">
        <v>365</v>
      </c>
      <c r="AK755" t="s">
        <v>132</v>
      </c>
      <c r="AM755" t="s">
        <v>134</v>
      </c>
      <c r="AS755" t="s">
        <v>135</v>
      </c>
      <c r="AT755" t="s">
        <v>132</v>
      </c>
      <c r="BG755">
        <v>110</v>
      </c>
      <c r="BM755" t="s">
        <v>137</v>
      </c>
      <c r="BN755">
        <v>0</v>
      </c>
    </row>
    <row r="756" spans="1:92" x14ac:dyDescent="0.2">
      <c r="A756" t="s">
        <v>111</v>
      </c>
      <c r="B756" t="b">
        <v>1</v>
      </c>
      <c r="E756">
        <v>855</v>
      </c>
      <c r="F756" t="str">
        <f>HYPERLINK("https://portal.dnb.de/opac.htm?method=simpleSearch&amp;cqlMode=true&amp;query=idn%3D1066963479", "Portal")</f>
        <v>Portal</v>
      </c>
      <c r="G756" t="s">
        <v>125</v>
      </c>
      <c r="H756" t="s">
        <v>3379</v>
      </c>
      <c r="I756" t="s">
        <v>3380</v>
      </c>
      <c r="J756" t="s">
        <v>3381</v>
      </c>
      <c r="K756" t="s">
        <v>3381</v>
      </c>
      <c r="L756" t="s">
        <v>3381</v>
      </c>
      <c r="N756" t="s">
        <v>3382</v>
      </c>
      <c r="O756" t="s">
        <v>117</v>
      </c>
      <c r="S756" t="s">
        <v>121</v>
      </c>
      <c r="AH756" t="s">
        <v>132</v>
      </c>
      <c r="AI756" t="s">
        <v>325</v>
      </c>
      <c r="AK756" t="s">
        <v>132</v>
      </c>
      <c r="AM756" t="s">
        <v>134</v>
      </c>
      <c r="AS756" t="s">
        <v>135</v>
      </c>
      <c r="BG756">
        <v>110</v>
      </c>
      <c r="BM756" t="s">
        <v>137</v>
      </c>
      <c r="BN756">
        <v>0</v>
      </c>
    </row>
    <row r="757" spans="1:92" x14ac:dyDescent="0.2">
      <c r="A757" t="s">
        <v>111</v>
      </c>
      <c r="B757" t="b">
        <v>1</v>
      </c>
      <c r="E757">
        <v>856</v>
      </c>
      <c r="F757" t="str">
        <f>HYPERLINK("https://portal.dnb.de/opac.htm?method=simpleSearch&amp;cqlMode=true&amp;query=idn%3D1066786534", "Portal")</f>
        <v>Portal</v>
      </c>
      <c r="G757" t="s">
        <v>125</v>
      </c>
      <c r="H757" t="s">
        <v>3383</v>
      </c>
      <c r="I757" t="s">
        <v>3384</v>
      </c>
      <c r="J757" t="s">
        <v>3385</v>
      </c>
      <c r="K757" t="s">
        <v>3385</v>
      </c>
      <c r="L757" t="s">
        <v>3385</v>
      </c>
      <c r="N757" t="s">
        <v>3386</v>
      </c>
      <c r="O757" t="s">
        <v>117</v>
      </c>
      <c r="S757" t="s">
        <v>121</v>
      </c>
      <c r="AI757" t="s">
        <v>149</v>
      </c>
      <c r="AM757" t="s">
        <v>196</v>
      </c>
      <c r="AS757" t="s">
        <v>135</v>
      </c>
      <c r="BG757">
        <v>45</v>
      </c>
      <c r="BM757" t="s">
        <v>137</v>
      </c>
      <c r="BN757">
        <v>0</v>
      </c>
      <c r="BR757" t="s">
        <v>132</v>
      </c>
    </row>
    <row r="758" spans="1:92" x14ac:dyDescent="0.2">
      <c r="A758" t="s">
        <v>111</v>
      </c>
      <c r="B758" t="b">
        <v>0</v>
      </c>
      <c r="E758">
        <v>857</v>
      </c>
      <c r="F758" t="str">
        <f>HYPERLINK("https://portal.dnb.de/opac.htm?method=simpleSearch&amp;cqlMode=true&amp;query=idn%3D99391909X", "Portal")</f>
        <v>Portal</v>
      </c>
      <c r="H758" t="s">
        <v>3387</v>
      </c>
      <c r="I758" t="s">
        <v>3388</v>
      </c>
      <c r="L758" t="s">
        <v>3389</v>
      </c>
      <c r="S758" t="s">
        <v>121</v>
      </c>
      <c r="AI758" t="s">
        <v>133</v>
      </c>
      <c r="AL758" t="s">
        <v>132</v>
      </c>
      <c r="AM758" t="s">
        <v>196</v>
      </c>
      <c r="AS758" t="s">
        <v>135</v>
      </c>
      <c r="BE758">
        <v>2</v>
      </c>
      <c r="BG758">
        <v>110</v>
      </c>
      <c r="BM758" t="s">
        <v>137</v>
      </c>
      <c r="BN758">
        <v>0</v>
      </c>
      <c r="BP758" t="s">
        <v>181</v>
      </c>
    </row>
    <row r="759" spans="1:92" x14ac:dyDescent="0.2">
      <c r="A759" t="s">
        <v>111</v>
      </c>
      <c r="B759" t="b">
        <v>0</v>
      </c>
      <c r="E759">
        <v>858</v>
      </c>
      <c r="F759" t="str">
        <f>HYPERLINK("https://portal.dnb.de/opac.htm?method=simpleSearch&amp;cqlMode=true&amp;query=idn%3D993918549", "Portal")</f>
        <v>Portal</v>
      </c>
      <c r="H759" t="s">
        <v>3390</v>
      </c>
      <c r="I759" t="s">
        <v>3391</v>
      </c>
      <c r="L759" t="s">
        <v>3389</v>
      </c>
      <c r="BN759">
        <v>0</v>
      </c>
    </row>
    <row r="760" spans="1:92" x14ac:dyDescent="0.2">
      <c r="A760" t="s">
        <v>111</v>
      </c>
      <c r="B760" t="b">
        <v>1</v>
      </c>
      <c r="F760" t="str">
        <f>HYPERLINK("https://portal.dnb.de/opac.htm?method=simpleSearch&amp;cqlMode=true&amp;query=idn%3D1263056237", "Portal")</f>
        <v>Portal</v>
      </c>
      <c r="G760" t="s">
        <v>319</v>
      </c>
      <c r="H760" t="s">
        <v>3392</v>
      </c>
      <c r="I760" t="s">
        <v>3393</v>
      </c>
      <c r="J760" t="s">
        <v>3389</v>
      </c>
      <c r="K760" t="s">
        <v>3389</v>
      </c>
      <c r="L760" t="s">
        <v>3389</v>
      </c>
      <c r="N760" t="s">
        <v>3394</v>
      </c>
      <c r="O760" t="s">
        <v>117</v>
      </c>
    </row>
    <row r="761" spans="1:92" x14ac:dyDescent="0.2">
      <c r="A761" t="s">
        <v>111</v>
      </c>
      <c r="B761" t="b">
        <v>1</v>
      </c>
      <c r="E761">
        <v>859</v>
      </c>
      <c r="F761" t="str">
        <f>HYPERLINK("https://portal.dnb.de/opac.htm?method=simpleSearch&amp;cqlMode=true&amp;query=idn%3D1066961980", "Portal")</f>
        <v>Portal</v>
      </c>
      <c r="G761" t="s">
        <v>112</v>
      </c>
      <c r="H761" t="s">
        <v>3395</v>
      </c>
      <c r="I761" t="s">
        <v>3396</v>
      </c>
      <c r="J761" t="s">
        <v>3397</v>
      </c>
      <c r="K761" t="s">
        <v>3397</v>
      </c>
      <c r="L761" t="s">
        <v>3397</v>
      </c>
      <c r="N761" t="s">
        <v>3398</v>
      </c>
      <c r="O761" t="s">
        <v>117</v>
      </c>
      <c r="S761" t="s">
        <v>146</v>
      </c>
      <c r="AI761" t="s">
        <v>149</v>
      </c>
      <c r="AK761" t="s">
        <v>132</v>
      </c>
      <c r="AM761" t="s">
        <v>134</v>
      </c>
      <c r="AS761" t="s">
        <v>135</v>
      </c>
      <c r="BG761">
        <v>60</v>
      </c>
      <c r="BM761" t="s">
        <v>137</v>
      </c>
      <c r="BN761">
        <v>0</v>
      </c>
      <c r="BR761" t="s">
        <v>132</v>
      </c>
    </row>
    <row r="762" spans="1:92" x14ac:dyDescent="0.2">
      <c r="A762" t="s">
        <v>111</v>
      </c>
      <c r="B762" t="b">
        <v>1</v>
      </c>
      <c r="C762" t="s">
        <v>132</v>
      </c>
      <c r="E762">
        <v>860</v>
      </c>
      <c r="F762" t="str">
        <f>HYPERLINK("https://portal.dnb.de/opac.htm?method=simpleSearch&amp;cqlMode=true&amp;query=idn%3D1066957894", "Portal")</f>
        <v>Portal</v>
      </c>
      <c r="G762" t="s">
        <v>125</v>
      </c>
      <c r="H762" t="s">
        <v>3399</v>
      </c>
      <c r="I762" t="s">
        <v>3400</v>
      </c>
      <c r="J762" t="s">
        <v>3401</v>
      </c>
      <c r="K762" t="s">
        <v>3401</v>
      </c>
      <c r="L762" t="s">
        <v>3401</v>
      </c>
      <c r="N762" t="s">
        <v>3402</v>
      </c>
      <c r="O762" t="s">
        <v>117</v>
      </c>
      <c r="S762" t="s">
        <v>146</v>
      </c>
      <c r="AI762" t="s">
        <v>149</v>
      </c>
      <c r="AK762" t="s">
        <v>132</v>
      </c>
      <c r="AM762" t="s">
        <v>179</v>
      </c>
      <c r="AS762" t="s">
        <v>135</v>
      </c>
      <c r="BC762" t="s">
        <v>3277</v>
      </c>
      <c r="BD762" t="s">
        <v>132</v>
      </c>
      <c r="BE762">
        <v>0</v>
      </c>
      <c r="BF762" t="s">
        <v>132</v>
      </c>
      <c r="BG762">
        <v>110</v>
      </c>
      <c r="BM762" t="s">
        <v>180</v>
      </c>
      <c r="BN762">
        <v>3.5</v>
      </c>
      <c r="BR762" t="s">
        <v>132</v>
      </c>
      <c r="CA762" t="s">
        <v>132</v>
      </c>
      <c r="CB762" t="s">
        <v>132</v>
      </c>
      <c r="CD762" t="s">
        <v>184</v>
      </c>
      <c r="CM762">
        <v>3.5</v>
      </c>
      <c r="CN762" t="s">
        <v>3358</v>
      </c>
    </row>
    <row r="763" spans="1:92" x14ac:dyDescent="0.2">
      <c r="A763" t="s">
        <v>111</v>
      </c>
      <c r="B763" t="b">
        <v>1</v>
      </c>
      <c r="E763">
        <v>861</v>
      </c>
      <c r="F763" t="str">
        <f>HYPERLINK("https://portal.dnb.de/opac.htm?method=simpleSearch&amp;cqlMode=true&amp;query=idn%3D1066957894", "Portal")</f>
        <v>Portal</v>
      </c>
      <c r="G763" t="s">
        <v>125</v>
      </c>
      <c r="H763" t="s">
        <v>3403</v>
      </c>
      <c r="I763" t="s">
        <v>3400</v>
      </c>
      <c r="J763" t="s">
        <v>3404</v>
      </c>
      <c r="K763" t="s">
        <v>3404</v>
      </c>
      <c r="L763" t="s">
        <v>3404</v>
      </c>
      <c r="N763" t="s">
        <v>3402</v>
      </c>
      <c r="O763" t="s">
        <v>117</v>
      </c>
      <c r="S763" t="s">
        <v>146</v>
      </c>
      <c r="AI763" t="s">
        <v>2592</v>
      </c>
      <c r="AM763" t="s">
        <v>134</v>
      </c>
      <c r="AS763" t="s">
        <v>135</v>
      </c>
      <c r="BG763">
        <v>110</v>
      </c>
      <c r="BM763" t="s">
        <v>137</v>
      </c>
      <c r="BN763">
        <v>0</v>
      </c>
    </row>
    <row r="764" spans="1:92" x14ac:dyDescent="0.2">
      <c r="A764" t="s">
        <v>111</v>
      </c>
      <c r="B764" t="b">
        <v>1</v>
      </c>
      <c r="E764">
        <v>862</v>
      </c>
      <c r="F764" t="str">
        <f>HYPERLINK("https://portal.dnb.de/opac.htm?method=simpleSearch&amp;cqlMode=true&amp;query=idn%3D1066960496", "Portal")</f>
        <v>Portal</v>
      </c>
      <c r="G764" t="s">
        <v>125</v>
      </c>
      <c r="H764" t="s">
        <v>3405</v>
      </c>
      <c r="I764" t="s">
        <v>3406</v>
      </c>
      <c r="J764" t="s">
        <v>3407</v>
      </c>
      <c r="K764" t="s">
        <v>3407</v>
      </c>
      <c r="L764" t="s">
        <v>3407</v>
      </c>
      <c r="N764" t="s">
        <v>3408</v>
      </c>
      <c r="O764" t="s">
        <v>117</v>
      </c>
      <c r="S764" t="s">
        <v>121</v>
      </c>
      <c r="AI764" t="s">
        <v>135</v>
      </c>
      <c r="AM764" t="s">
        <v>134</v>
      </c>
      <c r="AS764" t="s">
        <v>135</v>
      </c>
      <c r="BG764">
        <v>110</v>
      </c>
      <c r="BM764" t="s">
        <v>137</v>
      </c>
      <c r="BN764">
        <v>0</v>
      </c>
      <c r="BR764" t="s">
        <v>132</v>
      </c>
    </row>
    <row r="765" spans="1:92" x14ac:dyDescent="0.2">
      <c r="A765" t="s">
        <v>111</v>
      </c>
      <c r="B765" t="b">
        <v>1</v>
      </c>
      <c r="E765">
        <v>863</v>
      </c>
      <c r="F765" t="str">
        <f>HYPERLINK("https://portal.dnb.de/opac.htm?method=simpleSearch&amp;cqlMode=true&amp;query=idn%3D106693858X", "Portal")</f>
        <v>Portal</v>
      </c>
      <c r="G765" t="s">
        <v>125</v>
      </c>
      <c r="H765" t="s">
        <v>3409</v>
      </c>
      <c r="I765" t="s">
        <v>3410</v>
      </c>
      <c r="J765" t="s">
        <v>3411</v>
      </c>
      <c r="K765" t="s">
        <v>3411</v>
      </c>
      <c r="L765" t="s">
        <v>3411</v>
      </c>
      <c r="N765" t="s">
        <v>3412</v>
      </c>
      <c r="O765" t="s">
        <v>117</v>
      </c>
      <c r="S765" t="s">
        <v>146</v>
      </c>
      <c r="AI765" t="s">
        <v>365</v>
      </c>
      <c r="AK765" t="s">
        <v>132</v>
      </c>
      <c r="AM765" t="s">
        <v>134</v>
      </c>
      <c r="AS765" t="s">
        <v>135</v>
      </c>
      <c r="BG765">
        <v>60</v>
      </c>
      <c r="BM765" t="s">
        <v>137</v>
      </c>
      <c r="BN765">
        <v>0</v>
      </c>
    </row>
    <row r="766" spans="1:92" x14ac:dyDescent="0.2">
      <c r="A766" t="s">
        <v>111</v>
      </c>
      <c r="B766" t="b">
        <v>1</v>
      </c>
      <c r="E766">
        <v>864</v>
      </c>
      <c r="F766" t="str">
        <f>HYPERLINK("https://portal.dnb.de/opac.htm?method=simpleSearch&amp;cqlMode=true&amp;query=idn%3D1066942420", "Portal")</f>
        <v>Portal</v>
      </c>
      <c r="G766" t="s">
        <v>125</v>
      </c>
      <c r="H766" t="s">
        <v>3413</v>
      </c>
      <c r="I766" t="s">
        <v>3414</v>
      </c>
      <c r="J766" t="s">
        <v>3415</v>
      </c>
      <c r="K766" t="s">
        <v>3415</v>
      </c>
      <c r="L766" t="s">
        <v>3415</v>
      </c>
      <c r="N766" t="s">
        <v>3416</v>
      </c>
      <c r="O766" t="s">
        <v>117</v>
      </c>
      <c r="S766" t="s">
        <v>121</v>
      </c>
      <c r="AH766" t="s">
        <v>132</v>
      </c>
      <c r="AI766" t="s">
        <v>325</v>
      </c>
      <c r="AK766" t="s">
        <v>132</v>
      </c>
      <c r="AM766" t="s">
        <v>134</v>
      </c>
      <c r="AS766" t="s">
        <v>135</v>
      </c>
      <c r="BG766">
        <v>110</v>
      </c>
      <c r="BM766" t="s">
        <v>137</v>
      </c>
      <c r="BN766">
        <v>0</v>
      </c>
    </row>
    <row r="767" spans="1:92" x14ac:dyDescent="0.2">
      <c r="A767" t="s">
        <v>111</v>
      </c>
      <c r="B767" t="b">
        <v>1</v>
      </c>
      <c r="F767" t="str">
        <f>HYPERLINK("https://portal.dnb.de/opac.htm?method=simpleSearch&amp;cqlMode=true&amp;query=idn%3D113824290X", "Portal")</f>
        <v>Portal</v>
      </c>
      <c r="G767" t="s">
        <v>319</v>
      </c>
      <c r="H767" t="s">
        <v>3417</v>
      </c>
      <c r="I767" t="s">
        <v>3418</v>
      </c>
      <c r="J767" t="s">
        <v>3419</v>
      </c>
      <c r="K767" t="s">
        <v>3419</v>
      </c>
      <c r="L767" t="s">
        <v>3419</v>
      </c>
      <c r="N767" t="s">
        <v>338</v>
      </c>
      <c r="O767" t="s">
        <v>117</v>
      </c>
      <c r="S767" t="s">
        <v>146</v>
      </c>
      <c r="AI767" t="s">
        <v>646</v>
      </c>
      <c r="AL767" t="s">
        <v>132</v>
      </c>
      <c r="AM767" t="s">
        <v>134</v>
      </c>
      <c r="AN767" t="s">
        <v>132</v>
      </c>
      <c r="AS767" t="s">
        <v>135</v>
      </c>
      <c r="BG767">
        <v>110</v>
      </c>
      <c r="BM767" t="s">
        <v>137</v>
      </c>
      <c r="BN767">
        <v>0</v>
      </c>
      <c r="BP767" t="s">
        <v>181</v>
      </c>
      <c r="BW767" t="s">
        <v>152</v>
      </c>
    </row>
    <row r="768" spans="1:92" x14ac:dyDescent="0.2">
      <c r="A768" t="s">
        <v>111</v>
      </c>
      <c r="B768" t="b">
        <v>1</v>
      </c>
      <c r="C768" t="s">
        <v>132</v>
      </c>
      <c r="E768">
        <v>867</v>
      </c>
      <c r="F768" t="str">
        <f>HYPERLINK("https://portal.dnb.de/opac.htm?method=simpleSearch&amp;cqlMode=true&amp;query=idn%3D1066961832", "Portal")</f>
        <v>Portal</v>
      </c>
      <c r="G768" t="s">
        <v>125</v>
      </c>
      <c r="H768" t="s">
        <v>3420</v>
      </c>
      <c r="I768" t="s">
        <v>3421</v>
      </c>
      <c r="J768" t="s">
        <v>3422</v>
      </c>
      <c r="K768" t="s">
        <v>3422</v>
      </c>
      <c r="L768" t="s">
        <v>3422</v>
      </c>
      <c r="N768" t="s">
        <v>3423</v>
      </c>
      <c r="O768" t="s">
        <v>117</v>
      </c>
      <c r="S768" t="s">
        <v>146</v>
      </c>
      <c r="AI768" t="s">
        <v>149</v>
      </c>
      <c r="AK768" t="s">
        <v>132</v>
      </c>
      <c r="AM768" t="s">
        <v>179</v>
      </c>
      <c r="AS768" t="s">
        <v>135</v>
      </c>
      <c r="BG768">
        <v>60</v>
      </c>
      <c r="BM768" t="s">
        <v>180</v>
      </c>
      <c r="BN768">
        <v>0.5</v>
      </c>
      <c r="BR768" t="s">
        <v>132</v>
      </c>
      <c r="CA768" t="s">
        <v>132</v>
      </c>
      <c r="CB768" t="s">
        <v>132</v>
      </c>
      <c r="CM768">
        <v>0.5</v>
      </c>
    </row>
    <row r="769" spans="1:77" x14ac:dyDescent="0.2">
      <c r="A769" t="s">
        <v>111</v>
      </c>
      <c r="B769" t="b">
        <v>1</v>
      </c>
      <c r="E769">
        <v>868</v>
      </c>
      <c r="F769" t="str">
        <f>HYPERLINK("https://portal.dnb.de/opac.htm?method=simpleSearch&amp;cqlMode=true&amp;query=idn%3D1066941297", "Portal")</f>
        <v>Portal</v>
      </c>
      <c r="G769" t="s">
        <v>125</v>
      </c>
      <c r="H769" t="s">
        <v>3424</v>
      </c>
      <c r="I769" t="s">
        <v>3425</v>
      </c>
      <c r="J769" t="s">
        <v>3426</v>
      </c>
      <c r="K769" t="s">
        <v>3426</v>
      </c>
      <c r="L769" t="s">
        <v>3426</v>
      </c>
      <c r="N769" t="s">
        <v>3427</v>
      </c>
      <c r="O769" t="s">
        <v>117</v>
      </c>
      <c r="S769" t="s">
        <v>146</v>
      </c>
      <c r="AI769" t="s">
        <v>325</v>
      </c>
      <c r="AK769" t="s">
        <v>132</v>
      </c>
      <c r="AM769" t="s">
        <v>134</v>
      </c>
      <c r="AS769" t="s">
        <v>135</v>
      </c>
      <c r="BG769">
        <v>110</v>
      </c>
      <c r="BM769" t="s">
        <v>137</v>
      </c>
      <c r="BN769">
        <v>0</v>
      </c>
      <c r="BR769" t="s">
        <v>132</v>
      </c>
      <c r="BV769" t="s">
        <v>138</v>
      </c>
    </row>
    <row r="770" spans="1:77" x14ac:dyDescent="0.2">
      <c r="A770" t="s">
        <v>111</v>
      </c>
      <c r="B770" t="b">
        <v>1</v>
      </c>
      <c r="E770">
        <v>869</v>
      </c>
      <c r="F770" t="str">
        <f>HYPERLINK("https://portal.dnb.de/opac.htm?method=simpleSearch&amp;cqlMode=true&amp;query=idn%3D1066873445", "Portal")</f>
        <v>Portal</v>
      </c>
      <c r="G770" t="s">
        <v>125</v>
      </c>
      <c r="H770" t="s">
        <v>3428</v>
      </c>
      <c r="I770" t="s">
        <v>3429</v>
      </c>
      <c r="J770" t="s">
        <v>3430</v>
      </c>
      <c r="K770" t="s">
        <v>3430</v>
      </c>
      <c r="L770" t="s">
        <v>3430</v>
      </c>
      <c r="N770" t="s">
        <v>3431</v>
      </c>
      <c r="O770" t="s">
        <v>117</v>
      </c>
      <c r="S770" t="s">
        <v>121</v>
      </c>
      <c r="AI770" t="s">
        <v>149</v>
      </c>
      <c r="AL770" t="s">
        <v>132</v>
      </c>
      <c r="AM770" t="s">
        <v>196</v>
      </c>
      <c r="AS770" t="s">
        <v>135</v>
      </c>
      <c r="AX770" t="s">
        <v>132</v>
      </c>
      <c r="BG770">
        <v>110</v>
      </c>
      <c r="BM770" t="s">
        <v>137</v>
      </c>
      <c r="BN770">
        <v>0</v>
      </c>
      <c r="BP770" t="s">
        <v>181</v>
      </c>
    </row>
    <row r="771" spans="1:77" x14ac:dyDescent="0.2">
      <c r="A771" t="s">
        <v>111</v>
      </c>
      <c r="B771" t="b">
        <v>1</v>
      </c>
      <c r="E771">
        <v>934</v>
      </c>
      <c r="F771" t="str">
        <f>HYPERLINK("https://portal.dnb.de/opac.htm?method=simpleSearch&amp;cqlMode=true&amp;query=idn%3D1002498287", "Portal")</f>
        <v>Portal</v>
      </c>
      <c r="G771" t="s">
        <v>112</v>
      </c>
      <c r="H771" t="s">
        <v>3432</v>
      </c>
      <c r="I771" t="s">
        <v>3433</v>
      </c>
      <c r="J771" t="s">
        <v>3434</v>
      </c>
      <c r="K771" t="s">
        <v>3434</v>
      </c>
      <c r="L771" t="s">
        <v>3435</v>
      </c>
      <c r="N771" t="s">
        <v>3436</v>
      </c>
      <c r="O771" t="s">
        <v>117</v>
      </c>
      <c r="S771" t="s">
        <v>121</v>
      </c>
      <c r="AI771" t="s">
        <v>792</v>
      </c>
      <c r="AM771" t="s">
        <v>134</v>
      </c>
      <c r="AS771" t="s">
        <v>135</v>
      </c>
      <c r="BG771">
        <v>110</v>
      </c>
      <c r="BM771" t="s">
        <v>137</v>
      </c>
      <c r="BN771">
        <v>0</v>
      </c>
    </row>
    <row r="772" spans="1:77" x14ac:dyDescent="0.2">
      <c r="A772" t="s">
        <v>111</v>
      </c>
      <c r="B772" t="b">
        <v>1</v>
      </c>
      <c r="E772">
        <v>870</v>
      </c>
      <c r="F772" t="str">
        <f>HYPERLINK("https://portal.dnb.de/opac.htm?method=simpleSearch&amp;cqlMode=true&amp;query=idn%3D1066962324", "Portal")</f>
        <v>Portal</v>
      </c>
      <c r="G772" t="s">
        <v>125</v>
      </c>
      <c r="H772" t="s">
        <v>3437</v>
      </c>
      <c r="I772" t="s">
        <v>3438</v>
      </c>
      <c r="J772" t="s">
        <v>3439</v>
      </c>
      <c r="K772" t="s">
        <v>3439</v>
      </c>
      <c r="L772" t="s">
        <v>3439</v>
      </c>
      <c r="N772" t="s">
        <v>3440</v>
      </c>
      <c r="O772" t="s">
        <v>117</v>
      </c>
      <c r="S772" t="s">
        <v>121</v>
      </c>
      <c r="AI772" t="s">
        <v>133</v>
      </c>
      <c r="AL772" t="s">
        <v>132</v>
      </c>
      <c r="AM772" t="s">
        <v>196</v>
      </c>
      <c r="AS772" t="s">
        <v>135</v>
      </c>
      <c r="BG772">
        <v>110</v>
      </c>
      <c r="BM772" t="s">
        <v>137</v>
      </c>
      <c r="BN772">
        <v>0</v>
      </c>
      <c r="BP772" t="s">
        <v>181</v>
      </c>
    </row>
    <row r="773" spans="1:77" x14ac:dyDescent="0.2">
      <c r="A773" t="s">
        <v>111</v>
      </c>
      <c r="B773" t="b">
        <v>1</v>
      </c>
      <c r="E773">
        <v>871</v>
      </c>
      <c r="F773" t="str">
        <f>HYPERLINK("https://portal.dnb.de/opac.htm?method=simpleSearch&amp;cqlMode=true&amp;query=idn%3D1066963231", "Portal")</f>
        <v>Portal</v>
      </c>
      <c r="G773" t="s">
        <v>125</v>
      </c>
      <c r="H773" t="s">
        <v>3441</v>
      </c>
      <c r="I773" t="s">
        <v>3442</v>
      </c>
      <c r="J773" t="s">
        <v>3443</v>
      </c>
      <c r="K773" t="s">
        <v>3443</v>
      </c>
      <c r="L773" t="s">
        <v>3443</v>
      </c>
      <c r="N773" t="s">
        <v>3444</v>
      </c>
      <c r="O773" t="s">
        <v>117</v>
      </c>
      <c r="S773" t="s">
        <v>146</v>
      </c>
      <c r="AI773" t="s">
        <v>365</v>
      </c>
      <c r="AK773" t="s">
        <v>132</v>
      </c>
      <c r="AL773" t="s">
        <v>132</v>
      </c>
      <c r="AM773" t="s">
        <v>196</v>
      </c>
      <c r="AS773" t="s">
        <v>135</v>
      </c>
      <c r="BG773">
        <v>80</v>
      </c>
      <c r="BM773" t="s">
        <v>137</v>
      </c>
      <c r="BN773">
        <v>0</v>
      </c>
      <c r="BR773" t="s">
        <v>132</v>
      </c>
    </row>
    <row r="774" spans="1:77" x14ac:dyDescent="0.2">
      <c r="A774" t="s">
        <v>111</v>
      </c>
      <c r="B774" t="b">
        <v>1</v>
      </c>
      <c r="E774">
        <v>872</v>
      </c>
      <c r="F774" t="str">
        <f>HYPERLINK("https://portal.dnb.de/opac.htm?method=simpleSearch&amp;cqlMode=true&amp;query=idn%3D1066964157", "Portal")</f>
        <v>Portal</v>
      </c>
      <c r="G774" t="s">
        <v>125</v>
      </c>
      <c r="H774" t="s">
        <v>3445</v>
      </c>
      <c r="I774" t="s">
        <v>3446</v>
      </c>
      <c r="J774" t="s">
        <v>3447</v>
      </c>
      <c r="K774" t="s">
        <v>3447</v>
      </c>
      <c r="L774" t="s">
        <v>3447</v>
      </c>
      <c r="N774" t="s">
        <v>3448</v>
      </c>
      <c r="O774" t="s">
        <v>117</v>
      </c>
      <c r="S774" t="s">
        <v>121</v>
      </c>
      <c r="AI774" t="s">
        <v>325</v>
      </c>
      <c r="AK774" t="s">
        <v>132</v>
      </c>
      <c r="AM774" t="s">
        <v>134</v>
      </c>
      <c r="AS774" t="s">
        <v>135</v>
      </c>
      <c r="BG774">
        <v>110</v>
      </c>
      <c r="BM774" t="s">
        <v>137</v>
      </c>
      <c r="BN774">
        <v>0</v>
      </c>
      <c r="BR774" t="s">
        <v>132</v>
      </c>
    </row>
    <row r="775" spans="1:77" x14ac:dyDescent="0.2">
      <c r="A775" t="s">
        <v>111</v>
      </c>
      <c r="B775" t="b">
        <v>1</v>
      </c>
      <c r="E775">
        <v>873</v>
      </c>
      <c r="F775" t="str">
        <f>HYPERLINK("https://portal.dnb.de/opac.htm?method=simpleSearch&amp;cqlMode=true&amp;query=idn%3D1066962804", "Portal")</f>
        <v>Portal</v>
      </c>
      <c r="G775" t="s">
        <v>125</v>
      </c>
      <c r="H775" t="s">
        <v>3449</v>
      </c>
      <c r="I775" t="s">
        <v>3450</v>
      </c>
      <c r="J775" t="s">
        <v>3451</v>
      </c>
      <c r="K775" t="s">
        <v>3451</v>
      </c>
      <c r="L775" t="s">
        <v>3451</v>
      </c>
      <c r="N775" t="s">
        <v>3452</v>
      </c>
      <c r="O775" t="s">
        <v>117</v>
      </c>
      <c r="S775" t="s">
        <v>146</v>
      </c>
      <c r="AI775" t="s">
        <v>149</v>
      </c>
      <c r="AL775" t="s">
        <v>132</v>
      </c>
      <c r="AM775" t="s">
        <v>196</v>
      </c>
      <c r="AS775" t="s">
        <v>135</v>
      </c>
      <c r="BG775">
        <v>110</v>
      </c>
      <c r="BM775" t="s">
        <v>137</v>
      </c>
      <c r="BN775">
        <v>0</v>
      </c>
      <c r="BP775" t="s">
        <v>181</v>
      </c>
    </row>
    <row r="776" spans="1:77" x14ac:dyDescent="0.2">
      <c r="A776" t="s">
        <v>111</v>
      </c>
      <c r="B776" t="b">
        <v>1</v>
      </c>
      <c r="E776">
        <v>876</v>
      </c>
      <c r="F776" t="str">
        <f>HYPERLINK("https://portal.dnb.de/opac.htm?method=simpleSearch&amp;cqlMode=true&amp;query=idn%3D1132647207", "Portal")</f>
        <v>Portal</v>
      </c>
      <c r="G776" t="s">
        <v>970</v>
      </c>
      <c r="H776" t="s">
        <v>3453</v>
      </c>
      <c r="I776" t="s">
        <v>3454</v>
      </c>
      <c r="J776" t="s">
        <v>3455</v>
      </c>
      <c r="K776" t="s">
        <v>3455</v>
      </c>
      <c r="L776" t="s">
        <v>3455</v>
      </c>
      <c r="N776" t="s">
        <v>2940</v>
      </c>
      <c r="O776" t="s">
        <v>1346</v>
      </c>
      <c r="S776" t="s">
        <v>146</v>
      </c>
      <c r="AI776" t="s">
        <v>133</v>
      </c>
      <c r="AK776" t="s">
        <v>132</v>
      </c>
      <c r="AM776" t="s">
        <v>134</v>
      </c>
      <c r="AS776" t="s">
        <v>135</v>
      </c>
      <c r="BC776" t="s">
        <v>1768</v>
      </c>
      <c r="BD776" t="s">
        <v>132</v>
      </c>
      <c r="BG776">
        <v>45</v>
      </c>
      <c r="BM776" t="s">
        <v>137</v>
      </c>
      <c r="BN776">
        <v>0</v>
      </c>
      <c r="BR776" t="s">
        <v>132</v>
      </c>
    </row>
    <row r="777" spans="1:77" x14ac:dyDescent="0.2">
      <c r="A777" t="s">
        <v>111</v>
      </c>
      <c r="B777" t="b">
        <v>1</v>
      </c>
      <c r="E777">
        <v>874</v>
      </c>
      <c r="F777" t="str">
        <f>HYPERLINK("https://portal.dnb.de/opac.htm?method=simpleSearch&amp;cqlMode=true&amp;query=idn%3D1132647223", "Portal")</f>
        <v>Portal</v>
      </c>
      <c r="G777" t="s">
        <v>970</v>
      </c>
      <c r="H777" t="s">
        <v>3456</v>
      </c>
      <c r="I777" t="s">
        <v>3457</v>
      </c>
      <c r="J777" t="s">
        <v>3455</v>
      </c>
      <c r="K777" t="s">
        <v>3455</v>
      </c>
      <c r="L777" t="s">
        <v>3458</v>
      </c>
      <c r="N777" t="s">
        <v>2940</v>
      </c>
      <c r="O777" t="s">
        <v>3459</v>
      </c>
      <c r="BN777">
        <v>0</v>
      </c>
    </row>
    <row r="778" spans="1:77" x14ac:dyDescent="0.2">
      <c r="A778" t="s">
        <v>111</v>
      </c>
      <c r="B778" t="b">
        <v>1</v>
      </c>
      <c r="E778">
        <v>875</v>
      </c>
      <c r="F778" t="str">
        <f>HYPERLINK("https://portal.dnb.de/opac.htm?method=simpleSearch&amp;cqlMode=true&amp;query=idn%3D1132647215", "Portal")</f>
        <v>Portal</v>
      </c>
      <c r="G778" t="s">
        <v>542</v>
      </c>
      <c r="H778" t="s">
        <v>3460</v>
      </c>
      <c r="I778" t="s">
        <v>3461</v>
      </c>
      <c r="J778" t="s">
        <v>3455</v>
      </c>
      <c r="K778" t="s">
        <v>3455</v>
      </c>
      <c r="L778" t="s">
        <v>3458</v>
      </c>
      <c r="N778" t="s">
        <v>2940</v>
      </c>
      <c r="O778" t="s">
        <v>3462</v>
      </c>
      <c r="BN778">
        <v>0</v>
      </c>
    </row>
    <row r="779" spans="1:77" x14ac:dyDescent="0.2">
      <c r="A779" t="s">
        <v>111</v>
      </c>
      <c r="B779" t="b">
        <v>1</v>
      </c>
      <c r="E779">
        <v>877</v>
      </c>
      <c r="F779" t="str">
        <f>HYPERLINK("https://portal.dnb.de/opac.htm?method=simpleSearch&amp;cqlMode=true&amp;query=idn%3D1066957916", "Portal")</f>
        <v>Portal</v>
      </c>
      <c r="G779" t="s">
        <v>125</v>
      </c>
      <c r="H779" t="s">
        <v>3463</v>
      </c>
      <c r="I779" t="s">
        <v>3464</v>
      </c>
      <c r="J779" t="s">
        <v>3465</v>
      </c>
      <c r="K779" t="s">
        <v>3465</v>
      </c>
      <c r="L779" t="s">
        <v>3465</v>
      </c>
      <c r="N779" t="s">
        <v>3466</v>
      </c>
      <c r="O779" t="s">
        <v>117</v>
      </c>
      <c r="S779" t="s">
        <v>146</v>
      </c>
      <c r="AI779" t="s">
        <v>149</v>
      </c>
      <c r="AL779" t="s">
        <v>132</v>
      </c>
      <c r="AM779" t="s">
        <v>196</v>
      </c>
      <c r="AS779" t="s">
        <v>135</v>
      </c>
      <c r="BG779">
        <v>110</v>
      </c>
      <c r="BM779" t="s">
        <v>137</v>
      </c>
      <c r="BN779">
        <v>0</v>
      </c>
      <c r="BP779" t="s">
        <v>181</v>
      </c>
    </row>
    <row r="780" spans="1:77" x14ac:dyDescent="0.2">
      <c r="A780" t="s">
        <v>111</v>
      </c>
      <c r="B780" t="b">
        <v>1</v>
      </c>
      <c r="E780">
        <v>878</v>
      </c>
      <c r="F780" t="str">
        <f>HYPERLINK("https://portal.dnb.de/opac.htm?method=simpleSearch&amp;cqlMode=true&amp;query=idn%3D1066957908", "Portal")</f>
        <v>Portal</v>
      </c>
      <c r="G780" t="s">
        <v>125</v>
      </c>
      <c r="H780" t="s">
        <v>3467</v>
      </c>
      <c r="I780" t="s">
        <v>3468</v>
      </c>
      <c r="J780" t="s">
        <v>3469</v>
      </c>
      <c r="K780" t="s">
        <v>3469</v>
      </c>
      <c r="L780" t="s">
        <v>3469</v>
      </c>
      <c r="N780" t="s">
        <v>3470</v>
      </c>
      <c r="O780" t="s">
        <v>117</v>
      </c>
      <c r="S780" t="s">
        <v>146</v>
      </c>
      <c r="AI780" t="s">
        <v>365</v>
      </c>
      <c r="AK780" t="s">
        <v>132</v>
      </c>
      <c r="AM780" t="s">
        <v>134</v>
      </c>
      <c r="AS780" t="s">
        <v>135</v>
      </c>
      <c r="BG780">
        <v>110</v>
      </c>
      <c r="BM780" t="s">
        <v>137</v>
      </c>
      <c r="BN780">
        <v>0</v>
      </c>
      <c r="BR780" t="s">
        <v>132</v>
      </c>
    </row>
    <row r="781" spans="1:77" x14ac:dyDescent="0.2">
      <c r="A781" t="s">
        <v>111</v>
      </c>
      <c r="B781" t="b">
        <v>1</v>
      </c>
      <c r="E781">
        <v>914</v>
      </c>
      <c r="F781" t="str">
        <f>HYPERLINK("https://portal.dnb.de/opac.htm?method=simpleSearch&amp;cqlMode=true&amp;query=idn%3D995969922", "Portal")</f>
        <v>Portal</v>
      </c>
      <c r="G781" t="s">
        <v>112</v>
      </c>
      <c r="H781" t="s">
        <v>3471</v>
      </c>
      <c r="I781" t="s">
        <v>3472</v>
      </c>
      <c r="J781" t="s">
        <v>3473</v>
      </c>
      <c r="K781" t="s">
        <v>3473</v>
      </c>
      <c r="L781" t="s">
        <v>3473</v>
      </c>
      <c r="N781" t="s">
        <v>3474</v>
      </c>
      <c r="O781" t="s">
        <v>117</v>
      </c>
      <c r="S781" t="s">
        <v>146</v>
      </c>
      <c r="AI781" t="s">
        <v>133</v>
      </c>
      <c r="AL781" t="s">
        <v>132</v>
      </c>
      <c r="AM781" t="s">
        <v>196</v>
      </c>
      <c r="AS781" t="s">
        <v>135</v>
      </c>
      <c r="BG781">
        <v>110</v>
      </c>
      <c r="BK781" t="s">
        <v>132</v>
      </c>
      <c r="BM781" t="s">
        <v>137</v>
      </c>
      <c r="BN781">
        <v>0</v>
      </c>
      <c r="BP781" t="s">
        <v>181</v>
      </c>
    </row>
    <row r="782" spans="1:77" x14ac:dyDescent="0.2">
      <c r="A782" t="s">
        <v>111</v>
      </c>
      <c r="B782" t="b">
        <v>1</v>
      </c>
      <c r="E782">
        <v>915</v>
      </c>
      <c r="F782" t="str">
        <f>HYPERLINK("https://portal.dnb.de/opac.htm?method=simpleSearch&amp;cqlMode=true&amp;query=idn%3D986509019", "Portal")</f>
        <v>Portal</v>
      </c>
      <c r="G782" t="s">
        <v>415</v>
      </c>
      <c r="H782" t="s">
        <v>3475</v>
      </c>
      <c r="I782" t="s">
        <v>3476</v>
      </c>
      <c r="J782" t="s">
        <v>3477</v>
      </c>
      <c r="K782" t="s">
        <v>3477</v>
      </c>
      <c r="L782" t="s">
        <v>3477</v>
      </c>
      <c r="N782" t="s">
        <v>3478</v>
      </c>
      <c r="O782" t="s">
        <v>117</v>
      </c>
      <c r="S782" t="s">
        <v>146</v>
      </c>
      <c r="AI782" t="s">
        <v>646</v>
      </c>
      <c r="AL782" t="s">
        <v>132</v>
      </c>
      <c r="AM782" t="s">
        <v>150</v>
      </c>
      <c r="AS782" t="s">
        <v>135</v>
      </c>
      <c r="BG782">
        <v>110</v>
      </c>
      <c r="BM782" t="s">
        <v>137</v>
      </c>
      <c r="BN782">
        <v>0</v>
      </c>
      <c r="BS782" t="s">
        <v>132</v>
      </c>
    </row>
    <row r="783" spans="1:77" x14ac:dyDescent="0.2">
      <c r="A783" t="s">
        <v>111</v>
      </c>
      <c r="B783" t="b">
        <v>1</v>
      </c>
      <c r="E783">
        <v>879</v>
      </c>
      <c r="F783" t="str">
        <f>HYPERLINK("https://portal.dnb.de/opac.htm?method=simpleSearch&amp;cqlMode=true&amp;query=idn%3D1066963126", "Portal")</f>
        <v>Portal</v>
      </c>
      <c r="G783" t="s">
        <v>125</v>
      </c>
      <c r="H783" t="s">
        <v>3479</v>
      </c>
      <c r="I783" t="s">
        <v>3480</v>
      </c>
      <c r="J783" t="s">
        <v>3481</v>
      </c>
      <c r="K783" t="s">
        <v>3481</v>
      </c>
      <c r="L783" t="s">
        <v>3481</v>
      </c>
      <c r="N783" t="s">
        <v>3482</v>
      </c>
      <c r="O783" t="s">
        <v>117</v>
      </c>
      <c r="S783" t="s">
        <v>121</v>
      </c>
      <c r="AI783" t="s">
        <v>325</v>
      </c>
      <c r="AK783" t="s">
        <v>132</v>
      </c>
      <c r="AM783" t="s">
        <v>134</v>
      </c>
      <c r="AS783" t="s">
        <v>135</v>
      </c>
      <c r="BG783">
        <v>110</v>
      </c>
      <c r="BM783" t="s">
        <v>137</v>
      </c>
      <c r="BN783">
        <v>0</v>
      </c>
    </row>
    <row r="784" spans="1:77" x14ac:dyDescent="0.2">
      <c r="A784" t="s">
        <v>111</v>
      </c>
      <c r="B784" t="b">
        <v>1</v>
      </c>
      <c r="E784">
        <v>916</v>
      </c>
      <c r="F784" t="str">
        <f>HYPERLINK("https://portal.dnb.de/opac.htm?method=simpleSearch&amp;cqlMode=true&amp;query=idn%3D999891499", "Portal")</f>
        <v>Portal</v>
      </c>
      <c r="G784" t="s">
        <v>112</v>
      </c>
      <c r="H784" t="s">
        <v>3483</v>
      </c>
      <c r="I784" t="s">
        <v>3484</v>
      </c>
      <c r="J784" t="s">
        <v>3485</v>
      </c>
      <c r="K784" t="s">
        <v>3485</v>
      </c>
      <c r="L784" t="s">
        <v>3486</v>
      </c>
      <c r="N784" t="s">
        <v>3487</v>
      </c>
      <c r="O784" t="s">
        <v>117</v>
      </c>
      <c r="S784" t="s">
        <v>146</v>
      </c>
      <c r="AI784" t="s">
        <v>646</v>
      </c>
      <c r="AL784" t="s">
        <v>132</v>
      </c>
      <c r="AM784" t="s">
        <v>150</v>
      </c>
      <c r="AS784" t="s">
        <v>135</v>
      </c>
      <c r="BG784">
        <v>110</v>
      </c>
      <c r="BK784" t="s">
        <v>132</v>
      </c>
      <c r="BM784" t="s">
        <v>137</v>
      </c>
      <c r="BN784">
        <v>0</v>
      </c>
      <c r="BQ784" t="s">
        <v>562</v>
      </c>
      <c r="BU784" t="s">
        <v>132</v>
      </c>
      <c r="BY784" t="s">
        <v>460</v>
      </c>
    </row>
    <row r="785" spans="1:91" x14ac:dyDescent="0.2">
      <c r="A785" t="s">
        <v>111</v>
      </c>
      <c r="B785" t="b">
        <v>1</v>
      </c>
      <c r="E785">
        <v>917</v>
      </c>
      <c r="F785" t="str">
        <f>HYPERLINK("https://portal.dnb.de/opac.htm?method=simpleSearch&amp;cqlMode=true&amp;query=idn%3D999884867", "Portal")</f>
        <v>Portal</v>
      </c>
      <c r="G785" t="s">
        <v>112</v>
      </c>
      <c r="H785" t="s">
        <v>3488</v>
      </c>
      <c r="I785" t="s">
        <v>3489</v>
      </c>
      <c r="J785" t="s">
        <v>3490</v>
      </c>
      <c r="K785" t="s">
        <v>3490</v>
      </c>
      <c r="L785" t="s">
        <v>3491</v>
      </c>
      <c r="N785" t="s">
        <v>3492</v>
      </c>
      <c r="O785" t="s">
        <v>117</v>
      </c>
      <c r="S785" t="s">
        <v>121</v>
      </c>
      <c r="AI785" t="s">
        <v>149</v>
      </c>
      <c r="AL785" t="s">
        <v>132</v>
      </c>
      <c r="AM785" t="s">
        <v>196</v>
      </c>
      <c r="AS785" t="s">
        <v>135</v>
      </c>
      <c r="BG785">
        <v>110</v>
      </c>
      <c r="BM785" t="s">
        <v>137</v>
      </c>
      <c r="BN785">
        <v>0</v>
      </c>
      <c r="BP785" t="s">
        <v>181</v>
      </c>
    </row>
    <row r="786" spans="1:91" x14ac:dyDescent="0.2">
      <c r="A786" t="s">
        <v>111</v>
      </c>
      <c r="B786" t="b">
        <v>1</v>
      </c>
      <c r="E786">
        <v>880</v>
      </c>
      <c r="F786" t="str">
        <f>HYPERLINK("https://portal.dnb.de/opac.htm?method=simpleSearch&amp;cqlMode=true&amp;query=idn%3D1066940134", "Portal")</f>
        <v>Portal</v>
      </c>
      <c r="G786" t="s">
        <v>125</v>
      </c>
      <c r="H786" t="s">
        <v>3493</v>
      </c>
      <c r="I786" t="s">
        <v>3494</v>
      </c>
      <c r="J786" t="s">
        <v>3495</v>
      </c>
      <c r="K786" t="s">
        <v>3495</v>
      </c>
      <c r="L786" t="s">
        <v>3495</v>
      </c>
      <c r="N786" t="s">
        <v>3496</v>
      </c>
      <c r="O786" t="s">
        <v>117</v>
      </c>
      <c r="S786" t="s">
        <v>146</v>
      </c>
      <c r="AI786" t="s">
        <v>646</v>
      </c>
      <c r="AL786" t="s">
        <v>132</v>
      </c>
      <c r="AM786" t="s">
        <v>134</v>
      </c>
      <c r="AS786" t="s">
        <v>135</v>
      </c>
      <c r="BG786">
        <v>110</v>
      </c>
      <c r="BM786" t="s">
        <v>137</v>
      </c>
      <c r="BN786">
        <v>0</v>
      </c>
      <c r="BP786" t="s">
        <v>181</v>
      </c>
    </row>
    <row r="787" spans="1:91" x14ac:dyDescent="0.2">
      <c r="A787" t="s">
        <v>111</v>
      </c>
      <c r="B787" t="b">
        <v>1</v>
      </c>
      <c r="E787">
        <v>881</v>
      </c>
      <c r="F787" t="str">
        <f>HYPERLINK("https://portal.dnb.de/opac.htm?method=simpleSearch&amp;cqlMode=true&amp;query=idn%3D995967695", "Portal")</f>
        <v>Portal</v>
      </c>
      <c r="G787" t="s">
        <v>112</v>
      </c>
      <c r="H787" t="s">
        <v>3497</v>
      </c>
      <c r="I787" t="s">
        <v>3498</v>
      </c>
      <c r="J787" t="s">
        <v>3499</v>
      </c>
      <c r="K787" t="s">
        <v>3499</v>
      </c>
      <c r="L787" t="s">
        <v>3499</v>
      </c>
      <c r="N787" t="s">
        <v>3500</v>
      </c>
      <c r="O787" t="s">
        <v>117</v>
      </c>
      <c r="S787" t="s">
        <v>121</v>
      </c>
      <c r="AI787" t="s">
        <v>325</v>
      </c>
      <c r="AM787" t="s">
        <v>134</v>
      </c>
      <c r="AS787" t="s">
        <v>135</v>
      </c>
      <c r="BG787">
        <v>110</v>
      </c>
      <c r="BM787" t="s">
        <v>137</v>
      </c>
      <c r="BN787">
        <v>0</v>
      </c>
    </row>
    <row r="788" spans="1:91" x14ac:dyDescent="0.2">
      <c r="A788" t="s">
        <v>111</v>
      </c>
      <c r="B788" t="b">
        <v>1</v>
      </c>
      <c r="E788">
        <v>918</v>
      </c>
      <c r="F788" t="str">
        <f>HYPERLINK("https://portal.dnb.de/opac.htm?method=simpleSearch&amp;cqlMode=true&amp;query=idn%3D995967695", "Portal")</f>
        <v>Portal</v>
      </c>
      <c r="G788" t="s">
        <v>112</v>
      </c>
      <c r="H788" t="s">
        <v>3501</v>
      </c>
      <c r="I788" t="s">
        <v>3498</v>
      </c>
      <c r="J788" t="s">
        <v>3502</v>
      </c>
      <c r="K788" t="s">
        <v>3502</v>
      </c>
      <c r="L788" t="s">
        <v>3503</v>
      </c>
      <c r="N788" t="s">
        <v>3500</v>
      </c>
      <c r="O788" t="s">
        <v>117</v>
      </c>
      <c r="S788" t="s">
        <v>121</v>
      </c>
      <c r="AI788" t="s">
        <v>149</v>
      </c>
      <c r="AL788" t="s">
        <v>132</v>
      </c>
      <c r="AM788" t="s">
        <v>196</v>
      </c>
      <c r="AS788" t="s">
        <v>135</v>
      </c>
      <c r="BG788">
        <v>110</v>
      </c>
      <c r="BM788" t="s">
        <v>137</v>
      </c>
      <c r="BN788">
        <v>0</v>
      </c>
      <c r="BP788" t="s">
        <v>181</v>
      </c>
    </row>
    <row r="789" spans="1:91" x14ac:dyDescent="0.2">
      <c r="A789" t="s">
        <v>111</v>
      </c>
      <c r="B789" t="b">
        <v>0</v>
      </c>
      <c r="E789">
        <v>883</v>
      </c>
      <c r="F789" t="str">
        <f>HYPERLINK("https://portal.dnb.de/opac.htm?method=simpleSearch&amp;cqlMode=true&amp;query=idn%3D1066937214", "Portal")</f>
        <v>Portal</v>
      </c>
      <c r="H789" t="s">
        <v>3504</v>
      </c>
      <c r="I789" t="s">
        <v>3505</v>
      </c>
      <c r="L789" t="s">
        <v>3506</v>
      </c>
      <c r="S789" t="s">
        <v>146</v>
      </c>
      <c r="AI789" t="s">
        <v>149</v>
      </c>
      <c r="AK789" t="s">
        <v>132</v>
      </c>
      <c r="AM789" t="s">
        <v>196</v>
      </c>
      <c r="AS789" t="s">
        <v>135</v>
      </c>
      <c r="BG789">
        <v>110</v>
      </c>
      <c r="BM789" t="s">
        <v>137</v>
      </c>
      <c r="BN789">
        <v>0</v>
      </c>
      <c r="BR789" t="s">
        <v>132</v>
      </c>
    </row>
    <row r="790" spans="1:91" x14ac:dyDescent="0.2">
      <c r="A790" t="s">
        <v>111</v>
      </c>
      <c r="B790" t="b">
        <v>1</v>
      </c>
      <c r="E790">
        <v>919</v>
      </c>
      <c r="F790" t="str">
        <f>HYPERLINK("https://portal.dnb.de/opac.htm?method=simpleSearch&amp;cqlMode=true&amp;query=idn%3D99810082X", "Portal")</f>
        <v>Portal</v>
      </c>
      <c r="G790" t="s">
        <v>112</v>
      </c>
      <c r="H790" t="s">
        <v>3507</v>
      </c>
      <c r="I790" t="s">
        <v>3508</v>
      </c>
      <c r="J790" t="s">
        <v>3509</v>
      </c>
      <c r="K790" t="s">
        <v>3509</v>
      </c>
      <c r="L790" t="s">
        <v>3509</v>
      </c>
      <c r="N790" t="s">
        <v>3314</v>
      </c>
      <c r="O790" t="s">
        <v>117</v>
      </c>
      <c r="S790" t="s">
        <v>121</v>
      </c>
      <c r="AI790" t="s">
        <v>792</v>
      </c>
      <c r="AM790" t="s">
        <v>134</v>
      </c>
      <c r="AS790" t="s">
        <v>135</v>
      </c>
      <c r="BG790">
        <v>110</v>
      </c>
      <c r="BM790" t="s">
        <v>137</v>
      </c>
      <c r="BN790">
        <v>0</v>
      </c>
    </row>
    <row r="791" spans="1:91" x14ac:dyDescent="0.2">
      <c r="A791" t="s">
        <v>111</v>
      </c>
      <c r="B791" t="b">
        <v>1</v>
      </c>
      <c r="E791">
        <v>920</v>
      </c>
      <c r="F791" t="str">
        <f>HYPERLINK("https://portal.dnb.de/opac.htm?method=simpleSearch&amp;cqlMode=true&amp;query=idn%3D994401965", "Portal")</f>
        <v>Portal</v>
      </c>
      <c r="G791" t="s">
        <v>112</v>
      </c>
      <c r="H791" t="s">
        <v>3510</v>
      </c>
      <c r="I791" t="s">
        <v>3511</v>
      </c>
      <c r="J791" t="s">
        <v>3512</v>
      </c>
      <c r="K791" t="s">
        <v>3512</v>
      </c>
      <c r="L791" t="s">
        <v>3512</v>
      </c>
      <c r="N791" t="s">
        <v>3513</v>
      </c>
      <c r="O791" t="s">
        <v>117</v>
      </c>
      <c r="S791" t="s">
        <v>121</v>
      </c>
      <c r="AI791" t="s">
        <v>149</v>
      </c>
      <c r="AL791" t="s">
        <v>132</v>
      </c>
      <c r="AM791" t="s">
        <v>196</v>
      </c>
      <c r="AS791" t="s">
        <v>135</v>
      </c>
      <c r="AX791" t="s">
        <v>132</v>
      </c>
      <c r="BG791">
        <v>110</v>
      </c>
      <c r="BM791" t="s">
        <v>137</v>
      </c>
      <c r="BN791">
        <v>0</v>
      </c>
      <c r="BP791" t="s">
        <v>181</v>
      </c>
    </row>
    <row r="792" spans="1:91" x14ac:dyDescent="0.2">
      <c r="A792" t="s">
        <v>111</v>
      </c>
      <c r="B792" t="b">
        <v>1</v>
      </c>
      <c r="E792">
        <v>884</v>
      </c>
      <c r="F792" t="str">
        <f>HYPERLINK("https://portal.dnb.de/opac.htm?method=simpleSearch&amp;cqlMode=true&amp;query=idn%3D1066799520", "Portal")</f>
        <v>Portal</v>
      </c>
      <c r="G792" t="s">
        <v>125</v>
      </c>
      <c r="H792" t="s">
        <v>3514</v>
      </c>
      <c r="I792" t="s">
        <v>3515</v>
      </c>
      <c r="J792" t="s">
        <v>3516</v>
      </c>
      <c r="K792" t="s">
        <v>3516</v>
      </c>
      <c r="L792" t="s">
        <v>3516</v>
      </c>
      <c r="N792" t="s">
        <v>3517</v>
      </c>
      <c r="O792" t="s">
        <v>117</v>
      </c>
      <c r="S792" t="s">
        <v>121</v>
      </c>
      <c r="AI792" t="s">
        <v>325</v>
      </c>
      <c r="AM792" t="s">
        <v>134</v>
      </c>
      <c r="AS792" t="s">
        <v>135</v>
      </c>
      <c r="AT792" t="s">
        <v>132</v>
      </c>
      <c r="BG792">
        <v>110</v>
      </c>
      <c r="BM792" t="s">
        <v>137</v>
      </c>
      <c r="BN792">
        <v>0</v>
      </c>
      <c r="BR792" t="s">
        <v>132</v>
      </c>
    </row>
    <row r="793" spans="1:91" x14ac:dyDescent="0.2">
      <c r="A793" t="s">
        <v>111</v>
      </c>
      <c r="B793" t="b">
        <v>1</v>
      </c>
      <c r="C793" t="s">
        <v>132</v>
      </c>
      <c r="E793">
        <v>885</v>
      </c>
      <c r="F793" t="str">
        <f>HYPERLINK("https://portal.dnb.de/opac.htm?method=simpleSearch&amp;cqlMode=true&amp;query=idn%3D1066962650", "Portal")</f>
        <v>Portal</v>
      </c>
      <c r="G793" t="s">
        <v>125</v>
      </c>
      <c r="H793" t="s">
        <v>3518</v>
      </c>
      <c r="I793" t="s">
        <v>3519</v>
      </c>
      <c r="J793" t="s">
        <v>3520</v>
      </c>
      <c r="K793" t="s">
        <v>3520</v>
      </c>
      <c r="L793" t="s">
        <v>3520</v>
      </c>
      <c r="N793" t="s">
        <v>3521</v>
      </c>
      <c r="O793" t="s">
        <v>117</v>
      </c>
      <c r="S793" t="s">
        <v>121</v>
      </c>
      <c r="AI793" t="s">
        <v>325</v>
      </c>
      <c r="AM793" t="s">
        <v>134</v>
      </c>
      <c r="AS793" t="s">
        <v>135</v>
      </c>
      <c r="BG793">
        <v>110</v>
      </c>
      <c r="BM793" t="s">
        <v>180</v>
      </c>
      <c r="BN793">
        <v>1</v>
      </c>
      <c r="CB793" t="s">
        <v>132</v>
      </c>
      <c r="CM793">
        <v>1</v>
      </c>
    </row>
    <row r="794" spans="1:91" x14ac:dyDescent="0.2">
      <c r="A794" t="s">
        <v>111</v>
      </c>
      <c r="B794" t="b">
        <v>1</v>
      </c>
      <c r="E794">
        <v>886</v>
      </c>
      <c r="F794" t="str">
        <f>HYPERLINK("https://portal.dnb.de/opac.htm?method=simpleSearch&amp;cqlMode=true&amp;query=idn%3D1066941718", "Portal")</f>
        <v>Portal</v>
      </c>
      <c r="G794" t="s">
        <v>125</v>
      </c>
      <c r="H794" t="s">
        <v>3522</v>
      </c>
      <c r="I794" t="s">
        <v>3523</v>
      </c>
      <c r="J794" t="s">
        <v>3524</v>
      </c>
      <c r="K794" t="s">
        <v>3524</v>
      </c>
      <c r="L794" t="s">
        <v>3524</v>
      </c>
      <c r="N794" t="s">
        <v>3525</v>
      </c>
      <c r="O794" t="s">
        <v>117</v>
      </c>
      <c r="S794" t="s">
        <v>121</v>
      </c>
      <c r="AI794" t="s">
        <v>149</v>
      </c>
      <c r="AL794" t="s">
        <v>132</v>
      </c>
      <c r="AM794" t="s">
        <v>196</v>
      </c>
      <c r="AS794" t="s">
        <v>135</v>
      </c>
      <c r="AX794" t="s">
        <v>132</v>
      </c>
      <c r="BG794">
        <v>80</v>
      </c>
      <c r="BM794" t="s">
        <v>137</v>
      </c>
      <c r="BN794">
        <v>0</v>
      </c>
      <c r="BQ794" t="s">
        <v>132</v>
      </c>
    </row>
    <row r="795" spans="1:91" x14ac:dyDescent="0.2">
      <c r="A795" t="s">
        <v>111</v>
      </c>
      <c r="B795" t="b">
        <v>1</v>
      </c>
      <c r="E795">
        <v>921</v>
      </c>
      <c r="F795" t="str">
        <f>HYPERLINK("https://portal.dnb.de/opac.htm?method=simpleSearch&amp;cqlMode=true&amp;query=idn%3D1002318963", "Portal")</f>
        <v>Portal</v>
      </c>
      <c r="G795" t="s">
        <v>112</v>
      </c>
      <c r="H795" t="s">
        <v>3526</v>
      </c>
      <c r="I795" t="s">
        <v>3527</v>
      </c>
      <c r="J795" t="s">
        <v>3528</v>
      </c>
      <c r="K795" t="s">
        <v>3528</v>
      </c>
      <c r="L795" t="s">
        <v>3529</v>
      </c>
      <c r="N795" t="s">
        <v>3530</v>
      </c>
      <c r="O795" t="s">
        <v>117</v>
      </c>
      <c r="S795" t="s">
        <v>121</v>
      </c>
      <c r="AI795" t="s">
        <v>135</v>
      </c>
      <c r="AM795" t="s">
        <v>134</v>
      </c>
      <c r="AS795" t="s">
        <v>135</v>
      </c>
      <c r="BG795">
        <v>110</v>
      </c>
      <c r="BM795" t="s">
        <v>137</v>
      </c>
      <c r="BN795">
        <v>0</v>
      </c>
    </row>
    <row r="796" spans="1:91" x14ac:dyDescent="0.2">
      <c r="A796" t="s">
        <v>111</v>
      </c>
      <c r="B796" t="b">
        <v>1</v>
      </c>
      <c r="E796">
        <v>922</v>
      </c>
      <c r="F796" t="str">
        <f>HYPERLINK("https://portal.dnb.de/opac.htm?method=simpleSearch&amp;cqlMode=true&amp;query=idn%3D1002318963", "Portal")</f>
        <v>Portal</v>
      </c>
      <c r="G796" t="s">
        <v>112</v>
      </c>
      <c r="H796" t="s">
        <v>3531</v>
      </c>
      <c r="I796" t="s">
        <v>3527</v>
      </c>
      <c r="J796" t="s">
        <v>3529</v>
      </c>
      <c r="K796" t="s">
        <v>3529</v>
      </c>
      <c r="L796" t="s">
        <v>3529</v>
      </c>
      <c r="N796" t="s">
        <v>3530</v>
      </c>
      <c r="O796" t="s">
        <v>117</v>
      </c>
      <c r="BN796">
        <v>0</v>
      </c>
    </row>
    <row r="797" spans="1:91" x14ac:dyDescent="0.2">
      <c r="A797" t="s">
        <v>111</v>
      </c>
      <c r="B797" t="b">
        <v>0</v>
      </c>
      <c r="F797" t="str">
        <f>HYPERLINK("https://portal.dnb.de/opac.htm?method=simpleSearch&amp;cqlMode=true&amp;query=idn%3D", "Portal")</f>
        <v>Portal</v>
      </c>
      <c r="L797" t="s">
        <v>3528</v>
      </c>
      <c r="S797" t="s">
        <v>121</v>
      </c>
      <c r="AI797" t="s">
        <v>792</v>
      </c>
      <c r="AM797" t="s">
        <v>134</v>
      </c>
      <c r="AS797" t="s">
        <v>135</v>
      </c>
      <c r="BG797">
        <v>110</v>
      </c>
      <c r="BM797" t="s">
        <v>137</v>
      </c>
      <c r="BN797">
        <v>0</v>
      </c>
    </row>
    <row r="798" spans="1:91" x14ac:dyDescent="0.2">
      <c r="A798" t="s">
        <v>111</v>
      </c>
      <c r="B798" t="b">
        <v>1</v>
      </c>
      <c r="E798">
        <v>887</v>
      </c>
      <c r="F798" t="str">
        <f>HYPERLINK("https://portal.dnb.de/opac.htm?method=simpleSearch&amp;cqlMode=true&amp;query=idn%3D106696212X", "Portal")</f>
        <v>Portal</v>
      </c>
      <c r="G798" t="s">
        <v>125</v>
      </c>
      <c r="H798" t="s">
        <v>3532</v>
      </c>
      <c r="I798" t="s">
        <v>3533</v>
      </c>
      <c r="J798" t="s">
        <v>3534</v>
      </c>
      <c r="K798" t="s">
        <v>3534</v>
      </c>
      <c r="L798" t="s">
        <v>3534</v>
      </c>
      <c r="N798" t="s">
        <v>3535</v>
      </c>
      <c r="O798" t="s">
        <v>117</v>
      </c>
      <c r="S798" t="s">
        <v>121</v>
      </c>
      <c r="AI798" t="s">
        <v>646</v>
      </c>
      <c r="AM798" t="s">
        <v>150</v>
      </c>
      <c r="AS798" t="s">
        <v>135</v>
      </c>
      <c r="BG798">
        <v>180</v>
      </c>
      <c r="BM798" t="s">
        <v>137</v>
      </c>
      <c r="BN798">
        <v>0</v>
      </c>
    </row>
    <row r="799" spans="1:91" x14ac:dyDescent="0.2">
      <c r="A799" t="s">
        <v>111</v>
      </c>
      <c r="B799" t="b">
        <v>1</v>
      </c>
      <c r="E799">
        <v>888</v>
      </c>
      <c r="F799" t="str">
        <f>HYPERLINK("https://portal.dnb.de/opac.htm?method=simpleSearch&amp;cqlMode=true&amp;query=idn%3D1066874301", "Portal")</f>
        <v>Portal</v>
      </c>
      <c r="G799" t="s">
        <v>125</v>
      </c>
      <c r="H799" t="s">
        <v>3536</v>
      </c>
      <c r="I799" t="s">
        <v>3537</v>
      </c>
      <c r="J799" t="s">
        <v>3538</v>
      </c>
      <c r="K799" t="s">
        <v>3538</v>
      </c>
      <c r="L799" t="s">
        <v>3538</v>
      </c>
      <c r="N799" t="s">
        <v>3539</v>
      </c>
      <c r="O799" t="s">
        <v>117</v>
      </c>
      <c r="S799" t="s">
        <v>146</v>
      </c>
      <c r="AI799" t="s">
        <v>365</v>
      </c>
      <c r="AK799" t="s">
        <v>132</v>
      </c>
      <c r="AM799" t="s">
        <v>134</v>
      </c>
      <c r="AO799" t="s">
        <v>132</v>
      </c>
      <c r="AS799" t="s">
        <v>135</v>
      </c>
      <c r="BG799">
        <v>110</v>
      </c>
      <c r="BM799" t="s">
        <v>137</v>
      </c>
      <c r="BN799">
        <v>0</v>
      </c>
      <c r="BY799" t="s">
        <v>198</v>
      </c>
    </row>
    <row r="800" spans="1:91" x14ac:dyDescent="0.2">
      <c r="A800" t="s">
        <v>111</v>
      </c>
      <c r="B800" t="b">
        <v>1</v>
      </c>
      <c r="E800">
        <v>889</v>
      </c>
      <c r="F800" t="str">
        <f>HYPERLINK("https://portal.dnb.de/opac.htm?method=simpleSearch&amp;cqlMode=true&amp;query=idn%3D1066859175", "Portal")</f>
        <v>Portal</v>
      </c>
      <c r="G800" t="s">
        <v>125</v>
      </c>
      <c r="H800" t="s">
        <v>3540</v>
      </c>
      <c r="I800" t="s">
        <v>3541</v>
      </c>
      <c r="J800" t="s">
        <v>3542</v>
      </c>
      <c r="K800" t="s">
        <v>3542</v>
      </c>
      <c r="L800" t="s">
        <v>3542</v>
      </c>
      <c r="N800" t="s">
        <v>3543</v>
      </c>
      <c r="O800" t="s">
        <v>117</v>
      </c>
      <c r="S800" t="s">
        <v>146</v>
      </c>
      <c r="AI800" t="s">
        <v>646</v>
      </c>
      <c r="AL800" t="s">
        <v>132</v>
      </c>
      <c r="AM800" t="s">
        <v>134</v>
      </c>
      <c r="AS800" t="s">
        <v>135</v>
      </c>
      <c r="BG800">
        <v>110</v>
      </c>
      <c r="BM800" t="s">
        <v>137</v>
      </c>
      <c r="BN800">
        <v>0</v>
      </c>
      <c r="BP800" t="s">
        <v>181</v>
      </c>
    </row>
    <row r="801" spans="1:110" x14ac:dyDescent="0.2">
      <c r="A801" t="s">
        <v>111</v>
      </c>
      <c r="B801" t="b">
        <v>1</v>
      </c>
      <c r="E801">
        <v>890</v>
      </c>
      <c r="F801" t="str">
        <f>HYPERLINK("https://portal.dnb.de/opac.htm?method=simpleSearch&amp;cqlMode=true&amp;query=idn%3D993860303", "Portal")</f>
        <v>Portal</v>
      </c>
      <c r="G801" t="s">
        <v>112</v>
      </c>
      <c r="H801" t="s">
        <v>3544</v>
      </c>
      <c r="I801" t="s">
        <v>3545</v>
      </c>
      <c r="J801" t="s">
        <v>3546</v>
      </c>
      <c r="K801" t="s">
        <v>3546</v>
      </c>
      <c r="L801" t="s">
        <v>3546</v>
      </c>
      <c r="N801" t="s">
        <v>3547</v>
      </c>
      <c r="O801" t="s">
        <v>117</v>
      </c>
      <c r="S801" t="s">
        <v>146</v>
      </c>
      <c r="AI801" t="s">
        <v>149</v>
      </c>
      <c r="AM801" t="s">
        <v>196</v>
      </c>
      <c r="AS801" t="s">
        <v>135</v>
      </c>
      <c r="BG801">
        <v>110</v>
      </c>
      <c r="BM801" t="s">
        <v>137</v>
      </c>
      <c r="BN801">
        <v>0</v>
      </c>
      <c r="BR801" t="s">
        <v>132</v>
      </c>
    </row>
    <row r="802" spans="1:110" x14ac:dyDescent="0.2">
      <c r="A802" t="s">
        <v>111</v>
      </c>
      <c r="B802" t="b">
        <v>1</v>
      </c>
      <c r="E802">
        <v>891</v>
      </c>
      <c r="F802" t="str">
        <f>HYPERLINK("https://portal.dnb.de/opac.htm?method=simpleSearch&amp;cqlMode=true&amp;query=idn%3D1066941114", "Portal")</f>
        <v>Portal</v>
      </c>
      <c r="G802" t="s">
        <v>125</v>
      </c>
      <c r="H802" t="s">
        <v>3548</v>
      </c>
      <c r="I802" t="s">
        <v>3549</v>
      </c>
      <c r="J802" t="s">
        <v>3550</v>
      </c>
      <c r="K802" t="s">
        <v>3550</v>
      </c>
      <c r="L802" t="s">
        <v>3550</v>
      </c>
      <c r="N802" t="s">
        <v>3551</v>
      </c>
      <c r="O802" t="s">
        <v>117</v>
      </c>
      <c r="S802" t="s">
        <v>121</v>
      </c>
      <c r="AI802" t="s">
        <v>325</v>
      </c>
      <c r="AM802" t="s">
        <v>134</v>
      </c>
      <c r="AS802" t="s">
        <v>135</v>
      </c>
      <c r="BG802">
        <v>110</v>
      </c>
      <c r="BM802" t="s">
        <v>137</v>
      </c>
      <c r="BN802">
        <v>0</v>
      </c>
      <c r="BR802" t="s">
        <v>132</v>
      </c>
    </row>
    <row r="803" spans="1:110" x14ac:dyDescent="0.2">
      <c r="A803" t="s">
        <v>111</v>
      </c>
      <c r="B803" t="b">
        <v>1</v>
      </c>
      <c r="E803">
        <v>923</v>
      </c>
      <c r="F803" t="str">
        <f>HYPERLINK("https://portal.dnb.de/opac.htm?method=simpleSearch&amp;cqlMode=true&amp;query=idn%3D998425532", "Portal")</f>
        <v>Portal</v>
      </c>
      <c r="G803" t="s">
        <v>112</v>
      </c>
      <c r="H803" t="s">
        <v>3552</v>
      </c>
      <c r="I803" t="s">
        <v>3553</v>
      </c>
      <c r="J803" t="s">
        <v>3554</v>
      </c>
      <c r="K803" t="s">
        <v>3554</v>
      </c>
      <c r="L803" t="s">
        <v>3555</v>
      </c>
      <c r="N803" t="s">
        <v>3556</v>
      </c>
      <c r="O803" t="s">
        <v>117</v>
      </c>
      <c r="S803" t="s">
        <v>146</v>
      </c>
      <c r="AI803" t="s">
        <v>133</v>
      </c>
      <c r="AL803" t="s">
        <v>132</v>
      </c>
      <c r="AM803" t="s">
        <v>196</v>
      </c>
      <c r="AS803" t="s">
        <v>135</v>
      </c>
      <c r="BG803">
        <v>110</v>
      </c>
      <c r="BM803" t="s">
        <v>137</v>
      </c>
      <c r="BN803">
        <v>0</v>
      </c>
      <c r="BP803" t="s">
        <v>181</v>
      </c>
    </row>
    <row r="804" spans="1:110" x14ac:dyDescent="0.2">
      <c r="A804" t="s">
        <v>111</v>
      </c>
      <c r="B804" t="b">
        <v>1</v>
      </c>
      <c r="C804" t="s">
        <v>132</v>
      </c>
      <c r="E804">
        <v>892</v>
      </c>
      <c r="F804" t="str">
        <f>HYPERLINK("https://portal.dnb.de/opac.htm?method=simpleSearch&amp;cqlMode=true&amp;query=idn%3D1066961867", "Portal")</f>
        <v>Portal</v>
      </c>
      <c r="G804" t="s">
        <v>125</v>
      </c>
      <c r="H804" t="s">
        <v>3557</v>
      </c>
      <c r="I804" t="s">
        <v>3558</v>
      </c>
      <c r="J804" t="s">
        <v>3559</v>
      </c>
      <c r="K804" t="s">
        <v>3559</v>
      </c>
      <c r="L804" t="s">
        <v>3559</v>
      </c>
      <c r="N804" t="s">
        <v>3560</v>
      </c>
      <c r="O804" t="s">
        <v>117</v>
      </c>
      <c r="S804" t="s">
        <v>121</v>
      </c>
      <c r="AI804" t="s">
        <v>325</v>
      </c>
      <c r="AM804" t="s">
        <v>134</v>
      </c>
      <c r="AS804" t="s">
        <v>135</v>
      </c>
      <c r="BG804">
        <v>110</v>
      </c>
      <c r="BM804" t="s">
        <v>180</v>
      </c>
      <c r="BN804">
        <v>1</v>
      </c>
      <c r="CB804" t="s">
        <v>132</v>
      </c>
      <c r="CD804" t="s">
        <v>150</v>
      </c>
      <c r="CM804">
        <v>1</v>
      </c>
    </row>
    <row r="805" spans="1:110" x14ac:dyDescent="0.2">
      <c r="A805" t="s">
        <v>111</v>
      </c>
      <c r="B805" t="b">
        <v>1</v>
      </c>
      <c r="E805">
        <v>893</v>
      </c>
      <c r="F805" t="str">
        <f>HYPERLINK("https://portal.dnb.de/opac.htm?method=simpleSearch&amp;cqlMode=true&amp;query=idn%3D1079300384", "Portal")</f>
        <v>Portal</v>
      </c>
      <c r="G805" t="s">
        <v>125</v>
      </c>
      <c r="H805" t="s">
        <v>3561</v>
      </c>
      <c r="I805" t="s">
        <v>3562</v>
      </c>
      <c r="J805" t="s">
        <v>3563</v>
      </c>
      <c r="K805" t="s">
        <v>3563</v>
      </c>
      <c r="L805" t="s">
        <v>3563</v>
      </c>
      <c r="N805" t="s">
        <v>3564</v>
      </c>
      <c r="O805" t="s">
        <v>117</v>
      </c>
      <c r="S805" t="s">
        <v>121</v>
      </c>
      <c r="AI805" t="s">
        <v>325</v>
      </c>
      <c r="AM805" t="s">
        <v>134</v>
      </c>
      <c r="AS805" t="s">
        <v>135</v>
      </c>
      <c r="BG805">
        <v>110</v>
      </c>
      <c r="BM805" t="s">
        <v>137</v>
      </c>
      <c r="BN805">
        <v>0</v>
      </c>
    </row>
    <row r="806" spans="1:110" x14ac:dyDescent="0.2">
      <c r="A806" t="s">
        <v>111</v>
      </c>
      <c r="B806" t="b">
        <v>1</v>
      </c>
      <c r="E806">
        <v>924</v>
      </c>
      <c r="F806" t="str">
        <f>HYPERLINK("https://portal.dnb.de/opac.htm?method=simpleSearch&amp;cqlMode=true&amp;query=idn%3D1066872740", "Portal")</f>
        <v>Portal</v>
      </c>
      <c r="G806" t="s">
        <v>125</v>
      </c>
      <c r="H806" t="s">
        <v>3565</v>
      </c>
      <c r="I806" t="s">
        <v>3566</v>
      </c>
      <c r="J806" t="s">
        <v>3567</v>
      </c>
      <c r="K806" t="s">
        <v>3567</v>
      </c>
      <c r="L806" t="s">
        <v>3567</v>
      </c>
      <c r="N806" t="s">
        <v>3568</v>
      </c>
      <c r="O806" t="s">
        <v>117</v>
      </c>
      <c r="S806" t="s">
        <v>121</v>
      </c>
      <c r="AI806" t="s">
        <v>135</v>
      </c>
      <c r="AM806" t="s">
        <v>134</v>
      </c>
      <c r="AS806" t="s">
        <v>135</v>
      </c>
      <c r="BG806">
        <v>110</v>
      </c>
      <c r="BM806" t="s">
        <v>137</v>
      </c>
      <c r="BN806">
        <v>0</v>
      </c>
    </row>
    <row r="807" spans="1:110" x14ac:dyDescent="0.2">
      <c r="A807" t="s">
        <v>111</v>
      </c>
      <c r="B807" t="b">
        <v>1</v>
      </c>
      <c r="E807">
        <v>925</v>
      </c>
      <c r="F807" t="str">
        <f>HYPERLINK("https://portal.dnb.de/opac.htm?method=simpleSearch&amp;cqlMode=true&amp;query=idn%3D1000635376", "Portal")</f>
        <v>Portal</v>
      </c>
      <c r="G807" t="s">
        <v>112</v>
      </c>
      <c r="H807" t="s">
        <v>3569</v>
      </c>
      <c r="I807" t="s">
        <v>3570</v>
      </c>
      <c r="J807" t="s">
        <v>3571</v>
      </c>
      <c r="K807" t="s">
        <v>3571</v>
      </c>
      <c r="L807" t="s">
        <v>3572</v>
      </c>
      <c r="N807" t="s">
        <v>3573</v>
      </c>
      <c r="O807" t="s">
        <v>117</v>
      </c>
      <c r="S807" t="s">
        <v>121</v>
      </c>
      <c r="AI807" t="s">
        <v>792</v>
      </c>
      <c r="AM807" t="s">
        <v>134</v>
      </c>
      <c r="AS807" t="s">
        <v>135</v>
      </c>
      <c r="BG807">
        <v>110</v>
      </c>
      <c r="BM807" t="s">
        <v>137</v>
      </c>
      <c r="BN807">
        <v>0</v>
      </c>
    </row>
    <row r="808" spans="1:110" x14ac:dyDescent="0.2">
      <c r="A808" t="s">
        <v>111</v>
      </c>
      <c r="B808" t="b">
        <v>1</v>
      </c>
      <c r="F808" t="str">
        <f>HYPERLINK("https://portal.dnb.de/opac.htm?method=simpleSearch&amp;cqlMode=true&amp;query=idn%3D1263055281", "Portal")</f>
        <v>Portal</v>
      </c>
      <c r="G808" t="s">
        <v>319</v>
      </c>
      <c r="H808" t="s">
        <v>3574</v>
      </c>
      <c r="I808" t="s">
        <v>3575</v>
      </c>
      <c r="J808" t="s">
        <v>3576</v>
      </c>
      <c r="K808" t="s">
        <v>3576</v>
      </c>
      <c r="L808" t="s">
        <v>3576</v>
      </c>
      <c r="N808" t="s">
        <v>3577</v>
      </c>
      <c r="O808" t="s">
        <v>117</v>
      </c>
      <c r="S808" t="s">
        <v>121</v>
      </c>
      <c r="AI808" t="s">
        <v>133</v>
      </c>
      <c r="AM808" t="s">
        <v>196</v>
      </c>
      <c r="AS808" t="s">
        <v>135</v>
      </c>
      <c r="BG808" t="s">
        <v>793</v>
      </c>
      <c r="BM808" t="s">
        <v>137</v>
      </c>
      <c r="BN808">
        <v>0</v>
      </c>
      <c r="BT808" t="s">
        <v>562</v>
      </c>
      <c r="BU808" t="s">
        <v>132</v>
      </c>
      <c r="BY808" t="s">
        <v>460</v>
      </c>
    </row>
    <row r="809" spans="1:110" x14ac:dyDescent="0.2">
      <c r="A809" t="s">
        <v>111</v>
      </c>
      <c r="B809" t="b">
        <v>1</v>
      </c>
      <c r="C809" t="s">
        <v>132</v>
      </c>
      <c r="E809">
        <v>894</v>
      </c>
      <c r="F809" t="str">
        <f>HYPERLINK("https://portal.dnb.de/opac.htm?method=simpleSearch&amp;cqlMode=true&amp;query=idn%3D1066941262", "Portal")</f>
        <v>Portal</v>
      </c>
      <c r="G809" t="s">
        <v>125</v>
      </c>
      <c r="H809" t="s">
        <v>3578</v>
      </c>
      <c r="I809" t="s">
        <v>3579</v>
      </c>
      <c r="J809" t="s">
        <v>3580</v>
      </c>
      <c r="K809" t="s">
        <v>3580</v>
      </c>
      <c r="L809" t="s">
        <v>3580</v>
      </c>
      <c r="N809" t="s">
        <v>3581</v>
      </c>
      <c r="O809" t="s">
        <v>117</v>
      </c>
      <c r="S809" t="s">
        <v>146</v>
      </c>
      <c r="AI809" t="s">
        <v>149</v>
      </c>
      <c r="AM809" t="s">
        <v>196</v>
      </c>
      <c r="AS809" t="s">
        <v>135</v>
      </c>
      <c r="BG809">
        <v>110</v>
      </c>
      <c r="BM809" t="s">
        <v>180</v>
      </c>
      <c r="BN809">
        <v>1</v>
      </c>
      <c r="BR809" t="s">
        <v>132</v>
      </c>
      <c r="CB809" t="s">
        <v>132</v>
      </c>
      <c r="CM809">
        <v>0.5</v>
      </c>
      <c r="CT809" t="s">
        <v>132</v>
      </c>
      <c r="DF809">
        <v>0.5</v>
      </c>
    </row>
    <row r="810" spans="1:110" x14ac:dyDescent="0.2">
      <c r="A810" t="s">
        <v>111</v>
      </c>
      <c r="B810" t="b">
        <v>1</v>
      </c>
      <c r="E810">
        <v>928</v>
      </c>
      <c r="F810" t="str">
        <f>HYPERLINK("https://portal.dnb.de/opac.htm?method=simpleSearch&amp;cqlMode=true&amp;query=idn%3D1066956359", "Portal")</f>
        <v>Portal</v>
      </c>
      <c r="G810" t="s">
        <v>125</v>
      </c>
      <c r="H810" t="s">
        <v>3582</v>
      </c>
      <c r="I810" t="s">
        <v>3583</v>
      </c>
      <c r="J810" t="s">
        <v>3584</v>
      </c>
      <c r="K810" t="s">
        <v>3584</v>
      </c>
      <c r="L810" t="s">
        <v>3584</v>
      </c>
      <c r="N810" t="s">
        <v>3585</v>
      </c>
      <c r="O810" t="s">
        <v>117</v>
      </c>
      <c r="S810" t="s">
        <v>121</v>
      </c>
      <c r="AI810" t="s">
        <v>646</v>
      </c>
      <c r="AK810" t="s">
        <v>132</v>
      </c>
      <c r="AM810" t="s">
        <v>134</v>
      </c>
      <c r="AS810" t="s">
        <v>135</v>
      </c>
      <c r="BG810">
        <v>110</v>
      </c>
      <c r="BM810" t="s">
        <v>137</v>
      </c>
      <c r="BN810">
        <v>0</v>
      </c>
    </row>
    <row r="811" spans="1:110" x14ac:dyDescent="0.2">
      <c r="A811" t="s">
        <v>111</v>
      </c>
      <c r="B811" t="b">
        <v>1</v>
      </c>
      <c r="E811">
        <v>929</v>
      </c>
      <c r="F811" t="str">
        <f>HYPERLINK("https://portal.dnb.de/opac.htm?method=simpleSearch&amp;cqlMode=true&amp;query=idn%3D1066839409", "Portal")</f>
        <v>Portal</v>
      </c>
      <c r="G811" t="s">
        <v>125</v>
      </c>
      <c r="H811" t="s">
        <v>3586</v>
      </c>
      <c r="I811" t="s">
        <v>3587</v>
      </c>
      <c r="J811" t="s">
        <v>3588</v>
      </c>
      <c r="K811" t="s">
        <v>3588</v>
      </c>
      <c r="L811" t="s">
        <v>3588</v>
      </c>
      <c r="N811" t="s">
        <v>3589</v>
      </c>
      <c r="O811" t="s">
        <v>117</v>
      </c>
      <c r="S811" t="s">
        <v>121</v>
      </c>
      <c r="AI811" t="s">
        <v>365</v>
      </c>
      <c r="AK811" t="s">
        <v>132</v>
      </c>
      <c r="AL811" t="s">
        <v>132</v>
      </c>
      <c r="AM811" t="s">
        <v>134</v>
      </c>
      <c r="AS811" t="s">
        <v>135</v>
      </c>
      <c r="AT811" t="s">
        <v>132</v>
      </c>
      <c r="BG811">
        <v>110</v>
      </c>
      <c r="BM811" t="s">
        <v>137</v>
      </c>
      <c r="BN811">
        <v>0</v>
      </c>
      <c r="BR811" t="s">
        <v>132</v>
      </c>
      <c r="BW811" t="s">
        <v>152</v>
      </c>
    </row>
    <row r="812" spans="1:110" x14ac:dyDescent="0.2">
      <c r="A812" t="s">
        <v>111</v>
      </c>
      <c r="B812" t="b">
        <v>1</v>
      </c>
      <c r="E812">
        <v>930</v>
      </c>
      <c r="F812" t="str">
        <f>HYPERLINK("https://portal.dnb.de/opac.htm?method=simpleSearch&amp;cqlMode=true&amp;query=idn%3D1066956561", "Portal")</f>
        <v>Portal</v>
      </c>
      <c r="G812" t="s">
        <v>125</v>
      </c>
      <c r="H812" t="s">
        <v>3590</v>
      </c>
      <c r="I812" t="s">
        <v>3591</v>
      </c>
      <c r="J812" t="s">
        <v>3592</v>
      </c>
      <c r="K812" t="s">
        <v>3592</v>
      </c>
      <c r="L812" t="s">
        <v>3592</v>
      </c>
      <c r="N812" t="s">
        <v>3593</v>
      </c>
      <c r="O812" t="s">
        <v>117</v>
      </c>
      <c r="S812" t="s">
        <v>121</v>
      </c>
      <c r="AI812" t="s">
        <v>325</v>
      </c>
      <c r="AK812" t="s">
        <v>132</v>
      </c>
      <c r="AM812" t="s">
        <v>134</v>
      </c>
      <c r="AS812" t="s">
        <v>135</v>
      </c>
      <c r="AT812" t="s">
        <v>132</v>
      </c>
      <c r="BG812">
        <v>110</v>
      </c>
      <c r="BM812" t="s">
        <v>137</v>
      </c>
      <c r="BN812">
        <v>0</v>
      </c>
    </row>
    <row r="813" spans="1:110" x14ac:dyDescent="0.2">
      <c r="A813" t="s">
        <v>111</v>
      </c>
      <c r="B813" t="b">
        <v>1</v>
      </c>
      <c r="E813">
        <v>931</v>
      </c>
      <c r="F813" t="str">
        <f>HYPERLINK("https://portal.dnb.de/opac.htm?method=simpleSearch&amp;cqlMode=true&amp;query=idn%3D1066958076", "Portal")</f>
        <v>Portal</v>
      </c>
      <c r="G813" t="s">
        <v>125</v>
      </c>
      <c r="H813" t="s">
        <v>3594</v>
      </c>
      <c r="I813" t="s">
        <v>3595</v>
      </c>
      <c r="J813" t="s">
        <v>3596</v>
      </c>
      <c r="K813" t="s">
        <v>3596</v>
      </c>
      <c r="L813" t="s">
        <v>3596</v>
      </c>
      <c r="N813" t="s">
        <v>3597</v>
      </c>
      <c r="O813" t="s">
        <v>117</v>
      </c>
      <c r="S813" t="s">
        <v>121</v>
      </c>
      <c r="AI813" t="s">
        <v>135</v>
      </c>
      <c r="AM813" t="s">
        <v>134</v>
      </c>
      <c r="AS813" t="s">
        <v>135</v>
      </c>
      <c r="BG813">
        <v>110</v>
      </c>
      <c r="BM813" t="s">
        <v>137</v>
      </c>
      <c r="BN813">
        <v>0</v>
      </c>
    </row>
    <row r="814" spans="1:110" x14ac:dyDescent="0.2">
      <c r="A814" t="s">
        <v>111</v>
      </c>
      <c r="B814" t="b">
        <v>1</v>
      </c>
      <c r="E814">
        <v>932</v>
      </c>
      <c r="F814" t="str">
        <f>HYPERLINK("https://portal.dnb.de/opac.htm?method=simpleSearch&amp;cqlMode=true&amp;query=idn%3D998855499", "Portal")</f>
        <v>Portal</v>
      </c>
      <c r="G814" t="s">
        <v>112</v>
      </c>
      <c r="H814" t="s">
        <v>3598</v>
      </c>
      <c r="I814" t="s">
        <v>3599</v>
      </c>
      <c r="J814" t="s">
        <v>3600</v>
      </c>
      <c r="K814" t="s">
        <v>3600</v>
      </c>
      <c r="L814" t="s">
        <v>3600</v>
      </c>
      <c r="N814" t="s">
        <v>3601</v>
      </c>
      <c r="O814" t="s">
        <v>117</v>
      </c>
      <c r="S814" t="s">
        <v>121</v>
      </c>
      <c r="AI814" t="s">
        <v>365</v>
      </c>
      <c r="AL814" t="s">
        <v>132</v>
      </c>
      <c r="AM814" t="s">
        <v>196</v>
      </c>
      <c r="AS814" t="s">
        <v>135</v>
      </c>
      <c r="BG814">
        <v>110</v>
      </c>
      <c r="BM814" t="s">
        <v>137</v>
      </c>
      <c r="BN814">
        <v>0</v>
      </c>
    </row>
    <row r="815" spans="1:110" x14ac:dyDescent="0.2">
      <c r="A815" t="s">
        <v>111</v>
      </c>
      <c r="B815" t="b">
        <v>1</v>
      </c>
      <c r="E815">
        <v>895</v>
      </c>
      <c r="F815" t="str">
        <f>HYPERLINK("https://portal.dnb.de/opac.htm?method=simpleSearch&amp;cqlMode=true&amp;query=idn%3D1066958092", "Portal")</f>
        <v>Portal</v>
      </c>
      <c r="G815" t="s">
        <v>125</v>
      </c>
      <c r="H815" t="s">
        <v>3602</v>
      </c>
      <c r="I815" t="s">
        <v>3603</v>
      </c>
      <c r="J815" t="s">
        <v>3604</v>
      </c>
      <c r="K815" t="s">
        <v>3604</v>
      </c>
      <c r="L815" t="s">
        <v>3604</v>
      </c>
      <c r="N815" t="s">
        <v>3605</v>
      </c>
      <c r="O815" t="s">
        <v>117</v>
      </c>
      <c r="S815" t="s">
        <v>121</v>
      </c>
      <c r="AI815" t="s">
        <v>792</v>
      </c>
      <c r="AM815" t="s">
        <v>150</v>
      </c>
      <c r="AS815" t="s">
        <v>135</v>
      </c>
      <c r="BG815">
        <v>110</v>
      </c>
      <c r="BM815" t="s">
        <v>137</v>
      </c>
      <c r="BN815">
        <v>0</v>
      </c>
    </row>
    <row r="816" spans="1:110" x14ac:dyDescent="0.2">
      <c r="A816" t="s">
        <v>111</v>
      </c>
      <c r="B816" t="b">
        <v>1</v>
      </c>
      <c r="E816">
        <v>896</v>
      </c>
      <c r="F816" t="str">
        <f>HYPERLINK("https://portal.dnb.de/opac.htm?method=simpleSearch&amp;cqlMode=true&amp;query=idn%3D1066958025", "Portal")</f>
        <v>Portal</v>
      </c>
      <c r="G816" t="s">
        <v>125</v>
      </c>
      <c r="H816" t="s">
        <v>3606</v>
      </c>
      <c r="I816" t="s">
        <v>3607</v>
      </c>
      <c r="J816" t="s">
        <v>3608</v>
      </c>
      <c r="K816" t="s">
        <v>3608</v>
      </c>
      <c r="L816" t="s">
        <v>3608</v>
      </c>
      <c r="N816" t="s">
        <v>3609</v>
      </c>
      <c r="O816" t="s">
        <v>117</v>
      </c>
      <c r="S816" t="s">
        <v>121</v>
      </c>
      <c r="AI816" t="s">
        <v>646</v>
      </c>
      <c r="AK816" t="s">
        <v>132</v>
      </c>
      <c r="AM816" t="s">
        <v>150</v>
      </c>
      <c r="AS816" t="s">
        <v>135</v>
      </c>
      <c r="BG816">
        <v>110</v>
      </c>
      <c r="BM816" t="s">
        <v>137</v>
      </c>
      <c r="BN816">
        <v>0</v>
      </c>
    </row>
    <row r="817" spans="1:92" x14ac:dyDescent="0.2">
      <c r="A817" t="s">
        <v>111</v>
      </c>
      <c r="B817" t="b">
        <v>1</v>
      </c>
      <c r="E817">
        <v>897</v>
      </c>
      <c r="F817" t="str">
        <f>HYPERLINK("https://portal.dnb.de/opac.htm?method=simpleSearch&amp;cqlMode=true&amp;query=idn%3D1066956472", "Portal")</f>
        <v>Portal</v>
      </c>
      <c r="G817" t="s">
        <v>125</v>
      </c>
      <c r="H817" t="s">
        <v>3610</v>
      </c>
      <c r="I817" t="s">
        <v>3611</v>
      </c>
      <c r="J817" t="s">
        <v>3612</v>
      </c>
      <c r="K817" t="s">
        <v>3612</v>
      </c>
      <c r="L817" t="s">
        <v>3612</v>
      </c>
      <c r="N817" t="s">
        <v>3613</v>
      </c>
      <c r="O817" t="s">
        <v>117</v>
      </c>
      <c r="S817" t="s">
        <v>121</v>
      </c>
      <c r="AI817" t="s">
        <v>325</v>
      </c>
      <c r="AK817" t="s">
        <v>132</v>
      </c>
      <c r="AM817" t="s">
        <v>134</v>
      </c>
      <c r="AS817" t="s">
        <v>135</v>
      </c>
      <c r="BG817">
        <v>110</v>
      </c>
      <c r="BM817" t="s">
        <v>137</v>
      </c>
      <c r="BN817">
        <v>0</v>
      </c>
    </row>
    <row r="818" spans="1:92" x14ac:dyDescent="0.2">
      <c r="A818" t="s">
        <v>111</v>
      </c>
      <c r="B818" t="b">
        <v>1</v>
      </c>
      <c r="E818">
        <v>933</v>
      </c>
      <c r="F818" t="str">
        <f>HYPERLINK("https://portal.dnb.de/opac.htm?method=simpleSearch&amp;cqlMode=true&amp;query=idn%3D997310707", "Portal")</f>
        <v>Portal</v>
      </c>
      <c r="G818" t="s">
        <v>542</v>
      </c>
      <c r="H818" t="s">
        <v>3614</v>
      </c>
      <c r="I818" t="s">
        <v>3615</v>
      </c>
      <c r="J818" t="s">
        <v>3616</v>
      </c>
      <c r="K818" t="s">
        <v>3616</v>
      </c>
      <c r="L818" t="s">
        <v>3616</v>
      </c>
      <c r="N818" t="s">
        <v>3617</v>
      </c>
      <c r="O818" t="s">
        <v>3618</v>
      </c>
      <c r="S818" t="s">
        <v>121</v>
      </c>
      <c r="AI818" t="s">
        <v>792</v>
      </c>
      <c r="AM818" t="s">
        <v>134</v>
      </c>
      <c r="AS818" t="s">
        <v>135</v>
      </c>
      <c r="BG818">
        <v>110</v>
      </c>
      <c r="BM818" t="s">
        <v>137</v>
      </c>
      <c r="BN818">
        <v>0</v>
      </c>
    </row>
    <row r="819" spans="1:92" x14ac:dyDescent="0.2">
      <c r="A819" t="s">
        <v>111</v>
      </c>
      <c r="B819" t="b">
        <v>1</v>
      </c>
      <c r="E819">
        <v>898</v>
      </c>
      <c r="F819" t="str">
        <f>HYPERLINK("https://portal.dnb.de/opac.htm?method=simpleSearch&amp;cqlMode=true&amp;query=idn%3D1066960003", "Portal")</f>
        <v>Portal</v>
      </c>
      <c r="G819" t="s">
        <v>125</v>
      </c>
      <c r="H819" t="s">
        <v>3619</v>
      </c>
      <c r="I819" t="s">
        <v>3620</v>
      </c>
      <c r="J819" t="s">
        <v>3621</v>
      </c>
      <c r="K819" t="s">
        <v>3621</v>
      </c>
      <c r="L819" t="s">
        <v>3621</v>
      </c>
      <c r="N819" t="s">
        <v>3622</v>
      </c>
      <c r="O819" t="s">
        <v>117</v>
      </c>
      <c r="S819" t="s">
        <v>121</v>
      </c>
      <c r="AI819" t="s">
        <v>325</v>
      </c>
      <c r="AK819" t="s">
        <v>132</v>
      </c>
      <c r="AM819" t="s">
        <v>134</v>
      </c>
      <c r="AS819" t="s">
        <v>135</v>
      </c>
      <c r="BG819">
        <v>110</v>
      </c>
      <c r="BM819" t="s">
        <v>137</v>
      </c>
      <c r="BN819">
        <v>0</v>
      </c>
      <c r="BR819" t="s">
        <v>132</v>
      </c>
    </row>
    <row r="820" spans="1:92" x14ac:dyDescent="0.2">
      <c r="A820" t="s">
        <v>111</v>
      </c>
      <c r="B820" t="b">
        <v>1</v>
      </c>
      <c r="C820" t="s">
        <v>132</v>
      </c>
      <c r="E820">
        <v>899</v>
      </c>
      <c r="F820" t="str">
        <f>HYPERLINK("https://portal.dnb.de/opac.htm?method=simpleSearch&amp;cqlMode=true&amp;query=idn%3D106696324X", "Portal")</f>
        <v>Portal</v>
      </c>
      <c r="G820" t="s">
        <v>125</v>
      </c>
      <c r="H820" t="s">
        <v>3623</v>
      </c>
      <c r="I820" t="s">
        <v>3624</v>
      </c>
      <c r="J820" t="s">
        <v>3625</v>
      </c>
      <c r="K820" t="s">
        <v>3625</v>
      </c>
      <c r="L820" t="s">
        <v>3625</v>
      </c>
      <c r="N820" t="s">
        <v>3626</v>
      </c>
      <c r="O820" t="s">
        <v>117</v>
      </c>
      <c r="S820" t="s">
        <v>121</v>
      </c>
      <c r="AI820" t="s">
        <v>325</v>
      </c>
      <c r="AK820" t="s">
        <v>132</v>
      </c>
      <c r="AM820" t="s">
        <v>134</v>
      </c>
      <c r="AS820" t="s">
        <v>135</v>
      </c>
      <c r="AT820" t="s">
        <v>132</v>
      </c>
      <c r="BG820">
        <v>110</v>
      </c>
      <c r="BM820" t="s">
        <v>180</v>
      </c>
      <c r="BN820">
        <v>1</v>
      </c>
      <c r="CD820" t="s">
        <v>204</v>
      </c>
      <c r="CM820">
        <v>1</v>
      </c>
    </row>
    <row r="821" spans="1:92" x14ac:dyDescent="0.2">
      <c r="A821" t="s">
        <v>111</v>
      </c>
      <c r="B821" t="b">
        <v>1</v>
      </c>
      <c r="C821" t="s">
        <v>132</v>
      </c>
      <c r="E821">
        <v>900</v>
      </c>
      <c r="F821" t="str">
        <f>HYPERLINK("https://portal.dnb.de/opac.htm?method=simpleSearch&amp;cqlMode=true&amp;query=idn%3D1066848556", "Portal")</f>
        <v>Portal</v>
      </c>
      <c r="G821" t="s">
        <v>125</v>
      </c>
      <c r="H821" t="s">
        <v>3627</v>
      </c>
      <c r="I821" t="s">
        <v>3628</v>
      </c>
      <c r="J821" t="s">
        <v>3629</v>
      </c>
      <c r="K821" t="s">
        <v>3629</v>
      </c>
      <c r="L821" t="s">
        <v>3629</v>
      </c>
      <c r="N821" t="s">
        <v>3630</v>
      </c>
      <c r="O821" t="s">
        <v>117</v>
      </c>
      <c r="S821" t="s">
        <v>121</v>
      </c>
      <c r="AI821" t="s">
        <v>365</v>
      </c>
      <c r="AK821" t="s">
        <v>132</v>
      </c>
      <c r="AM821" t="s">
        <v>134</v>
      </c>
      <c r="AS821" t="s">
        <v>135</v>
      </c>
      <c r="AT821" t="s">
        <v>132</v>
      </c>
      <c r="BG821">
        <v>110</v>
      </c>
      <c r="BM821" t="s">
        <v>180</v>
      </c>
      <c r="BN821">
        <v>0.5</v>
      </c>
      <c r="BR821" t="s">
        <v>132</v>
      </c>
      <c r="CA821" t="s">
        <v>132</v>
      </c>
      <c r="CB821" t="s">
        <v>132</v>
      </c>
      <c r="CM821">
        <v>0.5</v>
      </c>
    </row>
    <row r="822" spans="1:92" x14ac:dyDescent="0.2">
      <c r="A822" t="s">
        <v>111</v>
      </c>
      <c r="B822" t="b">
        <v>1</v>
      </c>
      <c r="C822" t="s">
        <v>132</v>
      </c>
      <c r="E822">
        <v>901</v>
      </c>
      <c r="F822" t="str">
        <f>HYPERLINK("https://portal.dnb.de/opac.htm?method=simpleSearch&amp;cqlMode=true&amp;query=idn%3D1066874107", "Portal")</f>
        <v>Portal</v>
      </c>
      <c r="G822" t="s">
        <v>125</v>
      </c>
      <c r="H822" t="s">
        <v>3631</v>
      </c>
      <c r="I822" t="s">
        <v>3632</v>
      </c>
      <c r="J822" t="s">
        <v>3633</v>
      </c>
      <c r="K822" t="s">
        <v>3633</v>
      </c>
      <c r="L822" t="s">
        <v>3633</v>
      </c>
      <c r="N822" t="s">
        <v>3634</v>
      </c>
      <c r="O822" t="s">
        <v>117</v>
      </c>
      <c r="S822" t="s">
        <v>146</v>
      </c>
      <c r="AI822" t="s">
        <v>365</v>
      </c>
      <c r="AM822" t="s">
        <v>134</v>
      </c>
      <c r="AS822" t="s">
        <v>135</v>
      </c>
      <c r="BG822">
        <v>45</v>
      </c>
      <c r="BM822" t="s">
        <v>180</v>
      </c>
      <c r="BN822">
        <v>2</v>
      </c>
      <c r="CA822" t="s">
        <v>132</v>
      </c>
      <c r="CB822" t="s">
        <v>132</v>
      </c>
      <c r="CD822" t="s">
        <v>184</v>
      </c>
      <c r="CM822">
        <v>2</v>
      </c>
    </row>
    <row r="823" spans="1:92" x14ac:dyDescent="0.2">
      <c r="A823" t="s">
        <v>111</v>
      </c>
      <c r="B823" t="b">
        <v>1</v>
      </c>
      <c r="E823">
        <v>902</v>
      </c>
      <c r="F823" t="str">
        <f>HYPERLINK("https://portal.dnb.de/opac.htm?method=simpleSearch&amp;cqlMode=true&amp;query=idn%3D1066956308", "Portal")</f>
        <v>Portal</v>
      </c>
      <c r="G823" t="s">
        <v>125</v>
      </c>
      <c r="H823" t="s">
        <v>3635</v>
      </c>
      <c r="I823" t="s">
        <v>3636</v>
      </c>
      <c r="J823" t="s">
        <v>3637</v>
      </c>
      <c r="K823" t="s">
        <v>3637</v>
      </c>
      <c r="L823" t="s">
        <v>3637</v>
      </c>
      <c r="N823" t="s">
        <v>3638</v>
      </c>
      <c r="O823" t="s">
        <v>117</v>
      </c>
      <c r="S823" t="s">
        <v>146</v>
      </c>
      <c r="AI823" t="s">
        <v>325</v>
      </c>
      <c r="AM823" t="s">
        <v>134</v>
      </c>
      <c r="AS823" t="s">
        <v>135</v>
      </c>
      <c r="BG823">
        <v>110</v>
      </c>
      <c r="BM823" t="s">
        <v>137</v>
      </c>
      <c r="BN823">
        <v>0</v>
      </c>
    </row>
    <row r="824" spans="1:92" x14ac:dyDescent="0.2">
      <c r="A824" t="s">
        <v>111</v>
      </c>
      <c r="B824" t="b">
        <v>1</v>
      </c>
      <c r="C824" t="s">
        <v>132</v>
      </c>
      <c r="E824">
        <v>903</v>
      </c>
      <c r="F824" t="str">
        <f>HYPERLINK("https://portal.dnb.de/opac.htm?method=simpleSearch&amp;cqlMode=true&amp;query=idn%3D1066956413", "Portal")</f>
        <v>Portal</v>
      </c>
      <c r="G824" t="s">
        <v>125</v>
      </c>
      <c r="H824" t="s">
        <v>3639</v>
      </c>
      <c r="I824" t="s">
        <v>3640</v>
      </c>
      <c r="J824" t="s">
        <v>3641</v>
      </c>
      <c r="K824" t="s">
        <v>3641</v>
      </c>
      <c r="L824" t="s">
        <v>3641</v>
      </c>
      <c r="N824" t="s">
        <v>3642</v>
      </c>
      <c r="O824" t="s">
        <v>117</v>
      </c>
      <c r="S824" t="s">
        <v>146</v>
      </c>
      <c r="AI824" t="s">
        <v>792</v>
      </c>
      <c r="AK824" t="s">
        <v>132</v>
      </c>
      <c r="AM824" t="s">
        <v>134</v>
      </c>
      <c r="AS824" t="s">
        <v>135</v>
      </c>
      <c r="BG824">
        <v>110</v>
      </c>
      <c r="BM824" t="s">
        <v>180</v>
      </c>
      <c r="BN824">
        <v>0.5</v>
      </c>
      <c r="CB824" t="s">
        <v>132</v>
      </c>
      <c r="CM824">
        <v>0.5</v>
      </c>
    </row>
    <row r="825" spans="1:92" x14ac:dyDescent="0.2">
      <c r="A825" t="s">
        <v>111</v>
      </c>
      <c r="B825" t="b">
        <v>1</v>
      </c>
      <c r="C825" t="s">
        <v>132</v>
      </c>
      <c r="F825" t="str">
        <f>HYPERLINK("https://portal.dnb.de/opac.htm?method=simpleSearch&amp;cqlMode=true&amp;query=idn%3D1137895888", "Portal")</f>
        <v>Portal</v>
      </c>
      <c r="G825" t="s">
        <v>319</v>
      </c>
      <c r="H825" t="s">
        <v>3643</v>
      </c>
      <c r="I825" t="s">
        <v>3644</v>
      </c>
      <c r="J825" t="s">
        <v>3645</v>
      </c>
      <c r="K825" t="s">
        <v>3645</v>
      </c>
      <c r="L825" t="s">
        <v>3645</v>
      </c>
      <c r="N825" t="s">
        <v>338</v>
      </c>
      <c r="O825" t="s">
        <v>117</v>
      </c>
      <c r="Q825" t="s">
        <v>3646</v>
      </c>
      <c r="S825" t="s">
        <v>146</v>
      </c>
      <c r="AI825" t="s">
        <v>149</v>
      </c>
      <c r="AK825" t="s">
        <v>132</v>
      </c>
      <c r="AM825" t="s">
        <v>179</v>
      </c>
      <c r="AS825" t="s">
        <v>135</v>
      </c>
      <c r="BG825">
        <v>60</v>
      </c>
      <c r="BM825" t="s">
        <v>180</v>
      </c>
      <c r="BN825">
        <v>0.5</v>
      </c>
      <c r="BR825" t="s">
        <v>132</v>
      </c>
      <c r="CA825" t="s">
        <v>132</v>
      </c>
      <c r="CB825" t="s">
        <v>132</v>
      </c>
      <c r="CM825">
        <v>0.5</v>
      </c>
    </row>
    <row r="826" spans="1:92" x14ac:dyDescent="0.2">
      <c r="A826" t="s">
        <v>111</v>
      </c>
      <c r="B826" t="b">
        <v>1</v>
      </c>
      <c r="E826">
        <v>936</v>
      </c>
      <c r="F826" t="str">
        <f>HYPERLINK("https://portal.dnb.de/opac.htm?method=simpleSearch&amp;cqlMode=true&amp;query=idn%3D994508492", "Portal")</f>
        <v>Portal</v>
      </c>
      <c r="G826" t="s">
        <v>112</v>
      </c>
      <c r="H826" t="s">
        <v>3647</v>
      </c>
      <c r="I826" t="s">
        <v>3648</v>
      </c>
      <c r="J826" t="s">
        <v>3649</v>
      </c>
      <c r="K826" t="s">
        <v>3649</v>
      </c>
      <c r="L826" t="s">
        <v>3649</v>
      </c>
      <c r="N826" t="s">
        <v>3650</v>
      </c>
      <c r="O826" t="s">
        <v>117</v>
      </c>
      <c r="S826" t="s">
        <v>121</v>
      </c>
      <c r="AI826" t="s">
        <v>149</v>
      </c>
      <c r="AM826" t="s">
        <v>196</v>
      </c>
      <c r="AS826" t="s">
        <v>135</v>
      </c>
      <c r="BG826">
        <v>60</v>
      </c>
      <c r="BM826" t="s">
        <v>137</v>
      </c>
      <c r="BN826">
        <v>0</v>
      </c>
      <c r="BP826" t="s">
        <v>612</v>
      </c>
    </row>
    <row r="827" spans="1:92" x14ac:dyDescent="0.2">
      <c r="A827" t="s">
        <v>111</v>
      </c>
      <c r="B827" t="b">
        <v>1</v>
      </c>
      <c r="E827">
        <v>905</v>
      </c>
      <c r="F827" t="str">
        <f>HYPERLINK("https://portal.dnb.de/opac.htm?method=simpleSearch&amp;cqlMode=true&amp;query=idn%3D1066957061", "Portal")</f>
        <v>Portal</v>
      </c>
      <c r="G827" t="s">
        <v>125</v>
      </c>
      <c r="H827" t="s">
        <v>3651</v>
      </c>
      <c r="I827" t="s">
        <v>3652</v>
      </c>
      <c r="J827" t="s">
        <v>3653</v>
      </c>
      <c r="K827" t="s">
        <v>3653</v>
      </c>
      <c r="L827" t="s">
        <v>3653</v>
      </c>
      <c r="N827" t="s">
        <v>3654</v>
      </c>
      <c r="O827" t="s">
        <v>117</v>
      </c>
      <c r="S827" t="s">
        <v>121</v>
      </c>
      <c r="AI827" t="s">
        <v>2592</v>
      </c>
      <c r="AK827" t="s">
        <v>132</v>
      </c>
      <c r="AM827" t="s">
        <v>134</v>
      </c>
      <c r="AS827" t="s">
        <v>135</v>
      </c>
      <c r="AT827" t="s">
        <v>132</v>
      </c>
      <c r="BG827">
        <v>110</v>
      </c>
      <c r="BM827" t="s">
        <v>137</v>
      </c>
      <c r="BN827">
        <v>0</v>
      </c>
      <c r="BR827" t="s">
        <v>132</v>
      </c>
      <c r="BW827" t="s">
        <v>152</v>
      </c>
    </row>
    <row r="828" spans="1:92" x14ac:dyDescent="0.2">
      <c r="A828" t="s">
        <v>111</v>
      </c>
      <c r="B828" t="b">
        <v>1</v>
      </c>
      <c r="E828">
        <v>937</v>
      </c>
      <c r="F828" t="str">
        <f>HYPERLINK("https://portal.dnb.de/opac.htm?method=simpleSearch&amp;cqlMode=true&amp;query=idn%3D1001684656", "Portal")</f>
        <v>Portal</v>
      </c>
      <c r="G828" t="s">
        <v>112</v>
      </c>
      <c r="H828" t="s">
        <v>3655</v>
      </c>
      <c r="I828" t="s">
        <v>3656</v>
      </c>
      <c r="J828" t="s">
        <v>3657</v>
      </c>
      <c r="K828" t="s">
        <v>3657</v>
      </c>
      <c r="L828" t="s">
        <v>3658</v>
      </c>
      <c r="N828" t="s">
        <v>3659</v>
      </c>
      <c r="O828" t="s">
        <v>117</v>
      </c>
      <c r="Q828" t="s">
        <v>3660</v>
      </c>
      <c r="S828" t="s">
        <v>121</v>
      </c>
      <c r="AI828" t="s">
        <v>133</v>
      </c>
      <c r="AM828" t="s">
        <v>196</v>
      </c>
      <c r="AS828" t="s">
        <v>135</v>
      </c>
      <c r="BG828">
        <v>60</v>
      </c>
      <c r="BM828" t="s">
        <v>137</v>
      </c>
      <c r="BN828">
        <v>0</v>
      </c>
      <c r="BP828" t="s">
        <v>181</v>
      </c>
    </row>
    <row r="829" spans="1:92" x14ac:dyDescent="0.2">
      <c r="A829" t="s">
        <v>111</v>
      </c>
      <c r="B829" t="b">
        <v>1</v>
      </c>
      <c r="C829" t="s">
        <v>132</v>
      </c>
      <c r="E829">
        <v>906</v>
      </c>
      <c r="F829" t="str">
        <f>HYPERLINK("https://portal.dnb.de/opac.htm?method=simpleSearch&amp;cqlMode=true&amp;query=idn%3D1066842213", "Portal")</f>
        <v>Portal</v>
      </c>
      <c r="G829" t="s">
        <v>125</v>
      </c>
      <c r="H829" t="s">
        <v>3661</v>
      </c>
      <c r="I829" t="s">
        <v>3662</v>
      </c>
      <c r="J829" t="s">
        <v>3663</v>
      </c>
      <c r="K829" t="s">
        <v>3663</v>
      </c>
      <c r="L829" t="s">
        <v>3663</v>
      </c>
      <c r="N829" t="s">
        <v>3664</v>
      </c>
      <c r="O829" t="s">
        <v>117</v>
      </c>
      <c r="S829" t="s">
        <v>146</v>
      </c>
      <c r="AI829" t="s">
        <v>646</v>
      </c>
      <c r="AK829" t="s">
        <v>132</v>
      </c>
      <c r="AM829" t="s">
        <v>134</v>
      </c>
      <c r="AS829" t="s">
        <v>135</v>
      </c>
      <c r="BG829">
        <v>110</v>
      </c>
      <c r="BM829" t="s">
        <v>180</v>
      </c>
      <c r="BN829">
        <v>1</v>
      </c>
      <c r="BR829" t="s">
        <v>132</v>
      </c>
      <c r="CD829" t="s">
        <v>204</v>
      </c>
      <c r="CM829">
        <v>1</v>
      </c>
      <c r="CN829" t="s">
        <v>3665</v>
      </c>
    </row>
    <row r="830" spans="1:92" x14ac:dyDescent="0.2">
      <c r="A830" t="s">
        <v>111</v>
      </c>
      <c r="B830" t="b">
        <v>1</v>
      </c>
      <c r="F830" t="str">
        <f>HYPERLINK("https://portal.dnb.de/opac.htm?method=simpleSearch&amp;cqlMode=true&amp;query=idn%3D1138244139", "Portal")</f>
        <v>Portal</v>
      </c>
      <c r="G830" t="s">
        <v>319</v>
      </c>
      <c r="H830" t="s">
        <v>3666</v>
      </c>
      <c r="I830" t="s">
        <v>3667</v>
      </c>
      <c r="J830" t="s">
        <v>3668</v>
      </c>
      <c r="K830" t="s">
        <v>3668</v>
      </c>
      <c r="L830" t="s">
        <v>3668</v>
      </c>
      <c r="N830" t="s">
        <v>338</v>
      </c>
      <c r="O830" t="s">
        <v>117</v>
      </c>
      <c r="S830" t="s">
        <v>121</v>
      </c>
      <c r="AI830" t="s">
        <v>149</v>
      </c>
      <c r="AK830" t="s">
        <v>132</v>
      </c>
      <c r="AM830" t="s">
        <v>150</v>
      </c>
      <c r="AS830" t="s">
        <v>135</v>
      </c>
      <c r="BG830">
        <v>80</v>
      </c>
      <c r="BM830" t="s">
        <v>137</v>
      </c>
      <c r="BN830">
        <v>0</v>
      </c>
      <c r="BR830" t="s">
        <v>132</v>
      </c>
    </row>
    <row r="831" spans="1:92" x14ac:dyDescent="0.2">
      <c r="A831" t="s">
        <v>111</v>
      </c>
      <c r="B831" t="b">
        <v>1</v>
      </c>
      <c r="E831">
        <v>908</v>
      </c>
      <c r="F831" t="str">
        <f>HYPERLINK("https://portal.dnb.de/opac.htm?method=simpleSearch&amp;cqlMode=true&amp;query=idn%3D1066962901", "Portal")</f>
        <v>Portal</v>
      </c>
      <c r="G831" t="s">
        <v>125</v>
      </c>
      <c r="H831" t="s">
        <v>3669</v>
      </c>
      <c r="I831" t="s">
        <v>3670</v>
      </c>
      <c r="J831" t="s">
        <v>3671</v>
      </c>
      <c r="K831" t="s">
        <v>3671</v>
      </c>
      <c r="L831" t="s">
        <v>3671</v>
      </c>
      <c r="N831" t="s">
        <v>3672</v>
      </c>
      <c r="O831" t="s">
        <v>117</v>
      </c>
      <c r="S831" t="s">
        <v>146</v>
      </c>
      <c r="AI831" t="s">
        <v>325</v>
      </c>
      <c r="AK831" t="s">
        <v>132</v>
      </c>
      <c r="AM831" t="s">
        <v>134</v>
      </c>
      <c r="AS831" t="s">
        <v>135</v>
      </c>
      <c r="BG831">
        <v>110</v>
      </c>
      <c r="BM831" t="s">
        <v>137</v>
      </c>
      <c r="BN831">
        <v>0</v>
      </c>
      <c r="BR831" t="s">
        <v>132</v>
      </c>
    </row>
    <row r="832" spans="1:92" x14ac:dyDescent="0.2">
      <c r="A832" t="s">
        <v>111</v>
      </c>
      <c r="B832" t="b">
        <v>1</v>
      </c>
      <c r="E832">
        <v>909</v>
      </c>
      <c r="F832" t="str">
        <f>HYPERLINK("https://portal.dnb.de/opac.htm?method=simpleSearch&amp;cqlMode=true&amp;query=idn%3D1066964106", "Portal")</f>
        <v>Portal</v>
      </c>
      <c r="G832" t="s">
        <v>125</v>
      </c>
      <c r="H832" t="s">
        <v>3673</v>
      </c>
      <c r="I832" t="s">
        <v>3674</v>
      </c>
      <c r="J832" t="s">
        <v>3675</v>
      </c>
      <c r="K832" t="s">
        <v>3675</v>
      </c>
      <c r="L832" t="s">
        <v>3675</v>
      </c>
      <c r="N832" t="s">
        <v>3676</v>
      </c>
      <c r="O832" t="s">
        <v>117</v>
      </c>
      <c r="S832" t="s">
        <v>121</v>
      </c>
      <c r="AI832" t="s">
        <v>325</v>
      </c>
      <c r="AK832" t="s">
        <v>132</v>
      </c>
      <c r="AM832" t="s">
        <v>134</v>
      </c>
      <c r="AS832" t="s">
        <v>135</v>
      </c>
      <c r="AT832" t="s">
        <v>132</v>
      </c>
      <c r="BG832">
        <v>110</v>
      </c>
      <c r="BM832" t="s">
        <v>137</v>
      </c>
      <c r="BN832">
        <v>0</v>
      </c>
    </row>
    <row r="833" spans="1:111" x14ac:dyDescent="0.2">
      <c r="A833" t="s">
        <v>111</v>
      </c>
      <c r="B833" t="b">
        <v>1</v>
      </c>
      <c r="E833">
        <v>910</v>
      </c>
      <c r="F833" t="str">
        <f>HYPERLINK("https://portal.dnb.de/opac.htm?method=simpleSearch&amp;cqlMode=true&amp;query=idn%3D1066960224", "Portal")</f>
        <v>Portal</v>
      </c>
      <c r="G833" t="s">
        <v>125</v>
      </c>
      <c r="H833" t="s">
        <v>3677</v>
      </c>
      <c r="I833" t="s">
        <v>3678</v>
      </c>
      <c r="J833" t="s">
        <v>3679</v>
      </c>
      <c r="K833" t="s">
        <v>3679</v>
      </c>
      <c r="L833" t="s">
        <v>3679</v>
      </c>
      <c r="N833" t="s">
        <v>3680</v>
      </c>
      <c r="O833" t="s">
        <v>117</v>
      </c>
      <c r="S833" t="s">
        <v>121</v>
      </c>
      <c r="AI833" t="s">
        <v>133</v>
      </c>
      <c r="AK833" t="s">
        <v>132</v>
      </c>
      <c r="AM833" t="s">
        <v>134</v>
      </c>
      <c r="AS833" t="s">
        <v>135</v>
      </c>
      <c r="AT833" t="s">
        <v>132</v>
      </c>
      <c r="BG833">
        <v>110</v>
      </c>
      <c r="BM833" t="s">
        <v>137</v>
      </c>
      <c r="BN833">
        <v>0</v>
      </c>
      <c r="BR833" t="s">
        <v>132</v>
      </c>
    </row>
    <row r="834" spans="1:111" x14ac:dyDescent="0.2">
      <c r="A834" t="s">
        <v>111</v>
      </c>
      <c r="B834" t="b">
        <v>1</v>
      </c>
      <c r="E834">
        <v>911</v>
      </c>
      <c r="F834" t="str">
        <f>HYPERLINK("https://portal.dnb.de/opac.htm?method=simpleSearch&amp;cqlMode=true&amp;query=idn%3D1066957703", "Portal")</f>
        <v>Portal</v>
      </c>
      <c r="G834" t="s">
        <v>125</v>
      </c>
      <c r="H834" t="s">
        <v>3681</v>
      </c>
      <c r="I834" t="s">
        <v>3682</v>
      </c>
      <c r="J834" t="s">
        <v>3683</v>
      </c>
      <c r="K834" t="s">
        <v>3683</v>
      </c>
      <c r="L834" t="s">
        <v>3683</v>
      </c>
      <c r="N834" t="s">
        <v>3684</v>
      </c>
      <c r="O834" t="s">
        <v>117</v>
      </c>
      <c r="S834" t="s">
        <v>121</v>
      </c>
      <c r="AI834" t="s">
        <v>646</v>
      </c>
      <c r="AK834" t="s">
        <v>132</v>
      </c>
      <c r="AM834" t="s">
        <v>134</v>
      </c>
      <c r="AS834" t="s">
        <v>135</v>
      </c>
      <c r="BG834">
        <v>110</v>
      </c>
      <c r="BM834" t="s">
        <v>137</v>
      </c>
      <c r="BN834">
        <v>0</v>
      </c>
      <c r="BR834" t="s">
        <v>132</v>
      </c>
    </row>
    <row r="835" spans="1:111" x14ac:dyDescent="0.2">
      <c r="A835" t="s">
        <v>111</v>
      </c>
      <c r="B835" t="b">
        <v>1</v>
      </c>
      <c r="C835" t="s">
        <v>132</v>
      </c>
      <c r="E835">
        <v>912</v>
      </c>
      <c r="F835" t="str">
        <f>HYPERLINK("https://portal.dnb.de/opac.htm?method=simpleSearch&amp;cqlMode=true&amp;query=idn%3D1066960437", "Portal")</f>
        <v>Portal</v>
      </c>
      <c r="G835" t="s">
        <v>125</v>
      </c>
      <c r="H835" t="s">
        <v>3685</v>
      </c>
      <c r="I835" t="s">
        <v>3686</v>
      </c>
      <c r="J835" t="s">
        <v>3687</v>
      </c>
      <c r="K835" t="s">
        <v>3687</v>
      </c>
      <c r="L835" t="s">
        <v>3687</v>
      </c>
      <c r="N835" t="s">
        <v>3688</v>
      </c>
      <c r="O835" t="s">
        <v>117</v>
      </c>
      <c r="S835" t="s">
        <v>121</v>
      </c>
      <c r="AH835" t="s">
        <v>132</v>
      </c>
      <c r="AI835" t="s">
        <v>135</v>
      </c>
      <c r="AM835" t="s">
        <v>150</v>
      </c>
      <c r="AS835" t="s">
        <v>135</v>
      </c>
      <c r="BG835">
        <v>110</v>
      </c>
      <c r="BM835" t="s">
        <v>180</v>
      </c>
      <c r="BN835">
        <v>1</v>
      </c>
      <c r="BW835" t="s">
        <v>152</v>
      </c>
      <c r="CB835" t="s">
        <v>132</v>
      </c>
      <c r="CD835" t="s">
        <v>204</v>
      </c>
      <c r="CM835">
        <v>1</v>
      </c>
    </row>
    <row r="836" spans="1:111" x14ac:dyDescent="0.2">
      <c r="A836" t="s">
        <v>111</v>
      </c>
      <c r="B836" t="b">
        <v>1</v>
      </c>
      <c r="E836">
        <v>913</v>
      </c>
      <c r="F836" t="str">
        <f>HYPERLINK("https://portal.dnb.de/opac.htm?method=simpleSearch&amp;cqlMode=true&amp;query=idn%3D99701475X", "Portal")</f>
        <v>Portal</v>
      </c>
      <c r="G836" t="s">
        <v>112</v>
      </c>
      <c r="H836" t="s">
        <v>3689</v>
      </c>
      <c r="I836" t="s">
        <v>3690</v>
      </c>
      <c r="J836" t="s">
        <v>3691</v>
      </c>
      <c r="K836" t="s">
        <v>3691</v>
      </c>
      <c r="L836" t="s">
        <v>3691</v>
      </c>
      <c r="N836" t="s">
        <v>3692</v>
      </c>
      <c r="O836" t="s">
        <v>117</v>
      </c>
      <c r="S836" t="s">
        <v>146</v>
      </c>
      <c r="AI836" t="s">
        <v>149</v>
      </c>
      <c r="AL836" t="s">
        <v>132</v>
      </c>
      <c r="AM836" t="s">
        <v>196</v>
      </c>
      <c r="AS836" t="s">
        <v>135</v>
      </c>
      <c r="AX836" t="s">
        <v>132</v>
      </c>
      <c r="BE836">
        <v>0</v>
      </c>
      <c r="BF836" t="s">
        <v>132</v>
      </c>
      <c r="BG836">
        <v>110</v>
      </c>
      <c r="BM836" t="s">
        <v>137</v>
      </c>
      <c r="BN836">
        <v>0</v>
      </c>
      <c r="BP836" t="s">
        <v>181</v>
      </c>
      <c r="BW836" t="s">
        <v>152</v>
      </c>
    </row>
    <row r="837" spans="1:111" x14ac:dyDescent="0.2">
      <c r="A837" t="s">
        <v>111</v>
      </c>
      <c r="B837" t="b">
        <v>1</v>
      </c>
      <c r="E837">
        <v>939</v>
      </c>
      <c r="F837" t="str">
        <f>HYPERLINK("https://portal.dnb.de/opac.htm?method=simpleSearch&amp;cqlMode=true&amp;query=idn%3D1066942102", "Portal")</f>
        <v>Portal</v>
      </c>
      <c r="G837" t="s">
        <v>125</v>
      </c>
      <c r="H837" t="s">
        <v>3693</v>
      </c>
      <c r="I837" t="s">
        <v>3694</v>
      </c>
      <c r="J837" t="s">
        <v>3695</v>
      </c>
      <c r="K837" t="s">
        <v>3695</v>
      </c>
      <c r="L837" t="s">
        <v>3695</v>
      </c>
      <c r="N837" t="s">
        <v>3696</v>
      </c>
      <c r="O837" t="s">
        <v>117</v>
      </c>
      <c r="S837" t="s">
        <v>121</v>
      </c>
      <c r="AH837" t="s">
        <v>132</v>
      </c>
      <c r="AI837" t="s">
        <v>133</v>
      </c>
      <c r="AM837" t="s">
        <v>179</v>
      </c>
      <c r="AS837" t="s">
        <v>135</v>
      </c>
      <c r="BE837">
        <v>2</v>
      </c>
      <c r="BF837" t="s">
        <v>132</v>
      </c>
      <c r="BG837">
        <v>60</v>
      </c>
      <c r="BM837" t="s">
        <v>137</v>
      </c>
      <c r="BN837">
        <v>0</v>
      </c>
      <c r="BR837" t="s">
        <v>132</v>
      </c>
    </row>
    <row r="838" spans="1:111" x14ac:dyDescent="0.2">
      <c r="A838" t="s">
        <v>111</v>
      </c>
      <c r="B838" t="b">
        <v>1</v>
      </c>
      <c r="E838">
        <v>940</v>
      </c>
      <c r="F838" t="str">
        <f>HYPERLINK("https://portal.dnb.de/opac.htm?method=simpleSearch&amp;cqlMode=true&amp;query=idn%3D1002571936", "Portal")</f>
        <v>Portal</v>
      </c>
      <c r="G838" t="s">
        <v>112</v>
      </c>
      <c r="H838" t="s">
        <v>3697</v>
      </c>
      <c r="I838" t="s">
        <v>3698</v>
      </c>
      <c r="J838" t="s">
        <v>3699</v>
      </c>
      <c r="K838" t="s">
        <v>3699</v>
      </c>
      <c r="L838" t="s">
        <v>3699</v>
      </c>
      <c r="N838" t="s">
        <v>3700</v>
      </c>
      <c r="O838" t="s">
        <v>117</v>
      </c>
      <c r="S838" t="s">
        <v>146</v>
      </c>
      <c r="AI838" t="s">
        <v>1684</v>
      </c>
      <c r="AJ838" t="s">
        <v>3701</v>
      </c>
      <c r="AM838" t="s">
        <v>150</v>
      </c>
      <c r="AS838" t="s">
        <v>135</v>
      </c>
      <c r="BG838" t="s">
        <v>1223</v>
      </c>
      <c r="BM838" t="s">
        <v>137</v>
      </c>
      <c r="BN838">
        <v>0</v>
      </c>
      <c r="BP838" t="s">
        <v>181</v>
      </c>
      <c r="BV838" t="s">
        <v>3702</v>
      </c>
      <c r="BW838" t="s">
        <v>1746</v>
      </c>
    </row>
    <row r="839" spans="1:111" x14ac:dyDescent="0.2">
      <c r="A839" t="s">
        <v>111</v>
      </c>
      <c r="B839" t="b">
        <v>1</v>
      </c>
      <c r="E839">
        <v>941</v>
      </c>
      <c r="F839" t="str">
        <f>HYPERLINK("https://portal.dnb.de/opac.htm?method=simpleSearch&amp;cqlMode=true&amp;query=idn%3D1066876614", "Portal")</f>
        <v>Portal</v>
      </c>
      <c r="G839" t="s">
        <v>125</v>
      </c>
      <c r="H839" t="s">
        <v>3703</v>
      </c>
      <c r="I839" t="s">
        <v>3704</v>
      </c>
      <c r="J839" t="s">
        <v>3705</v>
      </c>
      <c r="K839" t="s">
        <v>3705</v>
      </c>
      <c r="L839" t="s">
        <v>3705</v>
      </c>
      <c r="N839" t="s">
        <v>3706</v>
      </c>
      <c r="O839" t="s">
        <v>117</v>
      </c>
      <c r="S839" t="s">
        <v>121</v>
      </c>
      <c r="AI839" t="s">
        <v>646</v>
      </c>
      <c r="AL839" t="s">
        <v>132</v>
      </c>
      <c r="AM839" t="s">
        <v>134</v>
      </c>
      <c r="AS839" t="s">
        <v>135</v>
      </c>
      <c r="BG839">
        <v>80</v>
      </c>
      <c r="BM839" t="s">
        <v>137</v>
      </c>
      <c r="BN839">
        <v>0</v>
      </c>
      <c r="BP839" t="s">
        <v>181</v>
      </c>
    </row>
    <row r="840" spans="1:111" x14ac:dyDescent="0.2">
      <c r="A840" t="s">
        <v>111</v>
      </c>
      <c r="B840" t="b">
        <v>1</v>
      </c>
      <c r="C840" t="s">
        <v>132</v>
      </c>
      <c r="E840">
        <v>942</v>
      </c>
      <c r="F840" t="str">
        <f>HYPERLINK("https://portal.dnb.de/opac.htm?method=simpleSearch&amp;cqlMode=true&amp;query=idn%3D1066934762", "Portal")</f>
        <v>Portal</v>
      </c>
      <c r="G840" t="s">
        <v>415</v>
      </c>
      <c r="H840" t="s">
        <v>3707</v>
      </c>
      <c r="I840" t="s">
        <v>3708</v>
      </c>
      <c r="J840" t="s">
        <v>3709</v>
      </c>
      <c r="K840" t="s">
        <v>3709</v>
      </c>
      <c r="L840" t="s">
        <v>3709</v>
      </c>
      <c r="N840" t="s">
        <v>3710</v>
      </c>
      <c r="O840" t="s">
        <v>117</v>
      </c>
      <c r="S840" t="s">
        <v>146</v>
      </c>
      <c r="AI840" t="s">
        <v>325</v>
      </c>
      <c r="AK840" t="s">
        <v>132</v>
      </c>
      <c r="AM840" t="s">
        <v>134</v>
      </c>
      <c r="AS840" t="s">
        <v>135</v>
      </c>
      <c r="BG840" t="s">
        <v>793</v>
      </c>
      <c r="BM840" t="s">
        <v>180</v>
      </c>
      <c r="BN840">
        <v>2</v>
      </c>
      <c r="BR840" t="s">
        <v>132</v>
      </c>
      <c r="CB840" t="s">
        <v>132</v>
      </c>
      <c r="CD840" t="s">
        <v>204</v>
      </c>
      <c r="CM840">
        <v>2</v>
      </c>
      <c r="CN840" t="s">
        <v>3711</v>
      </c>
    </row>
    <row r="841" spans="1:111" x14ac:dyDescent="0.2">
      <c r="A841" t="s">
        <v>111</v>
      </c>
      <c r="B841" t="b">
        <v>1</v>
      </c>
      <c r="E841">
        <v>1207</v>
      </c>
      <c r="F841" t="str">
        <f>HYPERLINK("https://portal.dnb.de/opac.htm?method=simpleSearch&amp;cqlMode=true&amp;query=idn%3D994053215", "Portal")</f>
        <v>Portal</v>
      </c>
      <c r="G841" t="s">
        <v>112</v>
      </c>
      <c r="H841" t="s">
        <v>3712</v>
      </c>
      <c r="I841" t="s">
        <v>3713</v>
      </c>
      <c r="J841" t="s">
        <v>3714</v>
      </c>
      <c r="K841" t="s">
        <v>3714</v>
      </c>
      <c r="L841" t="s">
        <v>3714</v>
      </c>
      <c r="N841" t="s">
        <v>3715</v>
      </c>
      <c r="O841" t="s">
        <v>117</v>
      </c>
      <c r="S841" t="s">
        <v>121</v>
      </c>
      <c r="AH841" t="s">
        <v>132</v>
      </c>
      <c r="AI841" t="s">
        <v>646</v>
      </c>
      <c r="AJ841" t="s">
        <v>3716</v>
      </c>
      <c r="AL841" t="s">
        <v>132</v>
      </c>
      <c r="AM841" t="s">
        <v>150</v>
      </c>
      <c r="AS841" t="s">
        <v>135</v>
      </c>
      <c r="BE841">
        <v>4</v>
      </c>
      <c r="BG841" t="s">
        <v>793</v>
      </c>
      <c r="BM841" t="s">
        <v>137</v>
      </c>
      <c r="BN841">
        <v>0</v>
      </c>
      <c r="BP841" t="s">
        <v>181</v>
      </c>
      <c r="BV841" t="s">
        <v>3717</v>
      </c>
    </row>
    <row r="842" spans="1:111" x14ac:dyDescent="0.2">
      <c r="A842" t="s">
        <v>111</v>
      </c>
      <c r="B842" t="b">
        <v>1</v>
      </c>
      <c r="E842">
        <v>943</v>
      </c>
      <c r="F842" t="str">
        <f>HYPERLINK("https://portal.dnb.de/opac.htm?method=simpleSearch&amp;cqlMode=true&amp;query=idn%3D1066867941", "Portal")</f>
        <v>Portal</v>
      </c>
      <c r="G842" t="s">
        <v>125</v>
      </c>
      <c r="H842" t="s">
        <v>3718</v>
      </c>
      <c r="I842" t="s">
        <v>3719</v>
      </c>
      <c r="J842" t="s">
        <v>3720</v>
      </c>
      <c r="K842" t="s">
        <v>3720</v>
      </c>
      <c r="L842" t="s">
        <v>3720</v>
      </c>
      <c r="N842" t="s">
        <v>3721</v>
      </c>
      <c r="O842" t="s">
        <v>117</v>
      </c>
      <c r="S842" t="s">
        <v>121</v>
      </c>
      <c r="AI842" t="s">
        <v>325</v>
      </c>
      <c r="AK842" t="s">
        <v>132</v>
      </c>
      <c r="AM842" t="s">
        <v>134</v>
      </c>
      <c r="AS842" t="s">
        <v>135</v>
      </c>
      <c r="AT842" t="s">
        <v>132</v>
      </c>
      <c r="BG842">
        <v>110</v>
      </c>
      <c r="BM842" t="s">
        <v>137</v>
      </c>
      <c r="BN842">
        <v>0</v>
      </c>
      <c r="BR842" t="s">
        <v>132</v>
      </c>
    </row>
    <row r="843" spans="1:111" x14ac:dyDescent="0.2">
      <c r="A843" t="s">
        <v>111</v>
      </c>
      <c r="B843" t="b">
        <v>1</v>
      </c>
      <c r="E843">
        <v>944</v>
      </c>
      <c r="F843" t="str">
        <f>HYPERLINK("https://portal.dnb.de/opac.htm?method=simpleSearch&amp;cqlMode=true&amp;query=idn%3D1066962189", "Portal")</f>
        <v>Portal</v>
      </c>
      <c r="G843" t="s">
        <v>125</v>
      </c>
      <c r="H843" t="s">
        <v>3722</v>
      </c>
      <c r="I843" t="s">
        <v>3723</v>
      </c>
      <c r="J843" t="s">
        <v>3724</v>
      </c>
      <c r="K843" t="s">
        <v>3724</v>
      </c>
      <c r="L843" t="s">
        <v>3724</v>
      </c>
      <c r="N843" t="s">
        <v>3725</v>
      </c>
      <c r="O843" t="s">
        <v>117</v>
      </c>
      <c r="S843" t="s">
        <v>121</v>
      </c>
      <c r="AI843" t="s">
        <v>325</v>
      </c>
      <c r="AK843" t="s">
        <v>132</v>
      </c>
      <c r="AM843" t="s">
        <v>134</v>
      </c>
      <c r="AS843" t="s">
        <v>135</v>
      </c>
      <c r="AT843" t="s">
        <v>132</v>
      </c>
      <c r="BG843">
        <v>110</v>
      </c>
      <c r="BM843" t="s">
        <v>137</v>
      </c>
      <c r="BN843">
        <v>0</v>
      </c>
    </row>
    <row r="844" spans="1:111" x14ac:dyDescent="0.2">
      <c r="A844" t="s">
        <v>111</v>
      </c>
      <c r="B844" t="b">
        <v>1</v>
      </c>
      <c r="C844" t="s">
        <v>132</v>
      </c>
      <c r="E844">
        <v>945</v>
      </c>
      <c r="F844" t="str">
        <f>HYPERLINK("https://portal.dnb.de/opac.htm?method=simpleSearch&amp;cqlMode=true&amp;query=idn%3D1132648823", "Portal")</f>
        <v>Portal</v>
      </c>
      <c r="G844" t="s">
        <v>970</v>
      </c>
      <c r="H844" t="s">
        <v>3726</v>
      </c>
      <c r="I844" t="s">
        <v>3727</v>
      </c>
      <c r="J844" t="s">
        <v>3728</v>
      </c>
      <c r="K844" t="s">
        <v>3728</v>
      </c>
      <c r="L844" t="s">
        <v>3728</v>
      </c>
      <c r="N844" t="s">
        <v>3729</v>
      </c>
      <c r="O844" t="s">
        <v>1346</v>
      </c>
      <c r="S844" t="s">
        <v>146</v>
      </c>
      <c r="AI844" t="s">
        <v>149</v>
      </c>
      <c r="AK844" t="s">
        <v>132</v>
      </c>
      <c r="AM844" t="s">
        <v>196</v>
      </c>
      <c r="AS844" t="s">
        <v>135</v>
      </c>
      <c r="BE844">
        <v>4</v>
      </c>
      <c r="BF844" t="s">
        <v>132</v>
      </c>
      <c r="BG844">
        <v>60</v>
      </c>
      <c r="BM844" t="s">
        <v>180</v>
      </c>
      <c r="BN844">
        <v>3</v>
      </c>
      <c r="BR844" t="s">
        <v>132</v>
      </c>
      <c r="BV844" t="s">
        <v>3730</v>
      </c>
      <c r="CX844" t="s">
        <v>132</v>
      </c>
      <c r="DF844">
        <v>3</v>
      </c>
      <c r="DG844" t="s">
        <v>3731</v>
      </c>
    </row>
    <row r="845" spans="1:111" x14ac:dyDescent="0.2">
      <c r="A845" t="s">
        <v>111</v>
      </c>
      <c r="B845" t="b">
        <v>1</v>
      </c>
      <c r="E845">
        <v>946</v>
      </c>
      <c r="F845" t="str">
        <f>HYPERLINK("https://portal.dnb.de/opac.htm?method=simpleSearch&amp;cqlMode=true&amp;query=idn%3D1132648831", "Portal")</f>
        <v>Portal</v>
      </c>
      <c r="G845" t="s">
        <v>970</v>
      </c>
      <c r="H845" t="s">
        <v>3732</v>
      </c>
      <c r="I845" t="s">
        <v>3733</v>
      </c>
      <c r="J845" t="s">
        <v>3728</v>
      </c>
      <c r="K845" t="s">
        <v>3728</v>
      </c>
      <c r="L845" t="s">
        <v>3734</v>
      </c>
      <c r="N845" t="s">
        <v>3729</v>
      </c>
      <c r="O845" t="s">
        <v>888</v>
      </c>
      <c r="BN845">
        <v>0</v>
      </c>
    </row>
    <row r="846" spans="1:111" x14ac:dyDescent="0.2">
      <c r="A846" t="s">
        <v>111</v>
      </c>
      <c r="B846" t="b">
        <v>1</v>
      </c>
      <c r="E846">
        <v>947</v>
      </c>
      <c r="F846" t="str">
        <f>HYPERLINK("https://portal.dnb.de/opac.htm?method=simpleSearch&amp;cqlMode=true&amp;query=idn%3D113264884X", "Portal")</f>
        <v>Portal</v>
      </c>
      <c r="G846" t="s">
        <v>970</v>
      </c>
      <c r="H846" t="s">
        <v>3735</v>
      </c>
      <c r="I846" t="s">
        <v>3736</v>
      </c>
      <c r="J846" t="s">
        <v>3728</v>
      </c>
      <c r="K846" t="s">
        <v>3728</v>
      </c>
      <c r="L846" t="s">
        <v>3734</v>
      </c>
      <c r="N846" t="s">
        <v>3729</v>
      </c>
      <c r="O846" t="s">
        <v>3737</v>
      </c>
      <c r="BN846">
        <v>0</v>
      </c>
    </row>
    <row r="847" spans="1:111" x14ac:dyDescent="0.2">
      <c r="A847" t="s">
        <v>111</v>
      </c>
      <c r="B847" t="b">
        <v>1</v>
      </c>
      <c r="E847">
        <v>948</v>
      </c>
      <c r="F847" t="str">
        <f>HYPERLINK("https://portal.dnb.de/opac.htm?method=simpleSearch&amp;cqlMode=true&amp;query=idn%3D1066934541", "Portal")</f>
        <v>Portal</v>
      </c>
      <c r="G847" t="s">
        <v>125</v>
      </c>
      <c r="H847" t="s">
        <v>3738</v>
      </c>
      <c r="I847" t="s">
        <v>3739</v>
      </c>
      <c r="J847" t="s">
        <v>3740</v>
      </c>
      <c r="K847" t="s">
        <v>3740</v>
      </c>
      <c r="L847" t="s">
        <v>3740</v>
      </c>
      <c r="N847" t="s">
        <v>3741</v>
      </c>
      <c r="O847" t="s">
        <v>117</v>
      </c>
      <c r="S847" t="s">
        <v>121</v>
      </c>
      <c r="AI847" t="s">
        <v>325</v>
      </c>
      <c r="AK847" t="s">
        <v>132</v>
      </c>
      <c r="AM847" t="s">
        <v>134</v>
      </c>
      <c r="AS847" t="s">
        <v>135</v>
      </c>
      <c r="BG847">
        <v>110</v>
      </c>
      <c r="BM847" t="s">
        <v>137</v>
      </c>
      <c r="BN847">
        <v>0</v>
      </c>
    </row>
    <row r="848" spans="1:111" x14ac:dyDescent="0.2">
      <c r="A848" t="s">
        <v>111</v>
      </c>
      <c r="B848" t="b">
        <v>1</v>
      </c>
      <c r="E848">
        <v>949</v>
      </c>
      <c r="F848" t="str">
        <f>HYPERLINK("https://portal.dnb.de/opac.htm?method=simpleSearch&amp;cqlMode=true&amp;query=idn%3D1066834091", "Portal")</f>
        <v>Portal</v>
      </c>
      <c r="G848" t="s">
        <v>125</v>
      </c>
      <c r="H848" t="s">
        <v>3742</v>
      </c>
      <c r="I848" t="s">
        <v>3743</v>
      </c>
      <c r="J848" t="s">
        <v>3744</v>
      </c>
      <c r="K848" t="s">
        <v>3744</v>
      </c>
      <c r="L848" t="s">
        <v>3744</v>
      </c>
      <c r="N848" t="s">
        <v>3745</v>
      </c>
      <c r="O848" t="s">
        <v>117</v>
      </c>
      <c r="S848" t="s">
        <v>121</v>
      </c>
      <c r="AI848" t="s">
        <v>133</v>
      </c>
      <c r="AM848" t="s">
        <v>179</v>
      </c>
      <c r="AS848" t="s">
        <v>135</v>
      </c>
      <c r="BG848">
        <v>110</v>
      </c>
      <c r="BM848" t="s">
        <v>137</v>
      </c>
      <c r="BN848">
        <v>0</v>
      </c>
      <c r="BP848" t="s">
        <v>612</v>
      </c>
      <c r="BV848" t="s">
        <v>3746</v>
      </c>
    </row>
    <row r="849" spans="1:110" x14ac:dyDescent="0.2">
      <c r="A849" t="s">
        <v>111</v>
      </c>
      <c r="B849" t="b">
        <v>1</v>
      </c>
      <c r="E849">
        <v>950</v>
      </c>
      <c r="F849" t="str">
        <f>HYPERLINK("https://portal.dnb.de/opac.htm?method=simpleSearch&amp;cqlMode=true&amp;query=idn%3D1066935297", "Portal")</f>
        <v>Portal</v>
      </c>
      <c r="G849" t="s">
        <v>125</v>
      </c>
      <c r="H849" t="s">
        <v>3747</v>
      </c>
      <c r="I849" t="s">
        <v>3748</v>
      </c>
      <c r="J849" t="s">
        <v>3749</v>
      </c>
      <c r="K849" t="s">
        <v>3749</v>
      </c>
      <c r="L849" t="s">
        <v>3749</v>
      </c>
      <c r="N849" t="s">
        <v>3750</v>
      </c>
      <c r="O849" t="s">
        <v>117</v>
      </c>
      <c r="S849" t="s">
        <v>121</v>
      </c>
      <c r="AI849" t="s">
        <v>149</v>
      </c>
      <c r="AL849" t="s">
        <v>132</v>
      </c>
      <c r="AM849" t="s">
        <v>196</v>
      </c>
      <c r="AS849" t="s">
        <v>135</v>
      </c>
      <c r="BG849">
        <v>80</v>
      </c>
      <c r="BM849" t="s">
        <v>137</v>
      </c>
      <c r="BN849">
        <v>0</v>
      </c>
      <c r="BP849" t="s">
        <v>181</v>
      </c>
    </row>
    <row r="850" spans="1:110" x14ac:dyDescent="0.2">
      <c r="A850" t="s">
        <v>111</v>
      </c>
      <c r="B850" t="b">
        <v>1</v>
      </c>
      <c r="E850">
        <v>1003</v>
      </c>
      <c r="F850" t="str">
        <f>HYPERLINK("https://portal.dnb.de/opac.htm?method=simpleSearch&amp;cqlMode=true&amp;query=idn%3D998469998", "Portal")</f>
        <v>Portal</v>
      </c>
      <c r="G850" t="s">
        <v>112</v>
      </c>
      <c r="H850" t="s">
        <v>3751</v>
      </c>
      <c r="I850" t="s">
        <v>3752</v>
      </c>
      <c r="J850" t="s">
        <v>3753</v>
      </c>
      <c r="K850" t="s">
        <v>3753</v>
      </c>
      <c r="L850" t="s">
        <v>3753</v>
      </c>
      <c r="N850" t="s">
        <v>3754</v>
      </c>
      <c r="O850" t="s">
        <v>117</v>
      </c>
      <c r="S850" t="s">
        <v>121</v>
      </c>
      <c r="AI850" t="s">
        <v>365</v>
      </c>
      <c r="AL850" t="s">
        <v>132</v>
      </c>
      <c r="AM850" t="s">
        <v>179</v>
      </c>
      <c r="AS850" t="s">
        <v>135</v>
      </c>
      <c r="BG850" t="s">
        <v>793</v>
      </c>
      <c r="BM850" t="s">
        <v>137</v>
      </c>
      <c r="BN850">
        <v>0</v>
      </c>
      <c r="BP850" t="s">
        <v>181</v>
      </c>
    </row>
    <row r="851" spans="1:110" x14ac:dyDescent="0.2">
      <c r="A851" t="s">
        <v>111</v>
      </c>
      <c r="B851" t="b">
        <v>1</v>
      </c>
      <c r="E851">
        <v>1004</v>
      </c>
      <c r="F851" t="str">
        <f>HYPERLINK("https://portal.dnb.de/opac.htm?method=simpleSearch&amp;cqlMode=true&amp;query=idn%3D999810626", "Portal")</f>
        <v>Portal</v>
      </c>
      <c r="G851" t="s">
        <v>542</v>
      </c>
      <c r="H851" t="s">
        <v>3755</v>
      </c>
      <c r="I851" t="s">
        <v>3756</v>
      </c>
      <c r="J851" t="s">
        <v>3757</v>
      </c>
      <c r="K851" t="s">
        <v>3757</v>
      </c>
      <c r="L851" t="s">
        <v>3758</v>
      </c>
      <c r="N851" t="s">
        <v>3759</v>
      </c>
      <c r="O851" t="s">
        <v>3760</v>
      </c>
      <c r="Q851" t="s">
        <v>3761</v>
      </c>
      <c r="S851" t="s">
        <v>121</v>
      </c>
      <c r="AI851" t="s">
        <v>133</v>
      </c>
      <c r="AL851" t="s">
        <v>132</v>
      </c>
      <c r="AM851" t="s">
        <v>196</v>
      </c>
      <c r="AS851" t="s">
        <v>135</v>
      </c>
      <c r="BG851">
        <v>45</v>
      </c>
      <c r="BM851" t="s">
        <v>137</v>
      </c>
      <c r="BN851">
        <v>0</v>
      </c>
      <c r="BP851" t="s">
        <v>181</v>
      </c>
    </row>
    <row r="852" spans="1:110" x14ac:dyDescent="0.2">
      <c r="A852" t="s">
        <v>111</v>
      </c>
      <c r="B852" t="b">
        <v>1</v>
      </c>
      <c r="C852" t="s">
        <v>132</v>
      </c>
      <c r="E852">
        <v>1005</v>
      </c>
      <c r="F852" t="str">
        <f>HYPERLINK("https://portal.dnb.de/opac.htm?method=simpleSearch&amp;cqlMode=true&amp;query=idn%3D1066773343", "Portal")</f>
        <v>Portal</v>
      </c>
      <c r="G852" t="s">
        <v>970</v>
      </c>
      <c r="H852" t="s">
        <v>3762</v>
      </c>
      <c r="I852" t="s">
        <v>3763</v>
      </c>
      <c r="J852" t="s">
        <v>3764</v>
      </c>
      <c r="K852" t="s">
        <v>3764</v>
      </c>
      <c r="L852" t="s">
        <v>3764</v>
      </c>
      <c r="N852" t="s">
        <v>3765</v>
      </c>
      <c r="O852" t="s">
        <v>3766</v>
      </c>
      <c r="S852" t="s">
        <v>121</v>
      </c>
      <c r="AI852" t="s">
        <v>133</v>
      </c>
      <c r="AM852" t="s">
        <v>196</v>
      </c>
      <c r="AS852" t="s">
        <v>135</v>
      </c>
      <c r="BG852">
        <v>45</v>
      </c>
      <c r="BM852" t="s">
        <v>180</v>
      </c>
      <c r="BN852">
        <v>2.5</v>
      </c>
      <c r="BP852" t="s">
        <v>612</v>
      </c>
      <c r="CA852" t="s">
        <v>132</v>
      </c>
      <c r="CB852" t="s">
        <v>132</v>
      </c>
      <c r="CD852" t="s">
        <v>150</v>
      </c>
      <c r="CI852" t="s">
        <v>132</v>
      </c>
      <c r="CM852">
        <v>1.5</v>
      </c>
      <c r="CN852" t="s">
        <v>3767</v>
      </c>
      <c r="CS852" t="s">
        <v>132</v>
      </c>
      <c r="DF852">
        <v>1</v>
      </c>
    </row>
    <row r="853" spans="1:110" x14ac:dyDescent="0.2">
      <c r="A853" t="s">
        <v>111</v>
      </c>
      <c r="B853" t="b">
        <v>1</v>
      </c>
      <c r="E853">
        <v>1006</v>
      </c>
      <c r="F853" t="str">
        <f>HYPERLINK("https://portal.dnb.de/opac.htm?method=simpleSearch&amp;cqlMode=true&amp;query=idn%3D998827878", "Portal")</f>
        <v>Portal</v>
      </c>
      <c r="G853" t="s">
        <v>112</v>
      </c>
      <c r="H853" t="s">
        <v>3768</v>
      </c>
      <c r="I853" t="s">
        <v>3769</v>
      </c>
      <c r="J853" t="s">
        <v>3770</v>
      </c>
      <c r="K853" t="s">
        <v>3770</v>
      </c>
      <c r="L853" t="s">
        <v>3770</v>
      </c>
      <c r="N853" t="s">
        <v>3771</v>
      </c>
      <c r="O853" t="s">
        <v>117</v>
      </c>
      <c r="S853" t="s">
        <v>121</v>
      </c>
      <c r="AI853" t="s">
        <v>646</v>
      </c>
      <c r="AJ853" t="s">
        <v>3772</v>
      </c>
      <c r="AM853" t="s">
        <v>150</v>
      </c>
      <c r="AS853" t="s">
        <v>135</v>
      </c>
      <c r="BG853" t="s">
        <v>1223</v>
      </c>
      <c r="BM853" t="s">
        <v>137</v>
      </c>
      <c r="BN853">
        <v>0</v>
      </c>
      <c r="BP853" t="s">
        <v>181</v>
      </c>
    </row>
    <row r="854" spans="1:110" x14ac:dyDescent="0.2">
      <c r="A854" t="s">
        <v>111</v>
      </c>
      <c r="B854" t="b">
        <v>1</v>
      </c>
      <c r="C854" t="s">
        <v>132</v>
      </c>
      <c r="E854">
        <v>953</v>
      </c>
      <c r="F854" t="str">
        <f>HYPERLINK("https://portal.dnb.de/opac.htm?method=simpleSearch&amp;cqlMode=true&amp;query=idn%3D994539819", "Portal")</f>
        <v>Portal</v>
      </c>
      <c r="G854" t="s">
        <v>542</v>
      </c>
      <c r="H854" t="s">
        <v>3773</v>
      </c>
      <c r="I854" t="s">
        <v>3774</v>
      </c>
      <c r="J854" t="s">
        <v>3775</v>
      </c>
      <c r="K854" t="s">
        <v>3775</v>
      </c>
      <c r="L854" t="s">
        <v>3776</v>
      </c>
      <c r="N854" t="s">
        <v>3777</v>
      </c>
      <c r="O854" t="s">
        <v>3778</v>
      </c>
      <c r="S854" t="s">
        <v>121</v>
      </c>
      <c r="AI854" t="s">
        <v>149</v>
      </c>
      <c r="AL854" t="s">
        <v>132</v>
      </c>
      <c r="AM854" t="s">
        <v>179</v>
      </c>
      <c r="AS854" t="s">
        <v>135</v>
      </c>
      <c r="BG854">
        <v>45</v>
      </c>
      <c r="BM854" t="s">
        <v>180</v>
      </c>
      <c r="BN854">
        <v>2.5</v>
      </c>
      <c r="BP854" t="s">
        <v>181</v>
      </c>
      <c r="CA854" t="s">
        <v>132</v>
      </c>
      <c r="CB854" t="s">
        <v>132</v>
      </c>
      <c r="CD854" t="s">
        <v>204</v>
      </c>
      <c r="CL854" t="s">
        <v>132</v>
      </c>
      <c r="CM854">
        <v>2.5</v>
      </c>
      <c r="CN854" t="s">
        <v>3779</v>
      </c>
    </row>
    <row r="855" spans="1:110" x14ac:dyDescent="0.2">
      <c r="A855" t="s">
        <v>111</v>
      </c>
      <c r="B855" t="b">
        <v>1</v>
      </c>
      <c r="E855">
        <v>951</v>
      </c>
      <c r="F855" t="str">
        <f>HYPERLINK("https://portal.dnb.de/opac.htm?method=simpleSearch&amp;cqlMode=true&amp;query=idn%3D994539827", "Portal")</f>
        <v>Portal</v>
      </c>
      <c r="G855" t="s">
        <v>542</v>
      </c>
      <c r="H855" t="s">
        <v>3780</v>
      </c>
      <c r="I855" t="s">
        <v>3781</v>
      </c>
      <c r="J855" t="s">
        <v>3775</v>
      </c>
      <c r="K855" t="s">
        <v>3775</v>
      </c>
      <c r="L855" t="s">
        <v>3782</v>
      </c>
      <c r="N855" t="s">
        <v>3777</v>
      </c>
      <c r="O855" t="s">
        <v>3783</v>
      </c>
      <c r="S855" t="s">
        <v>121</v>
      </c>
      <c r="AI855" t="s">
        <v>133</v>
      </c>
      <c r="AL855" t="s">
        <v>132</v>
      </c>
      <c r="AM855" t="s">
        <v>134</v>
      </c>
      <c r="AS855" t="s">
        <v>135</v>
      </c>
      <c r="BG855">
        <v>110</v>
      </c>
      <c r="BM855" t="s">
        <v>137</v>
      </c>
      <c r="BN855">
        <v>0</v>
      </c>
      <c r="BQ855" t="s">
        <v>132</v>
      </c>
    </row>
    <row r="856" spans="1:110" x14ac:dyDescent="0.2">
      <c r="A856" t="s">
        <v>111</v>
      </c>
      <c r="B856" t="b">
        <v>1</v>
      </c>
      <c r="E856">
        <v>952</v>
      </c>
      <c r="F856" t="str">
        <f>HYPERLINK("https://portal.dnb.de/opac.htm?method=simpleSearch&amp;cqlMode=true&amp;query=idn%3D994539835", "Portal")</f>
        <v>Portal</v>
      </c>
      <c r="G856" t="s">
        <v>542</v>
      </c>
      <c r="H856" t="s">
        <v>3784</v>
      </c>
      <c r="I856" t="s">
        <v>3785</v>
      </c>
      <c r="J856" t="s">
        <v>3775</v>
      </c>
      <c r="K856" t="s">
        <v>3775</v>
      </c>
      <c r="L856" t="s">
        <v>3786</v>
      </c>
      <c r="N856" t="s">
        <v>3777</v>
      </c>
      <c r="O856" t="s">
        <v>3787</v>
      </c>
      <c r="S856" t="s">
        <v>121</v>
      </c>
      <c r="AI856" t="s">
        <v>133</v>
      </c>
      <c r="AL856" t="s">
        <v>132</v>
      </c>
      <c r="AM856" t="s">
        <v>196</v>
      </c>
      <c r="AS856" t="s">
        <v>135</v>
      </c>
      <c r="BE856">
        <v>4</v>
      </c>
      <c r="BF856" t="s">
        <v>132</v>
      </c>
      <c r="BG856">
        <v>60</v>
      </c>
      <c r="BM856" t="s">
        <v>137</v>
      </c>
      <c r="BN856">
        <v>0</v>
      </c>
      <c r="BP856" t="s">
        <v>181</v>
      </c>
    </row>
    <row r="857" spans="1:110" x14ac:dyDescent="0.2">
      <c r="A857" t="s">
        <v>111</v>
      </c>
      <c r="B857" t="b">
        <v>1</v>
      </c>
      <c r="C857" t="s">
        <v>132</v>
      </c>
      <c r="E857">
        <v>1009</v>
      </c>
      <c r="F857" t="str">
        <f>HYPERLINK("https://portal.dnb.de/opac.htm?method=simpleSearch&amp;cqlMode=true&amp;query=idn%3D994539851", "Portal")</f>
        <v>Portal</v>
      </c>
      <c r="G857" t="s">
        <v>542</v>
      </c>
      <c r="H857" t="s">
        <v>3788</v>
      </c>
      <c r="I857" t="s">
        <v>3789</v>
      </c>
      <c r="J857" t="s">
        <v>3790</v>
      </c>
      <c r="K857" t="s">
        <v>3790</v>
      </c>
      <c r="L857" t="s">
        <v>3791</v>
      </c>
      <c r="N857" t="s">
        <v>3777</v>
      </c>
      <c r="O857" t="s">
        <v>3792</v>
      </c>
      <c r="Q857" t="s">
        <v>541</v>
      </c>
      <c r="S857" t="s">
        <v>121</v>
      </c>
      <c r="AI857" t="s">
        <v>133</v>
      </c>
      <c r="AM857" t="s">
        <v>179</v>
      </c>
      <c r="AS857" t="s">
        <v>135</v>
      </c>
      <c r="BG857">
        <v>45</v>
      </c>
      <c r="BM857" t="s">
        <v>180</v>
      </c>
      <c r="BN857">
        <v>2.5</v>
      </c>
      <c r="BP857" t="s">
        <v>181</v>
      </c>
      <c r="CA857" t="s">
        <v>132</v>
      </c>
      <c r="CB857" t="s">
        <v>132</v>
      </c>
      <c r="CL857" t="s">
        <v>3223</v>
      </c>
      <c r="CM857">
        <v>2.5</v>
      </c>
    </row>
    <row r="858" spans="1:110" x14ac:dyDescent="0.2">
      <c r="A858" t="s">
        <v>111</v>
      </c>
      <c r="B858" t="b">
        <v>1</v>
      </c>
      <c r="E858">
        <v>1010</v>
      </c>
      <c r="F858" t="str">
        <f>HYPERLINK("https://portal.dnb.de/opac.htm?method=simpleSearch&amp;cqlMode=true&amp;query=idn%3D1066858225", "Portal")</f>
        <v>Portal</v>
      </c>
      <c r="G858" t="s">
        <v>125</v>
      </c>
      <c r="H858" t="s">
        <v>3793</v>
      </c>
      <c r="I858" t="s">
        <v>3794</v>
      </c>
      <c r="J858" t="s">
        <v>3795</v>
      </c>
      <c r="K858" t="s">
        <v>3795</v>
      </c>
      <c r="L858" t="s">
        <v>3795</v>
      </c>
      <c r="N858" t="s">
        <v>3796</v>
      </c>
      <c r="O858" t="s">
        <v>117</v>
      </c>
      <c r="Q858" t="s">
        <v>119</v>
      </c>
      <c r="S858" t="s">
        <v>121</v>
      </c>
      <c r="AI858" t="s">
        <v>133</v>
      </c>
      <c r="AM858" t="s">
        <v>179</v>
      </c>
      <c r="AS858" t="s">
        <v>135</v>
      </c>
      <c r="BG858">
        <v>45</v>
      </c>
      <c r="BM858" t="s">
        <v>137</v>
      </c>
      <c r="BN858">
        <v>0</v>
      </c>
      <c r="BP858" t="s">
        <v>181</v>
      </c>
    </row>
    <row r="859" spans="1:110" x14ac:dyDescent="0.2">
      <c r="A859" t="s">
        <v>111</v>
      </c>
      <c r="B859" t="b">
        <v>1</v>
      </c>
      <c r="E859">
        <v>954</v>
      </c>
      <c r="F859" t="str">
        <f>HYPERLINK("https://portal.dnb.de/opac.htm?method=simpleSearch&amp;cqlMode=true&amp;query=idn%3D106685968X", "Portal")</f>
        <v>Portal</v>
      </c>
      <c r="G859" t="s">
        <v>125</v>
      </c>
      <c r="H859" t="s">
        <v>3797</v>
      </c>
      <c r="I859" t="s">
        <v>3798</v>
      </c>
      <c r="J859" t="s">
        <v>3799</v>
      </c>
      <c r="K859" t="s">
        <v>3799</v>
      </c>
      <c r="L859" t="s">
        <v>3799</v>
      </c>
      <c r="N859" t="s">
        <v>3800</v>
      </c>
      <c r="O859" t="s">
        <v>117</v>
      </c>
      <c r="S859" t="s">
        <v>146</v>
      </c>
      <c r="AI859" t="s">
        <v>133</v>
      </c>
      <c r="AK859" t="s">
        <v>132</v>
      </c>
      <c r="AM859" t="s">
        <v>150</v>
      </c>
      <c r="AP859" t="s">
        <v>132</v>
      </c>
      <c r="AS859" t="s">
        <v>135</v>
      </c>
      <c r="BG859">
        <v>110</v>
      </c>
      <c r="BM859" t="s">
        <v>137</v>
      </c>
      <c r="BN859">
        <v>0</v>
      </c>
      <c r="BY859" t="s">
        <v>3801</v>
      </c>
    </row>
    <row r="860" spans="1:110" x14ac:dyDescent="0.2">
      <c r="A860" t="s">
        <v>111</v>
      </c>
      <c r="B860" t="b">
        <v>1</v>
      </c>
      <c r="E860">
        <v>1012</v>
      </c>
      <c r="F860" t="str">
        <f>HYPERLINK("https://portal.dnb.de/opac.htm?method=simpleSearch&amp;cqlMode=true&amp;query=idn%3D999751190", "Portal")</f>
        <v>Portal</v>
      </c>
      <c r="G860" t="s">
        <v>112</v>
      </c>
      <c r="H860" t="s">
        <v>3802</v>
      </c>
      <c r="I860" t="s">
        <v>3803</v>
      </c>
      <c r="J860" t="s">
        <v>3804</v>
      </c>
      <c r="K860" t="s">
        <v>3804</v>
      </c>
      <c r="L860" t="s">
        <v>3804</v>
      </c>
      <c r="M860" t="s">
        <v>3805</v>
      </c>
      <c r="N860" t="s">
        <v>3806</v>
      </c>
      <c r="O860" t="s">
        <v>117</v>
      </c>
      <c r="BN860">
        <v>0</v>
      </c>
    </row>
    <row r="861" spans="1:110" x14ac:dyDescent="0.2">
      <c r="A861" t="s">
        <v>111</v>
      </c>
      <c r="B861" t="b">
        <v>1</v>
      </c>
      <c r="E861">
        <v>1013</v>
      </c>
      <c r="F861" t="str">
        <f>HYPERLINK("https://portal.dnb.de/opac.htm?method=simpleSearch&amp;cqlMode=true&amp;query=idn%3D994727151", "Portal")</f>
        <v>Portal</v>
      </c>
      <c r="G861" t="s">
        <v>542</v>
      </c>
      <c r="H861" t="s">
        <v>3807</v>
      </c>
      <c r="I861" t="s">
        <v>3808</v>
      </c>
      <c r="J861" t="s">
        <v>3809</v>
      </c>
      <c r="K861" t="s">
        <v>3809</v>
      </c>
      <c r="L861" t="s">
        <v>3809</v>
      </c>
      <c r="N861" t="s">
        <v>3810</v>
      </c>
      <c r="O861" t="s">
        <v>3811</v>
      </c>
      <c r="S861" t="s">
        <v>121</v>
      </c>
      <c r="AI861" t="s">
        <v>646</v>
      </c>
      <c r="AJ861" t="s">
        <v>3812</v>
      </c>
      <c r="AM861" t="s">
        <v>150</v>
      </c>
      <c r="AS861" t="s">
        <v>135</v>
      </c>
      <c r="BG861" t="s">
        <v>1223</v>
      </c>
      <c r="BM861" t="s">
        <v>137</v>
      </c>
      <c r="BN861">
        <v>0</v>
      </c>
      <c r="BP861" t="s">
        <v>181</v>
      </c>
    </row>
    <row r="862" spans="1:110" x14ac:dyDescent="0.2">
      <c r="A862" t="s">
        <v>111</v>
      </c>
      <c r="B862" t="b">
        <v>1</v>
      </c>
      <c r="C862" t="s">
        <v>132</v>
      </c>
      <c r="E862">
        <v>955</v>
      </c>
      <c r="F862" t="str">
        <f>HYPERLINK("https://portal.dnb.de/opac.htm?method=simpleSearch&amp;cqlMode=true&amp;query=idn%3D1066858470", "Portal")</f>
        <v>Portal</v>
      </c>
      <c r="G862" t="s">
        <v>125</v>
      </c>
      <c r="H862" t="s">
        <v>3813</v>
      </c>
      <c r="I862" t="s">
        <v>3814</v>
      </c>
      <c r="J862" t="s">
        <v>3815</v>
      </c>
      <c r="K862" t="s">
        <v>3815</v>
      </c>
      <c r="L862" t="s">
        <v>3815</v>
      </c>
      <c r="N862" t="s">
        <v>3816</v>
      </c>
      <c r="O862" t="s">
        <v>117</v>
      </c>
      <c r="S862" t="s">
        <v>146</v>
      </c>
      <c r="AI862" t="s">
        <v>365</v>
      </c>
      <c r="AK862" t="s">
        <v>132</v>
      </c>
      <c r="AM862" t="s">
        <v>134</v>
      </c>
      <c r="AS862" t="s">
        <v>135</v>
      </c>
      <c r="BE862">
        <v>4</v>
      </c>
      <c r="BF862" t="s">
        <v>132</v>
      </c>
      <c r="BG862">
        <v>45</v>
      </c>
      <c r="BI862" t="s">
        <v>132</v>
      </c>
      <c r="BJ862" t="s">
        <v>3817</v>
      </c>
      <c r="BM862" t="s">
        <v>180</v>
      </c>
      <c r="BN862">
        <v>1.5</v>
      </c>
      <c r="BR862" t="s">
        <v>132</v>
      </c>
      <c r="BV862" t="s">
        <v>3818</v>
      </c>
      <c r="CZ862" t="s">
        <v>132</v>
      </c>
      <c r="DF862">
        <v>1.5</v>
      </c>
    </row>
    <row r="863" spans="1:110" x14ac:dyDescent="0.2">
      <c r="A863" t="s">
        <v>111</v>
      </c>
      <c r="B863" t="b">
        <v>1</v>
      </c>
      <c r="C863" t="s">
        <v>132</v>
      </c>
      <c r="E863">
        <v>956</v>
      </c>
      <c r="F863" t="str">
        <f>HYPERLINK("https://portal.dnb.de/opac.htm?method=simpleSearch&amp;cqlMode=true&amp;query=idn%3D1066936404", "Portal")</f>
        <v>Portal</v>
      </c>
      <c r="G863" t="s">
        <v>125</v>
      </c>
      <c r="H863" t="s">
        <v>3819</v>
      </c>
      <c r="I863" t="s">
        <v>3820</v>
      </c>
      <c r="J863" t="s">
        <v>3821</v>
      </c>
      <c r="K863" t="s">
        <v>3821</v>
      </c>
      <c r="L863" t="s">
        <v>3821</v>
      </c>
      <c r="M863" t="s">
        <v>3822</v>
      </c>
      <c r="N863" t="s">
        <v>3823</v>
      </c>
      <c r="O863" t="s">
        <v>117</v>
      </c>
      <c r="S863" t="s">
        <v>146</v>
      </c>
      <c r="AI863" t="s">
        <v>149</v>
      </c>
      <c r="AK863" t="s">
        <v>132</v>
      </c>
      <c r="AM863" t="s">
        <v>179</v>
      </c>
      <c r="AS863" t="s">
        <v>135</v>
      </c>
      <c r="BG863" t="s">
        <v>1223</v>
      </c>
      <c r="BM863" t="s">
        <v>180</v>
      </c>
      <c r="BN863">
        <v>1</v>
      </c>
      <c r="BR863" t="s">
        <v>132</v>
      </c>
      <c r="BW863" t="s">
        <v>1746</v>
      </c>
      <c r="CA863" t="s">
        <v>132</v>
      </c>
      <c r="CB863" t="s">
        <v>132</v>
      </c>
      <c r="CC863" t="s">
        <v>132</v>
      </c>
      <c r="CD863" t="s">
        <v>184</v>
      </c>
      <c r="CM863">
        <v>1</v>
      </c>
      <c r="CN863" t="s">
        <v>3824</v>
      </c>
    </row>
    <row r="864" spans="1:110" x14ac:dyDescent="0.2">
      <c r="A864" t="s">
        <v>111</v>
      </c>
      <c r="B864" t="b">
        <v>1</v>
      </c>
      <c r="E864">
        <v>957</v>
      </c>
      <c r="F864" t="str">
        <f>HYPERLINK("https://portal.dnb.de/opac.htm?method=simpleSearch&amp;cqlMode=true&amp;query=idn%3D1066925402", "Portal")</f>
        <v>Portal</v>
      </c>
      <c r="G864" t="s">
        <v>125</v>
      </c>
      <c r="H864" t="s">
        <v>3825</v>
      </c>
      <c r="I864" t="s">
        <v>3826</v>
      </c>
      <c r="J864" t="s">
        <v>3827</v>
      </c>
      <c r="K864" t="s">
        <v>3827</v>
      </c>
      <c r="L864" t="s">
        <v>3827</v>
      </c>
      <c r="N864" t="s">
        <v>3828</v>
      </c>
      <c r="O864" t="s">
        <v>117</v>
      </c>
      <c r="S864" t="s">
        <v>146</v>
      </c>
      <c r="AI864" t="s">
        <v>133</v>
      </c>
      <c r="AK864" t="s">
        <v>132</v>
      </c>
      <c r="AM864" t="s">
        <v>196</v>
      </c>
      <c r="AS864" t="s">
        <v>135</v>
      </c>
      <c r="BG864">
        <v>110</v>
      </c>
      <c r="BM864" t="s">
        <v>137</v>
      </c>
      <c r="BN864">
        <v>0</v>
      </c>
      <c r="BR864" t="s">
        <v>132</v>
      </c>
    </row>
    <row r="865" spans="1:110" x14ac:dyDescent="0.2">
      <c r="A865" t="s">
        <v>111</v>
      </c>
      <c r="B865" t="b">
        <v>0</v>
      </c>
      <c r="E865">
        <v>958</v>
      </c>
      <c r="F865" t="str">
        <f>HYPERLINK("https://portal.dnb.de/opac.htm?method=simpleSearch&amp;cqlMode=true&amp;query=idn%3D1066840776", "Portal")</f>
        <v>Portal</v>
      </c>
      <c r="H865" t="s">
        <v>3829</v>
      </c>
      <c r="I865" t="s">
        <v>3830</v>
      </c>
      <c r="L865" t="s">
        <v>3831</v>
      </c>
      <c r="AD865" t="s">
        <v>489</v>
      </c>
      <c r="BN865">
        <v>0</v>
      </c>
    </row>
    <row r="866" spans="1:110" x14ac:dyDescent="0.2">
      <c r="A866" t="s">
        <v>111</v>
      </c>
      <c r="B866" t="b">
        <v>1</v>
      </c>
      <c r="C866" t="s">
        <v>132</v>
      </c>
      <c r="E866">
        <v>959</v>
      </c>
      <c r="F866" t="str">
        <f>HYPERLINK("https://portal.dnb.de/opac.htm?method=simpleSearch&amp;cqlMode=true&amp;query=idn%3D1132652952", "Portal")</f>
        <v>Portal</v>
      </c>
      <c r="G866" t="s">
        <v>970</v>
      </c>
      <c r="H866" t="s">
        <v>3832</v>
      </c>
      <c r="I866" t="s">
        <v>3833</v>
      </c>
      <c r="J866" t="s">
        <v>3834</v>
      </c>
      <c r="K866" t="s">
        <v>3834</v>
      </c>
      <c r="L866" t="s">
        <v>3834</v>
      </c>
      <c r="N866" t="s">
        <v>3835</v>
      </c>
      <c r="O866" t="s">
        <v>3836</v>
      </c>
      <c r="S866" t="s">
        <v>146</v>
      </c>
      <c r="AI866" t="s">
        <v>133</v>
      </c>
      <c r="AM866" t="s">
        <v>196</v>
      </c>
      <c r="AS866" t="s">
        <v>135</v>
      </c>
      <c r="BE866">
        <v>0</v>
      </c>
      <c r="BF866" t="s">
        <v>132</v>
      </c>
      <c r="BG866">
        <v>110</v>
      </c>
      <c r="BM866" t="s">
        <v>180</v>
      </c>
      <c r="BN866">
        <v>7</v>
      </c>
      <c r="BV866" t="s">
        <v>3837</v>
      </c>
      <c r="BY866" t="s">
        <v>3838</v>
      </c>
      <c r="CA866" t="s">
        <v>132</v>
      </c>
      <c r="CB866" t="s">
        <v>132</v>
      </c>
      <c r="CD866" t="s">
        <v>204</v>
      </c>
      <c r="CM866">
        <v>3</v>
      </c>
      <c r="CS866" t="s">
        <v>132</v>
      </c>
      <c r="CT866" t="s">
        <v>132</v>
      </c>
      <c r="CV866" t="s">
        <v>132</v>
      </c>
      <c r="DF866">
        <v>4</v>
      </c>
    </row>
    <row r="867" spans="1:110" x14ac:dyDescent="0.2">
      <c r="A867" t="s">
        <v>111</v>
      </c>
      <c r="B867" t="b">
        <v>1</v>
      </c>
      <c r="E867">
        <v>960</v>
      </c>
      <c r="F867" t="str">
        <f>HYPERLINK("https://portal.dnb.de/opac.htm?method=simpleSearch&amp;cqlMode=true&amp;query=idn%3D99400091X", "Portal")</f>
        <v>Portal</v>
      </c>
      <c r="G867" t="s">
        <v>112</v>
      </c>
      <c r="H867" t="s">
        <v>3839</v>
      </c>
      <c r="I867" t="s">
        <v>3840</v>
      </c>
      <c r="J867" t="s">
        <v>3841</v>
      </c>
      <c r="K867" t="s">
        <v>3841</v>
      </c>
      <c r="L867" t="s">
        <v>3841</v>
      </c>
      <c r="N867" t="s">
        <v>3842</v>
      </c>
      <c r="O867" t="s">
        <v>117</v>
      </c>
      <c r="S867" t="s">
        <v>121</v>
      </c>
      <c r="AI867" t="s">
        <v>792</v>
      </c>
      <c r="AM867" t="s">
        <v>150</v>
      </c>
      <c r="AS867" t="s">
        <v>135</v>
      </c>
      <c r="BE867">
        <v>2</v>
      </c>
      <c r="BG867">
        <v>110</v>
      </c>
      <c r="BM867" t="s">
        <v>137</v>
      </c>
      <c r="BN867">
        <v>0</v>
      </c>
    </row>
    <row r="868" spans="1:110" x14ac:dyDescent="0.2">
      <c r="A868" t="s">
        <v>111</v>
      </c>
      <c r="B868" t="b">
        <v>1</v>
      </c>
      <c r="E868">
        <v>961</v>
      </c>
      <c r="F868" t="str">
        <f>HYPERLINK("https://portal.dnb.de/opac.htm?method=simpleSearch&amp;cqlMode=true&amp;query=idn%3D1066935548", "Portal")</f>
        <v>Portal</v>
      </c>
      <c r="G868" t="s">
        <v>125</v>
      </c>
      <c r="H868" t="s">
        <v>3843</v>
      </c>
      <c r="I868" t="s">
        <v>3844</v>
      </c>
      <c r="J868" t="s">
        <v>3845</v>
      </c>
      <c r="K868" t="s">
        <v>3845</v>
      </c>
      <c r="L868" t="s">
        <v>3845</v>
      </c>
      <c r="N868" t="s">
        <v>3846</v>
      </c>
      <c r="O868" t="s">
        <v>117</v>
      </c>
      <c r="S868" t="s">
        <v>121</v>
      </c>
      <c r="AI868" t="s">
        <v>135</v>
      </c>
      <c r="AM868" t="s">
        <v>150</v>
      </c>
      <c r="AS868" t="s">
        <v>135</v>
      </c>
      <c r="BG868">
        <v>110</v>
      </c>
      <c r="BM868" t="s">
        <v>137</v>
      </c>
      <c r="BN868">
        <v>0</v>
      </c>
    </row>
    <row r="869" spans="1:110" x14ac:dyDescent="0.2">
      <c r="A869" t="s">
        <v>111</v>
      </c>
      <c r="B869" t="b">
        <v>1</v>
      </c>
      <c r="F869" t="str">
        <f>HYPERLINK("https://portal.dnb.de/opac.htm?method=simpleSearch&amp;cqlMode=true&amp;query=idn%3D113796636X", "Portal")</f>
        <v>Portal</v>
      </c>
      <c r="G869" t="s">
        <v>319</v>
      </c>
      <c r="H869" t="s">
        <v>3847</v>
      </c>
      <c r="I869" t="s">
        <v>3848</v>
      </c>
      <c r="J869" t="s">
        <v>3849</v>
      </c>
      <c r="K869" t="s">
        <v>3849</v>
      </c>
      <c r="L869" t="s">
        <v>3849</v>
      </c>
      <c r="N869" t="s">
        <v>3850</v>
      </c>
      <c r="O869" t="s">
        <v>117</v>
      </c>
      <c r="S869" t="s">
        <v>121</v>
      </c>
      <c r="AI869" t="s">
        <v>325</v>
      </c>
      <c r="AM869" t="s">
        <v>134</v>
      </c>
      <c r="AS869" t="s">
        <v>135</v>
      </c>
      <c r="BG869">
        <v>110</v>
      </c>
      <c r="BM869" t="s">
        <v>137</v>
      </c>
      <c r="BN869">
        <v>0</v>
      </c>
    </row>
    <row r="870" spans="1:110" x14ac:dyDescent="0.2">
      <c r="A870" t="s">
        <v>111</v>
      </c>
      <c r="B870" t="b">
        <v>1</v>
      </c>
      <c r="E870">
        <v>963</v>
      </c>
      <c r="F870" t="str">
        <f>HYPERLINK("https://portal.dnb.de/opac.htm?method=simpleSearch&amp;cqlMode=true&amp;query=idn%3D1066840946", "Portal")</f>
        <v>Portal</v>
      </c>
      <c r="G870" t="s">
        <v>125</v>
      </c>
      <c r="H870" t="s">
        <v>3851</v>
      </c>
      <c r="I870" t="s">
        <v>3852</v>
      </c>
      <c r="J870" t="s">
        <v>3853</v>
      </c>
      <c r="K870" t="s">
        <v>3853</v>
      </c>
      <c r="L870" t="s">
        <v>3853</v>
      </c>
      <c r="M870" t="s">
        <v>3822</v>
      </c>
      <c r="N870" t="s">
        <v>3854</v>
      </c>
      <c r="O870" t="s">
        <v>117</v>
      </c>
      <c r="S870" t="s">
        <v>470</v>
      </c>
      <c r="AI870" t="s">
        <v>149</v>
      </c>
      <c r="AL870" t="s">
        <v>132</v>
      </c>
      <c r="AM870" t="s">
        <v>196</v>
      </c>
      <c r="AS870" t="s">
        <v>135</v>
      </c>
      <c r="BC870" t="s">
        <v>1768</v>
      </c>
      <c r="BD870" t="s">
        <v>132</v>
      </c>
      <c r="BG870">
        <v>110</v>
      </c>
      <c r="BM870" t="s">
        <v>137</v>
      </c>
      <c r="BN870">
        <v>0</v>
      </c>
      <c r="BP870" t="s">
        <v>181</v>
      </c>
      <c r="BV870" t="s">
        <v>3855</v>
      </c>
      <c r="BW870" t="s">
        <v>152</v>
      </c>
    </row>
    <row r="871" spans="1:110" x14ac:dyDescent="0.2">
      <c r="A871" t="s">
        <v>111</v>
      </c>
      <c r="B871" t="b">
        <v>1</v>
      </c>
      <c r="E871">
        <v>964</v>
      </c>
      <c r="F871" t="str">
        <f>HYPERLINK("https://portal.dnb.de/opac.htm?method=simpleSearch&amp;cqlMode=true&amp;query=idn%3D1066937532", "Portal")</f>
        <v>Portal</v>
      </c>
      <c r="G871" t="s">
        <v>125</v>
      </c>
      <c r="H871" t="s">
        <v>3856</v>
      </c>
      <c r="I871" t="s">
        <v>3857</v>
      </c>
      <c r="J871" t="s">
        <v>3858</v>
      </c>
      <c r="K871" t="s">
        <v>3858</v>
      </c>
      <c r="L871" t="s">
        <v>3858</v>
      </c>
      <c r="N871" t="s">
        <v>3859</v>
      </c>
      <c r="O871" t="s">
        <v>117</v>
      </c>
      <c r="S871" t="s">
        <v>121</v>
      </c>
      <c r="AI871" t="s">
        <v>325</v>
      </c>
      <c r="AK871" t="s">
        <v>132</v>
      </c>
      <c r="AM871" t="s">
        <v>134</v>
      </c>
      <c r="AS871" t="s">
        <v>135</v>
      </c>
      <c r="AT871" t="s">
        <v>132</v>
      </c>
      <c r="BG871">
        <v>110</v>
      </c>
      <c r="BM871" t="s">
        <v>137</v>
      </c>
      <c r="BN871">
        <v>0</v>
      </c>
    </row>
    <row r="872" spans="1:110" x14ac:dyDescent="0.2">
      <c r="A872" t="s">
        <v>111</v>
      </c>
      <c r="B872" t="b">
        <v>1</v>
      </c>
      <c r="E872">
        <v>999</v>
      </c>
      <c r="F872" t="str">
        <f>HYPERLINK("https://portal.dnb.de/opac.htm?method=simpleSearch&amp;cqlMode=true&amp;query=idn%3D994259441", "Portal")</f>
        <v>Portal</v>
      </c>
      <c r="G872" t="s">
        <v>112</v>
      </c>
      <c r="H872" t="s">
        <v>3860</v>
      </c>
      <c r="I872" t="s">
        <v>3861</v>
      </c>
      <c r="J872" t="s">
        <v>3862</v>
      </c>
      <c r="K872" t="s">
        <v>3862</v>
      </c>
      <c r="L872" t="s">
        <v>3863</v>
      </c>
      <c r="N872" t="s">
        <v>3864</v>
      </c>
      <c r="O872" t="s">
        <v>117</v>
      </c>
      <c r="S872" t="s">
        <v>121</v>
      </c>
      <c r="AI872" t="s">
        <v>2592</v>
      </c>
      <c r="AM872" t="s">
        <v>134</v>
      </c>
      <c r="AS872" t="s">
        <v>135</v>
      </c>
      <c r="BG872">
        <v>110</v>
      </c>
      <c r="BM872" t="s">
        <v>137</v>
      </c>
      <c r="BN872">
        <v>0</v>
      </c>
      <c r="BP872" t="s">
        <v>181</v>
      </c>
      <c r="BW872" t="s">
        <v>152</v>
      </c>
      <c r="BX872" t="s">
        <v>3865</v>
      </c>
    </row>
    <row r="873" spans="1:110" x14ac:dyDescent="0.2">
      <c r="A873" t="s">
        <v>111</v>
      </c>
      <c r="B873" t="b">
        <v>1</v>
      </c>
      <c r="E873">
        <v>1000</v>
      </c>
      <c r="F873" t="str">
        <f>HYPERLINK("https://portal.dnb.de/opac.htm?method=simpleSearch&amp;cqlMode=true&amp;query=idn%3D100154014X", "Portal")</f>
        <v>Portal</v>
      </c>
      <c r="G873" t="s">
        <v>112</v>
      </c>
      <c r="H873" t="s">
        <v>3866</v>
      </c>
      <c r="I873" t="s">
        <v>3867</v>
      </c>
      <c r="J873" t="s">
        <v>3868</v>
      </c>
      <c r="K873" t="s">
        <v>3868</v>
      </c>
      <c r="L873" t="s">
        <v>3869</v>
      </c>
      <c r="M873" t="s">
        <v>3822</v>
      </c>
      <c r="N873" t="s">
        <v>3870</v>
      </c>
      <c r="O873" t="s">
        <v>117</v>
      </c>
      <c r="S873" t="s">
        <v>470</v>
      </c>
      <c r="AI873" t="s">
        <v>365</v>
      </c>
      <c r="AL873" t="s">
        <v>132</v>
      </c>
      <c r="AM873" t="s">
        <v>196</v>
      </c>
      <c r="AS873" t="s">
        <v>135</v>
      </c>
      <c r="BB873" t="s">
        <v>132</v>
      </c>
      <c r="BD873" t="s">
        <v>132</v>
      </c>
      <c r="BG873">
        <v>110</v>
      </c>
      <c r="BM873" t="s">
        <v>137</v>
      </c>
      <c r="BN873">
        <v>0</v>
      </c>
      <c r="BQ873" t="s">
        <v>132</v>
      </c>
      <c r="BW873" t="s">
        <v>152</v>
      </c>
    </row>
    <row r="874" spans="1:110" x14ac:dyDescent="0.2">
      <c r="A874" t="s">
        <v>111</v>
      </c>
      <c r="B874" t="b">
        <v>1</v>
      </c>
      <c r="C874" t="s">
        <v>132</v>
      </c>
      <c r="E874">
        <v>965</v>
      </c>
      <c r="F874" t="str">
        <f>HYPERLINK("https://portal.dnb.de/opac.htm?method=simpleSearch&amp;cqlMode=true&amp;query=idn%3D1066933618", "Portal")</f>
        <v>Portal</v>
      </c>
      <c r="G874" t="s">
        <v>125</v>
      </c>
      <c r="H874" t="s">
        <v>3871</v>
      </c>
      <c r="I874" t="s">
        <v>3872</v>
      </c>
      <c r="J874" t="s">
        <v>3873</v>
      </c>
      <c r="K874" t="s">
        <v>3873</v>
      </c>
      <c r="L874" t="s">
        <v>3873</v>
      </c>
      <c r="M874" t="s">
        <v>3822</v>
      </c>
      <c r="N874" t="s">
        <v>3874</v>
      </c>
      <c r="O874" t="s">
        <v>117</v>
      </c>
      <c r="S874" t="s">
        <v>470</v>
      </c>
      <c r="AI874" t="s">
        <v>365</v>
      </c>
      <c r="AK874" t="s">
        <v>132</v>
      </c>
      <c r="AM874" t="s">
        <v>134</v>
      </c>
      <c r="AS874" t="s">
        <v>135</v>
      </c>
      <c r="BG874" t="s">
        <v>1223</v>
      </c>
      <c r="BI874" t="s">
        <v>132</v>
      </c>
      <c r="BJ874" t="s">
        <v>3875</v>
      </c>
      <c r="BM874" t="s">
        <v>180</v>
      </c>
      <c r="BN874">
        <v>0.5</v>
      </c>
      <c r="BR874" t="s">
        <v>132</v>
      </c>
      <c r="BV874" t="s">
        <v>3876</v>
      </c>
      <c r="BW874" t="s">
        <v>1746</v>
      </c>
      <c r="BX874" t="s">
        <v>3877</v>
      </c>
      <c r="CA874" t="s">
        <v>132</v>
      </c>
      <c r="CB874" t="s">
        <v>132</v>
      </c>
      <c r="CD874" t="s">
        <v>204</v>
      </c>
      <c r="CF874" t="s">
        <v>132</v>
      </c>
      <c r="CM874">
        <v>0.5</v>
      </c>
      <c r="CN874" t="s">
        <v>3878</v>
      </c>
    </row>
    <row r="875" spans="1:110" x14ac:dyDescent="0.2">
      <c r="A875" t="s">
        <v>111</v>
      </c>
      <c r="B875" t="b">
        <v>1</v>
      </c>
      <c r="E875">
        <v>966</v>
      </c>
      <c r="F875" t="str">
        <f>HYPERLINK("https://portal.dnb.de/opac.htm?method=simpleSearch&amp;cqlMode=true&amp;query=idn%3D994129572", "Portal")</f>
        <v>Portal</v>
      </c>
      <c r="G875" t="s">
        <v>112</v>
      </c>
      <c r="H875" t="s">
        <v>3879</v>
      </c>
      <c r="I875" t="s">
        <v>3880</v>
      </c>
      <c r="J875" t="s">
        <v>3881</v>
      </c>
      <c r="K875" t="s">
        <v>3881</v>
      </c>
      <c r="L875" t="s">
        <v>3881</v>
      </c>
      <c r="N875" t="s">
        <v>3882</v>
      </c>
      <c r="O875" t="s">
        <v>117</v>
      </c>
      <c r="S875" t="s">
        <v>121</v>
      </c>
      <c r="AI875" t="s">
        <v>133</v>
      </c>
      <c r="AM875" t="s">
        <v>179</v>
      </c>
      <c r="AS875" t="s">
        <v>135</v>
      </c>
      <c r="BG875" t="s">
        <v>793</v>
      </c>
      <c r="BM875" t="s">
        <v>137</v>
      </c>
      <c r="BN875">
        <v>0</v>
      </c>
      <c r="BP875" t="s">
        <v>612</v>
      </c>
      <c r="BV875" t="s">
        <v>355</v>
      </c>
    </row>
    <row r="876" spans="1:110" x14ac:dyDescent="0.2">
      <c r="A876" t="s">
        <v>111</v>
      </c>
      <c r="B876" t="b">
        <v>1</v>
      </c>
      <c r="E876">
        <v>967</v>
      </c>
      <c r="F876" t="str">
        <f>HYPERLINK("https://portal.dnb.de/opac.htm?method=simpleSearch&amp;cqlMode=true&amp;query=idn%3D1002389798", "Portal")</f>
        <v>Portal</v>
      </c>
      <c r="G876" t="s">
        <v>112</v>
      </c>
      <c r="H876" t="s">
        <v>3883</v>
      </c>
      <c r="I876" t="s">
        <v>3884</v>
      </c>
      <c r="J876" t="s">
        <v>3885</v>
      </c>
      <c r="K876" t="s">
        <v>3885</v>
      </c>
      <c r="L876" t="s">
        <v>3885</v>
      </c>
      <c r="N876" t="s">
        <v>3886</v>
      </c>
      <c r="O876" t="s">
        <v>117</v>
      </c>
      <c r="S876" t="s">
        <v>121</v>
      </c>
      <c r="AI876" t="s">
        <v>646</v>
      </c>
      <c r="AK876" t="s">
        <v>132</v>
      </c>
      <c r="AM876" t="s">
        <v>150</v>
      </c>
      <c r="AS876" t="s">
        <v>135</v>
      </c>
      <c r="BG876">
        <v>110</v>
      </c>
      <c r="BM876" t="s">
        <v>137</v>
      </c>
      <c r="BN876">
        <v>0</v>
      </c>
    </row>
    <row r="877" spans="1:110" x14ac:dyDescent="0.2">
      <c r="A877" t="s">
        <v>111</v>
      </c>
      <c r="B877" t="b">
        <v>1</v>
      </c>
      <c r="E877">
        <v>968</v>
      </c>
      <c r="F877" t="str">
        <f>HYPERLINK("https://portal.dnb.de/opac.htm?method=simpleSearch&amp;cqlMode=true&amp;query=idn%3D1066941130", "Portal")</f>
        <v>Portal</v>
      </c>
      <c r="G877" t="s">
        <v>125</v>
      </c>
      <c r="H877" t="s">
        <v>3887</v>
      </c>
      <c r="I877" t="s">
        <v>3888</v>
      </c>
      <c r="J877" t="s">
        <v>3889</v>
      </c>
      <c r="K877" t="s">
        <v>3889</v>
      </c>
      <c r="L877" t="s">
        <v>3889</v>
      </c>
      <c r="N877" t="s">
        <v>3890</v>
      </c>
      <c r="O877" t="s">
        <v>117</v>
      </c>
      <c r="S877" t="s">
        <v>121</v>
      </c>
      <c r="AI877" t="s">
        <v>325</v>
      </c>
      <c r="AK877" t="s">
        <v>132</v>
      </c>
      <c r="AM877" t="s">
        <v>134</v>
      </c>
      <c r="AS877" t="s">
        <v>135</v>
      </c>
      <c r="AT877" t="s">
        <v>132</v>
      </c>
      <c r="BG877">
        <v>110</v>
      </c>
      <c r="BM877" t="s">
        <v>137</v>
      </c>
      <c r="BN877">
        <v>0</v>
      </c>
    </row>
    <row r="878" spans="1:110" x14ac:dyDescent="0.2">
      <c r="A878" t="s">
        <v>111</v>
      </c>
      <c r="B878" t="b">
        <v>1</v>
      </c>
      <c r="E878">
        <v>969</v>
      </c>
      <c r="F878" t="str">
        <f>HYPERLINK("https://portal.dnb.de/opac.htm?method=simpleSearch&amp;cqlMode=true&amp;query=idn%3D1066779120", "Portal")</f>
        <v>Portal</v>
      </c>
      <c r="G878" t="s">
        <v>125</v>
      </c>
      <c r="H878" t="s">
        <v>3891</v>
      </c>
      <c r="I878" t="s">
        <v>3892</v>
      </c>
      <c r="J878" t="s">
        <v>3893</v>
      </c>
      <c r="K878" t="s">
        <v>3893</v>
      </c>
      <c r="L878" t="s">
        <v>3893</v>
      </c>
      <c r="N878" t="s">
        <v>3894</v>
      </c>
      <c r="O878" t="s">
        <v>117</v>
      </c>
      <c r="S878" t="s">
        <v>121</v>
      </c>
      <c r="AI878" t="s">
        <v>325</v>
      </c>
      <c r="AK878" t="s">
        <v>132</v>
      </c>
      <c r="AM878" t="s">
        <v>134</v>
      </c>
      <c r="AS878" t="s">
        <v>135</v>
      </c>
      <c r="AT878" t="s">
        <v>132</v>
      </c>
      <c r="BG878">
        <v>110</v>
      </c>
      <c r="BM878" t="s">
        <v>137</v>
      </c>
      <c r="BN878">
        <v>0</v>
      </c>
      <c r="BR878" t="s">
        <v>132</v>
      </c>
    </row>
    <row r="879" spans="1:110" x14ac:dyDescent="0.2">
      <c r="A879" t="s">
        <v>111</v>
      </c>
      <c r="B879" t="b">
        <v>1</v>
      </c>
      <c r="E879">
        <v>1001</v>
      </c>
      <c r="F879" t="str">
        <f>HYPERLINK("https://portal.dnb.de/opac.htm?method=simpleSearch&amp;cqlMode=true&amp;query=idn%3D995213216", "Portal")</f>
        <v>Portal</v>
      </c>
      <c r="G879" t="s">
        <v>112</v>
      </c>
      <c r="H879" t="s">
        <v>3895</v>
      </c>
      <c r="I879" t="s">
        <v>3896</v>
      </c>
      <c r="J879" t="s">
        <v>3897</v>
      </c>
      <c r="K879" t="s">
        <v>3897</v>
      </c>
      <c r="L879" t="s">
        <v>3897</v>
      </c>
      <c r="N879" t="s">
        <v>3898</v>
      </c>
      <c r="O879" t="s">
        <v>117</v>
      </c>
      <c r="S879" t="s">
        <v>121</v>
      </c>
      <c r="AI879" t="s">
        <v>646</v>
      </c>
      <c r="AJ879" t="s">
        <v>3812</v>
      </c>
      <c r="AM879" t="s">
        <v>150</v>
      </c>
      <c r="AS879" t="s">
        <v>135</v>
      </c>
      <c r="BG879">
        <v>110</v>
      </c>
      <c r="BM879" t="s">
        <v>137</v>
      </c>
      <c r="BN879">
        <v>0</v>
      </c>
    </row>
    <row r="880" spans="1:110" x14ac:dyDescent="0.2">
      <c r="A880" t="s">
        <v>111</v>
      </c>
      <c r="B880" t="b">
        <v>1</v>
      </c>
      <c r="E880">
        <v>970</v>
      </c>
      <c r="F880" t="str">
        <f>HYPERLINK("https://portal.dnb.de/opac.htm?method=simpleSearch&amp;cqlMode=true&amp;query=idn%3D1066790272", "Portal")</f>
        <v>Portal</v>
      </c>
      <c r="G880" t="s">
        <v>125</v>
      </c>
      <c r="H880" t="s">
        <v>3899</v>
      </c>
      <c r="I880" t="s">
        <v>3900</v>
      </c>
      <c r="J880" t="s">
        <v>3901</v>
      </c>
      <c r="K880" t="s">
        <v>3901</v>
      </c>
      <c r="L880" t="s">
        <v>3901</v>
      </c>
      <c r="M880" t="s">
        <v>3822</v>
      </c>
      <c r="N880" t="s">
        <v>3902</v>
      </c>
      <c r="O880" t="s">
        <v>117</v>
      </c>
      <c r="S880" t="s">
        <v>146</v>
      </c>
      <c r="AI880" t="s">
        <v>149</v>
      </c>
      <c r="AL880" t="s">
        <v>132</v>
      </c>
      <c r="AM880" t="s">
        <v>196</v>
      </c>
      <c r="AS880" t="s">
        <v>135</v>
      </c>
      <c r="AX880" t="s">
        <v>132</v>
      </c>
      <c r="BG880">
        <v>110</v>
      </c>
      <c r="BM880" t="s">
        <v>137</v>
      </c>
      <c r="BN880">
        <v>0</v>
      </c>
      <c r="BP880" t="s">
        <v>181</v>
      </c>
      <c r="BW880" t="s">
        <v>152</v>
      </c>
      <c r="BX880" t="s">
        <v>3903</v>
      </c>
    </row>
    <row r="881" spans="1:92" x14ac:dyDescent="0.2">
      <c r="A881" t="s">
        <v>111</v>
      </c>
      <c r="B881" t="b">
        <v>1</v>
      </c>
      <c r="C881" t="s">
        <v>132</v>
      </c>
      <c r="E881">
        <v>971</v>
      </c>
      <c r="F881" t="str">
        <f>HYPERLINK("https://portal.dnb.de/opac.htm?method=simpleSearch&amp;cqlMode=true&amp;query=idn%3D106693360X", "Portal")</f>
        <v>Portal</v>
      </c>
      <c r="G881" t="s">
        <v>125</v>
      </c>
      <c r="H881" t="s">
        <v>3904</v>
      </c>
      <c r="I881" t="s">
        <v>3905</v>
      </c>
      <c r="J881" t="s">
        <v>3906</v>
      </c>
      <c r="K881" t="s">
        <v>3906</v>
      </c>
      <c r="L881" t="s">
        <v>3906</v>
      </c>
      <c r="N881" t="s">
        <v>3907</v>
      </c>
      <c r="O881" t="s">
        <v>117</v>
      </c>
      <c r="S881" t="s">
        <v>121</v>
      </c>
      <c r="AI881" t="s">
        <v>365</v>
      </c>
      <c r="AK881" t="s">
        <v>132</v>
      </c>
      <c r="AM881" t="s">
        <v>134</v>
      </c>
      <c r="AS881" t="s">
        <v>135</v>
      </c>
      <c r="BG881">
        <v>110</v>
      </c>
      <c r="BM881" t="s">
        <v>180</v>
      </c>
      <c r="BN881">
        <v>1</v>
      </c>
      <c r="BR881" t="s">
        <v>132</v>
      </c>
      <c r="CA881" t="s">
        <v>132</v>
      </c>
      <c r="CB881" t="s">
        <v>132</v>
      </c>
      <c r="CC881" t="s">
        <v>132</v>
      </c>
      <c r="CD881" t="s">
        <v>204</v>
      </c>
      <c r="CM881">
        <v>1</v>
      </c>
    </row>
    <row r="882" spans="1:92" x14ac:dyDescent="0.2">
      <c r="A882" t="s">
        <v>111</v>
      </c>
      <c r="B882" t="b">
        <v>1</v>
      </c>
      <c r="E882">
        <v>972</v>
      </c>
      <c r="F882" t="str">
        <f>HYPERLINK("https://portal.dnb.de/opac.htm?method=simpleSearch&amp;cqlMode=true&amp;query=idn%3D1066937400", "Portal")</f>
        <v>Portal</v>
      </c>
      <c r="G882" t="s">
        <v>125</v>
      </c>
      <c r="H882" t="s">
        <v>3908</v>
      </c>
      <c r="I882" t="s">
        <v>3909</v>
      </c>
      <c r="J882" t="s">
        <v>3910</v>
      </c>
      <c r="K882" t="s">
        <v>3910</v>
      </c>
      <c r="L882" t="s">
        <v>3910</v>
      </c>
      <c r="N882" t="s">
        <v>3911</v>
      </c>
      <c r="O882" t="s">
        <v>117</v>
      </c>
      <c r="S882" t="s">
        <v>121</v>
      </c>
      <c r="AI882" t="s">
        <v>646</v>
      </c>
      <c r="AJ882" t="s">
        <v>3912</v>
      </c>
      <c r="AM882" t="s">
        <v>150</v>
      </c>
      <c r="AS882" t="s">
        <v>135</v>
      </c>
      <c r="BG882">
        <v>110</v>
      </c>
      <c r="BM882" t="s">
        <v>137</v>
      </c>
      <c r="BN882">
        <v>0</v>
      </c>
      <c r="BP882" t="s">
        <v>181</v>
      </c>
      <c r="BV882" t="s">
        <v>3913</v>
      </c>
    </row>
    <row r="883" spans="1:92" x14ac:dyDescent="0.2">
      <c r="A883" t="s">
        <v>111</v>
      </c>
      <c r="B883" t="b">
        <v>1</v>
      </c>
      <c r="F883" t="str">
        <f>HYPERLINK("https://portal.dnb.de/opac.htm?method=simpleSearch&amp;cqlMode=true&amp;query=idn%3D1230020926", "Portal")</f>
        <v>Portal</v>
      </c>
      <c r="G883" t="s">
        <v>319</v>
      </c>
      <c r="H883" t="s">
        <v>3914</v>
      </c>
      <c r="I883" t="s">
        <v>3915</v>
      </c>
      <c r="J883" t="s">
        <v>3916</v>
      </c>
      <c r="K883" t="s">
        <v>3916</v>
      </c>
      <c r="L883" t="s">
        <v>3916</v>
      </c>
      <c r="N883" t="s">
        <v>3917</v>
      </c>
      <c r="O883" t="s">
        <v>117</v>
      </c>
      <c r="S883" t="s">
        <v>121</v>
      </c>
      <c r="AH883" t="s">
        <v>132</v>
      </c>
      <c r="AI883" t="s">
        <v>133</v>
      </c>
      <c r="AM883" t="s">
        <v>179</v>
      </c>
      <c r="AS883" t="s">
        <v>135</v>
      </c>
      <c r="BG883">
        <v>60</v>
      </c>
      <c r="BM883" t="s">
        <v>137</v>
      </c>
      <c r="BN883">
        <v>0</v>
      </c>
      <c r="BT883" t="s">
        <v>562</v>
      </c>
      <c r="BU883" t="s">
        <v>132</v>
      </c>
    </row>
    <row r="884" spans="1:92" x14ac:dyDescent="0.2">
      <c r="A884" t="s">
        <v>111</v>
      </c>
      <c r="B884" t="b">
        <v>1</v>
      </c>
      <c r="E884">
        <v>973</v>
      </c>
      <c r="F884" t="str">
        <f>HYPERLINK("https://portal.dnb.de/opac.htm?method=simpleSearch&amp;cqlMode=true&amp;query=idn%3D99390601X", "Portal")</f>
        <v>Portal</v>
      </c>
      <c r="G884" t="s">
        <v>112</v>
      </c>
      <c r="H884" t="s">
        <v>3918</v>
      </c>
      <c r="I884" t="s">
        <v>3919</v>
      </c>
      <c r="J884" t="s">
        <v>3920</v>
      </c>
      <c r="K884" t="s">
        <v>3920</v>
      </c>
      <c r="L884" t="s">
        <v>3920</v>
      </c>
      <c r="N884" t="s">
        <v>3921</v>
      </c>
      <c r="O884" t="s">
        <v>117</v>
      </c>
      <c r="S884" t="s">
        <v>121</v>
      </c>
      <c r="AI884" t="s">
        <v>365</v>
      </c>
      <c r="AM884" t="s">
        <v>196</v>
      </c>
      <c r="AS884" t="s">
        <v>135</v>
      </c>
      <c r="BG884">
        <v>60</v>
      </c>
      <c r="BM884" t="s">
        <v>137</v>
      </c>
      <c r="BN884">
        <v>0</v>
      </c>
    </row>
    <row r="885" spans="1:92" x14ac:dyDescent="0.2">
      <c r="A885" t="s">
        <v>111</v>
      </c>
      <c r="B885" t="b">
        <v>1</v>
      </c>
      <c r="E885">
        <v>974</v>
      </c>
      <c r="F885" t="str">
        <f>HYPERLINK("https://portal.dnb.de/opac.htm?method=simpleSearch&amp;cqlMode=true&amp;query=idn%3D1132656729", "Portal")</f>
        <v>Portal</v>
      </c>
      <c r="G885" t="s">
        <v>970</v>
      </c>
      <c r="H885" t="s">
        <v>3922</v>
      </c>
      <c r="I885" t="s">
        <v>3923</v>
      </c>
      <c r="J885" t="s">
        <v>3924</v>
      </c>
      <c r="K885" t="s">
        <v>3924</v>
      </c>
      <c r="L885" t="s">
        <v>3924</v>
      </c>
      <c r="N885" t="s">
        <v>3925</v>
      </c>
      <c r="O885" t="s">
        <v>3926</v>
      </c>
      <c r="S885" t="s">
        <v>121</v>
      </c>
      <c r="AI885" t="s">
        <v>133</v>
      </c>
      <c r="AM885" t="s">
        <v>179</v>
      </c>
      <c r="AS885" t="s">
        <v>135</v>
      </c>
      <c r="BE885">
        <v>2</v>
      </c>
      <c r="BF885" t="s">
        <v>132</v>
      </c>
      <c r="BG885">
        <v>45</v>
      </c>
      <c r="BM885" t="s">
        <v>137</v>
      </c>
      <c r="BN885">
        <v>0</v>
      </c>
      <c r="BP885" t="s">
        <v>181</v>
      </c>
    </row>
    <row r="886" spans="1:92" x14ac:dyDescent="0.2">
      <c r="A886" t="s">
        <v>111</v>
      </c>
      <c r="B886" t="b">
        <v>1</v>
      </c>
      <c r="C886" t="s">
        <v>132</v>
      </c>
      <c r="E886">
        <v>975</v>
      </c>
      <c r="F886" t="str">
        <f>HYPERLINK("https://portal.dnb.de/opac.htm?method=simpleSearch&amp;cqlMode=true&amp;query=idn%3D993938299", "Portal")</f>
        <v>Portal</v>
      </c>
      <c r="G886" t="s">
        <v>112</v>
      </c>
      <c r="H886" t="s">
        <v>3927</v>
      </c>
      <c r="I886" t="s">
        <v>3928</v>
      </c>
      <c r="J886" t="s">
        <v>3929</v>
      </c>
      <c r="K886" t="s">
        <v>3929</v>
      </c>
      <c r="L886" t="s">
        <v>3929</v>
      </c>
      <c r="N886" t="s">
        <v>3930</v>
      </c>
      <c r="O886" t="s">
        <v>117</v>
      </c>
      <c r="S886" t="s">
        <v>121</v>
      </c>
      <c r="AI886" t="s">
        <v>2592</v>
      </c>
      <c r="AL886" t="s">
        <v>132</v>
      </c>
      <c r="AM886" t="s">
        <v>134</v>
      </c>
      <c r="AS886" t="s">
        <v>135</v>
      </c>
      <c r="AT886" t="s">
        <v>132</v>
      </c>
      <c r="BG886">
        <v>110</v>
      </c>
      <c r="BM886" t="s">
        <v>180</v>
      </c>
      <c r="BN886">
        <v>0.5</v>
      </c>
      <c r="CA886" t="s">
        <v>132</v>
      </c>
      <c r="CB886" t="s">
        <v>132</v>
      </c>
      <c r="CM886">
        <v>0.5</v>
      </c>
    </row>
    <row r="887" spans="1:92" x14ac:dyDescent="0.2">
      <c r="A887" t="s">
        <v>111</v>
      </c>
      <c r="B887" t="b">
        <v>1</v>
      </c>
      <c r="E887">
        <v>976</v>
      </c>
      <c r="F887" t="str">
        <f>HYPERLINK("https://portal.dnb.de/opac.htm?method=simpleSearch&amp;cqlMode=true&amp;query=idn%3D1066864705", "Portal")</f>
        <v>Portal</v>
      </c>
      <c r="G887" t="s">
        <v>125</v>
      </c>
      <c r="H887" t="s">
        <v>3931</v>
      </c>
      <c r="I887" t="s">
        <v>3932</v>
      </c>
      <c r="J887" t="s">
        <v>3933</v>
      </c>
      <c r="K887" t="s">
        <v>3933</v>
      </c>
      <c r="L887" t="s">
        <v>3934</v>
      </c>
      <c r="N887" t="s">
        <v>3935</v>
      </c>
      <c r="O887" t="s">
        <v>117</v>
      </c>
      <c r="S887" t="s">
        <v>121</v>
      </c>
      <c r="AI887" t="s">
        <v>135</v>
      </c>
      <c r="AM887" t="s">
        <v>196</v>
      </c>
      <c r="AS887" t="s">
        <v>135</v>
      </c>
      <c r="BG887">
        <v>60</v>
      </c>
      <c r="BM887" t="s">
        <v>137</v>
      </c>
      <c r="BN887">
        <v>0</v>
      </c>
    </row>
    <row r="888" spans="1:92" x14ac:dyDescent="0.2">
      <c r="A888" t="s">
        <v>111</v>
      </c>
      <c r="B888" t="b">
        <v>0</v>
      </c>
      <c r="F888" t="str">
        <f>HYPERLINK("https://portal.dnb.de/opac.htm?method=simpleSearch&amp;cqlMode=true&amp;query=idn%3D", "Portal")</f>
        <v>Portal</v>
      </c>
      <c r="L888" t="s">
        <v>3936</v>
      </c>
      <c r="S888" t="s">
        <v>121</v>
      </c>
      <c r="AI888" t="s">
        <v>135</v>
      </c>
      <c r="AM888" t="s">
        <v>196</v>
      </c>
      <c r="AS888" t="s">
        <v>135</v>
      </c>
      <c r="BG888">
        <v>60</v>
      </c>
      <c r="BM888" t="s">
        <v>137</v>
      </c>
      <c r="BN888">
        <v>0</v>
      </c>
    </row>
    <row r="889" spans="1:92" x14ac:dyDescent="0.2">
      <c r="A889" t="s">
        <v>111</v>
      </c>
      <c r="B889" t="b">
        <v>1</v>
      </c>
      <c r="E889">
        <v>1008</v>
      </c>
      <c r="F889" t="str">
        <f>HYPERLINK("https://portal.dnb.de/opac.htm?method=simpleSearch&amp;cqlMode=true&amp;query=idn%3D999822306", "Portal")</f>
        <v>Portal</v>
      </c>
      <c r="G889" t="s">
        <v>112</v>
      </c>
      <c r="H889" t="s">
        <v>3937</v>
      </c>
      <c r="I889" t="s">
        <v>3938</v>
      </c>
      <c r="J889" t="s">
        <v>3939</v>
      </c>
      <c r="K889" t="s">
        <v>3939</v>
      </c>
      <c r="L889" t="s">
        <v>3939</v>
      </c>
      <c r="N889" t="s">
        <v>3940</v>
      </c>
      <c r="O889" t="s">
        <v>117</v>
      </c>
      <c r="S889" t="s">
        <v>121</v>
      </c>
      <c r="AI889" t="s">
        <v>365</v>
      </c>
      <c r="AM889" t="s">
        <v>179</v>
      </c>
      <c r="AS889" t="s">
        <v>135</v>
      </c>
      <c r="BG889">
        <v>110</v>
      </c>
      <c r="BM889" t="s">
        <v>137</v>
      </c>
      <c r="BN889">
        <v>0</v>
      </c>
    </row>
    <row r="890" spans="1:92" x14ac:dyDescent="0.2">
      <c r="A890" t="s">
        <v>111</v>
      </c>
      <c r="B890" t="b">
        <v>1</v>
      </c>
      <c r="C890" t="s">
        <v>132</v>
      </c>
      <c r="E890">
        <v>977</v>
      </c>
      <c r="F890" t="str">
        <f>HYPERLINK("https://portal.dnb.de/opac.htm?method=simpleSearch&amp;cqlMode=true&amp;query=idn%3D1066850593", "Portal")</f>
        <v>Portal</v>
      </c>
      <c r="G890" t="s">
        <v>125</v>
      </c>
      <c r="H890" t="s">
        <v>3941</v>
      </c>
      <c r="I890" t="s">
        <v>3942</v>
      </c>
      <c r="J890" t="s">
        <v>3943</v>
      </c>
      <c r="K890" t="s">
        <v>3943</v>
      </c>
      <c r="L890" t="s">
        <v>3943</v>
      </c>
      <c r="N890" t="s">
        <v>3944</v>
      </c>
      <c r="O890" t="s">
        <v>117</v>
      </c>
      <c r="S890" t="s">
        <v>121</v>
      </c>
      <c r="AI890" t="s">
        <v>133</v>
      </c>
      <c r="AM890" t="s">
        <v>196</v>
      </c>
      <c r="AO890" t="s">
        <v>132</v>
      </c>
      <c r="AS890" t="s">
        <v>135</v>
      </c>
      <c r="BG890">
        <v>45</v>
      </c>
      <c r="BM890" t="s">
        <v>180</v>
      </c>
      <c r="BN890">
        <v>1</v>
      </c>
      <c r="BP890" t="s">
        <v>1194</v>
      </c>
      <c r="BY890" t="s">
        <v>198</v>
      </c>
      <c r="CA890" t="s">
        <v>132</v>
      </c>
      <c r="CB890" t="s">
        <v>132</v>
      </c>
      <c r="CM890">
        <v>1</v>
      </c>
      <c r="CN890" t="s">
        <v>3945</v>
      </c>
    </row>
    <row r="891" spans="1:92" x14ac:dyDescent="0.2">
      <c r="A891" t="s">
        <v>111</v>
      </c>
      <c r="B891" t="b">
        <v>1</v>
      </c>
      <c r="E891">
        <v>978</v>
      </c>
      <c r="F891" t="str">
        <f>HYPERLINK("https://portal.dnb.de/opac.htm?method=simpleSearch&amp;cqlMode=true&amp;query=idn%3D1066865108", "Portal")</f>
        <v>Portal</v>
      </c>
      <c r="G891" t="s">
        <v>125</v>
      </c>
      <c r="H891" t="s">
        <v>3946</v>
      </c>
      <c r="I891" t="s">
        <v>3947</v>
      </c>
      <c r="J891" t="s">
        <v>3948</v>
      </c>
      <c r="K891" t="s">
        <v>3948</v>
      </c>
      <c r="L891" t="s">
        <v>3948</v>
      </c>
      <c r="N891" t="s">
        <v>3949</v>
      </c>
      <c r="O891" t="s">
        <v>117</v>
      </c>
      <c r="S891" t="s">
        <v>121</v>
      </c>
      <c r="AI891" t="s">
        <v>133</v>
      </c>
      <c r="AL891" t="s">
        <v>132</v>
      </c>
      <c r="AM891" t="s">
        <v>179</v>
      </c>
      <c r="AS891" t="s">
        <v>135</v>
      </c>
      <c r="BG891">
        <v>45</v>
      </c>
      <c r="BM891" t="s">
        <v>137</v>
      </c>
      <c r="BN891">
        <v>0</v>
      </c>
      <c r="BP891" t="s">
        <v>181</v>
      </c>
      <c r="BV891" t="s">
        <v>3950</v>
      </c>
    </row>
    <row r="892" spans="1:92" x14ac:dyDescent="0.2">
      <c r="A892" t="s">
        <v>111</v>
      </c>
      <c r="B892" t="b">
        <v>1</v>
      </c>
      <c r="E892">
        <v>980</v>
      </c>
      <c r="F892" t="str">
        <f>HYPERLINK("https://portal.dnb.de/opac.htm?method=simpleSearch&amp;cqlMode=true&amp;query=idn%3D100005554X", "Portal")</f>
        <v>Portal</v>
      </c>
      <c r="G892" t="s">
        <v>542</v>
      </c>
      <c r="H892" t="s">
        <v>3951</v>
      </c>
      <c r="I892" t="s">
        <v>3952</v>
      </c>
      <c r="J892" t="s">
        <v>3953</v>
      </c>
      <c r="K892" t="s">
        <v>3953</v>
      </c>
      <c r="L892" t="s">
        <v>3953</v>
      </c>
      <c r="N892" t="s">
        <v>3954</v>
      </c>
      <c r="O892" t="s">
        <v>3955</v>
      </c>
      <c r="S892" t="s">
        <v>121</v>
      </c>
      <c r="AI892" t="s">
        <v>133</v>
      </c>
      <c r="AL892" t="s">
        <v>132</v>
      </c>
      <c r="AM892" t="s">
        <v>196</v>
      </c>
      <c r="AS892" t="s">
        <v>135</v>
      </c>
      <c r="BG892">
        <v>110</v>
      </c>
      <c r="BM892" t="s">
        <v>137</v>
      </c>
      <c r="BN892">
        <v>0</v>
      </c>
      <c r="BP892" t="s">
        <v>181</v>
      </c>
    </row>
    <row r="893" spans="1:92" x14ac:dyDescent="0.2">
      <c r="A893" t="s">
        <v>111</v>
      </c>
      <c r="B893" t="b">
        <v>1</v>
      </c>
      <c r="E893">
        <v>982</v>
      </c>
      <c r="F893" t="str">
        <f>HYPERLINK("https://portal.dnb.de/opac.htm?method=simpleSearch&amp;cqlMode=true&amp;query=idn%3D1066933421", "Portal")</f>
        <v>Portal</v>
      </c>
      <c r="G893" t="s">
        <v>125</v>
      </c>
      <c r="H893" t="s">
        <v>3956</v>
      </c>
      <c r="I893" t="s">
        <v>3957</v>
      </c>
      <c r="J893" t="s">
        <v>3958</v>
      </c>
      <c r="K893" t="s">
        <v>3958</v>
      </c>
      <c r="L893" t="s">
        <v>3958</v>
      </c>
      <c r="N893" t="s">
        <v>3959</v>
      </c>
      <c r="O893" t="s">
        <v>117</v>
      </c>
      <c r="S893" t="s">
        <v>121</v>
      </c>
      <c r="AI893" t="s">
        <v>365</v>
      </c>
      <c r="AM893" t="s">
        <v>196</v>
      </c>
      <c r="AS893" t="s">
        <v>135</v>
      </c>
      <c r="BG893">
        <v>110</v>
      </c>
      <c r="BK893" t="s">
        <v>132</v>
      </c>
      <c r="BL893" t="s">
        <v>132</v>
      </c>
      <c r="BM893" t="s">
        <v>137</v>
      </c>
      <c r="BN893">
        <v>0</v>
      </c>
    </row>
    <row r="894" spans="1:92" x14ac:dyDescent="0.2">
      <c r="A894" t="s">
        <v>111</v>
      </c>
      <c r="B894" t="b">
        <v>1</v>
      </c>
      <c r="E894">
        <v>983</v>
      </c>
      <c r="F894" t="str">
        <f>HYPERLINK("https://portal.dnb.de/opac.htm?method=simpleSearch&amp;cqlMode=true&amp;query=idn%3D1002341744", "Portal")</f>
        <v>Portal</v>
      </c>
      <c r="G894" t="s">
        <v>112</v>
      </c>
      <c r="H894" t="s">
        <v>3960</v>
      </c>
      <c r="I894" t="s">
        <v>3961</v>
      </c>
      <c r="J894" t="s">
        <v>3962</v>
      </c>
      <c r="K894" t="s">
        <v>3962</v>
      </c>
      <c r="L894" t="s">
        <v>3962</v>
      </c>
      <c r="N894" t="s">
        <v>3963</v>
      </c>
      <c r="O894" t="s">
        <v>117</v>
      </c>
      <c r="S894" t="s">
        <v>121</v>
      </c>
      <c r="AI894" t="s">
        <v>133</v>
      </c>
      <c r="AL894" t="s">
        <v>132</v>
      </c>
      <c r="AM894" t="s">
        <v>196</v>
      </c>
      <c r="AS894" t="s">
        <v>135</v>
      </c>
      <c r="BG894">
        <v>110</v>
      </c>
      <c r="BK894" t="s">
        <v>132</v>
      </c>
      <c r="BL894" t="s">
        <v>132</v>
      </c>
      <c r="BM894" t="s">
        <v>137</v>
      </c>
      <c r="BN894">
        <v>0</v>
      </c>
      <c r="BP894" t="s">
        <v>181</v>
      </c>
    </row>
    <row r="895" spans="1:92" x14ac:dyDescent="0.2">
      <c r="A895" t="s">
        <v>111</v>
      </c>
      <c r="B895" t="b">
        <v>1</v>
      </c>
      <c r="E895">
        <v>984</v>
      </c>
      <c r="F895" t="str">
        <f>HYPERLINK("https://portal.dnb.de/opac.htm?method=simpleSearch&amp;cqlMode=true&amp;query=idn%3D998707805", "Portal")</f>
        <v>Portal</v>
      </c>
      <c r="G895" t="s">
        <v>112</v>
      </c>
      <c r="H895" t="s">
        <v>3964</v>
      </c>
      <c r="I895" t="s">
        <v>3965</v>
      </c>
      <c r="J895" t="s">
        <v>3966</v>
      </c>
      <c r="K895" t="s">
        <v>3966</v>
      </c>
      <c r="L895" t="s">
        <v>3966</v>
      </c>
      <c r="N895" t="s">
        <v>3967</v>
      </c>
      <c r="O895" t="s">
        <v>117</v>
      </c>
      <c r="S895" t="s">
        <v>121</v>
      </c>
      <c r="AI895" t="s">
        <v>646</v>
      </c>
      <c r="AM895" t="s">
        <v>150</v>
      </c>
      <c r="AS895" t="s">
        <v>135</v>
      </c>
      <c r="BG895">
        <v>60</v>
      </c>
      <c r="BM895" t="s">
        <v>137</v>
      </c>
      <c r="BN895">
        <v>0</v>
      </c>
    </row>
    <row r="896" spans="1:92" x14ac:dyDescent="0.2">
      <c r="A896" t="s">
        <v>111</v>
      </c>
      <c r="B896" t="b">
        <v>1</v>
      </c>
      <c r="E896">
        <v>986</v>
      </c>
      <c r="F896" t="str">
        <f>HYPERLINK("https://portal.dnb.de/opac.htm?method=simpleSearch&amp;cqlMode=true&amp;query=idn%3D994827342", "Portal")</f>
        <v>Portal</v>
      </c>
      <c r="G896" t="s">
        <v>112</v>
      </c>
      <c r="H896" t="s">
        <v>3968</v>
      </c>
      <c r="I896" t="s">
        <v>3969</v>
      </c>
      <c r="J896" t="s">
        <v>3970</v>
      </c>
      <c r="K896" t="s">
        <v>3970</v>
      </c>
      <c r="L896" t="s">
        <v>3970</v>
      </c>
      <c r="N896" t="s">
        <v>3971</v>
      </c>
      <c r="O896" t="s">
        <v>117</v>
      </c>
      <c r="S896" t="s">
        <v>121</v>
      </c>
      <c r="AI896" t="s">
        <v>135</v>
      </c>
      <c r="AM896" t="s">
        <v>134</v>
      </c>
      <c r="AS896" t="s">
        <v>135</v>
      </c>
      <c r="BG896">
        <v>110</v>
      </c>
      <c r="BM896" t="s">
        <v>137</v>
      </c>
      <c r="BN896">
        <v>0</v>
      </c>
    </row>
    <row r="897" spans="1:111" x14ac:dyDescent="0.2">
      <c r="A897" t="s">
        <v>111</v>
      </c>
      <c r="B897" t="b">
        <v>1</v>
      </c>
      <c r="E897">
        <v>987</v>
      </c>
      <c r="F897" t="str">
        <f>HYPERLINK("https://portal.dnb.de/opac.htm?method=simpleSearch&amp;cqlMode=true&amp;query=idn%3D1002741084", "Portal")</f>
        <v>Portal</v>
      </c>
      <c r="G897" t="s">
        <v>112</v>
      </c>
      <c r="H897" t="s">
        <v>3972</v>
      </c>
      <c r="I897" t="s">
        <v>3973</v>
      </c>
      <c r="J897" t="s">
        <v>3974</v>
      </c>
      <c r="K897" t="s">
        <v>3974</v>
      </c>
      <c r="L897" t="s">
        <v>3974</v>
      </c>
      <c r="N897" t="s">
        <v>3975</v>
      </c>
      <c r="O897" t="s">
        <v>117</v>
      </c>
      <c r="S897" t="s">
        <v>146</v>
      </c>
      <c r="AI897" t="s">
        <v>646</v>
      </c>
      <c r="AM897" t="s">
        <v>134</v>
      </c>
      <c r="AS897" t="s">
        <v>135</v>
      </c>
      <c r="BG897">
        <v>110</v>
      </c>
      <c r="BM897" t="s">
        <v>137</v>
      </c>
      <c r="BN897">
        <v>0</v>
      </c>
      <c r="BP897" t="s">
        <v>181</v>
      </c>
    </row>
    <row r="898" spans="1:111" x14ac:dyDescent="0.2">
      <c r="A898" t="s">
        <v>111</v>
      </c>
      <c r="B898" t="b">
        <v>1</v>
      </c>
      <c r="E898">
        <v>988</v>
      </c>
      <c r="F898" t="str">
        <f>HYPERLINK("https://portal.dnb.de/opac.htm?method=simpleSearch&amp;cqlMode=true&amp;query=idn%3D994245459", "Portal")</f>
        <v>Portal</v>
      </c>
      <c r="G898" t="s">
        <v>112</v>
      </c>
      <c r="H898" t="s">
        <v>3976</v>
      </c>
      <c r="I898" t="s">
        <v>3977</v>
      </c>
      <c r="J898" t="s">
        <v>3978</v>
      </c>
      <c r="K898" t="s">
        <v>3978</v>
      </c>
      <c r="L898" t="s">
        <v>3978</v>
      </c>
      <c r="N898" t="s">
        <v>3979</v>
      </c>
      <c r="O898" t="s">
        <v>117</v>
      </c>
      <c r="S898" t="s">
        <v>121</v>
      </c>
      <c r="AI898" t="s">
        <v>149</v>
      </c>
      <c r="AM898" t="s">
        <v>196</v>
      </c>
      <c r="AS898" t="s">
        <v>135</v>
      </c>
      <c r="BG898">
        <v>110</v>
      </c>
      <c r="BM898" t="s">
        <v>137</v>
      </c>
      <c r="BN898">
        <v>0</v>
      </c>
      <c r="BP898" t="s">
        <v>181</v>
      </c>
    </row>
    <row r="899" spans="1:111" x14ac:dyDescent="0.2">
      <c r="A899" t="s">
        <v>111</v>
      </c>
      <c r="B899" t="b">
        <v>1</v>
      </c>
      <c r="E899">
        <v>989</v>
      </c>
      <c r="F899" t="str">
        <f>HYPERLINK("https://portal.dnb.de/opac.htm?method=simpleSearch&amp;cqlMode=true&amp;query=idn%3D997391812", "Portal")</f>
        <v>Portal</v>
      </c>
      <c r="G899" t="s">
        <v>112</v>
      </c>
      <c r="H899" t="s">
        <v>3980</v>
      </c>
      <c r="I899" t="s">
        <v>3981</v>
      </c>
      <c r="J899" t="s">
        <v>3982</v>
      </c>
      <c r="K899" t="s">
        <v>3982</v>
      </c>
      <c r="L899" t="s">
        <v>3982</v>
      </c>
      <c r="N899" t="s">
        <v>3983</v>
      </c>
      <c r="O899" t="s">
        <v>117</v>
      </c>
      <c r="S899" t="s">
        <v>146</v>
      </c>
      <c r="AI899" t="s">
        <v>646</v>
      </c>
      <c r="AJ899" t="s">
        <v>3812</v>
      </c>
      <c r="AL899" t="s">
        <v>132</v>
      </c>
      <c r="AM899" t="s">
        <v>150</v>
      </c>
      <c r="AS899" t="s">
        <v>135</v>
      </c>
      <c r="BE899">
        <v>2</v>
      </c>
      <c r="BG899">
        <v>110</v>
      </c>
      <c r="BM899" t="s">
        <v>137</v>
      </c>
      <c r="BN899">
        <v>0</v>
      </c>
      <c r="BP899" t="s">
        <v>181</v>
      </c>
    </row>
    <row r="900" spans="1:111" x14ac:dyDescent="0.2">
      <c r="A900" t="s">
        <v>111</v>
      </c>
      <c r="B900" t="b">
        <v>1</v>
      </c>
      <c r="E900">
        <v>991</v>
      </c>
      <c r="F900" t="str">
        <f>HYPERLINK("https://portal.dnb.de/opac.htm?method=simpleSearch&amp;cqlMode=true&amp;query=idn%3D99981530X", "Portal")</f>
        <v>Portal</v>
      </c>
      <c r="G900" t="s">
        <v>112</v>
      </c>
      <c r="H900" t="s">
        <v>3984</v>
      </c>
      <c r="I900" t="s">
        <v>3985</v>
      </c>
      <c r="J900" t="s">
        <v>3986</v>
      </c>
      <c r="K900" t="s">
        <v>3986</v>
      </c>
      <c r="L900" t="s">
        <v>3986</v>
      </c>
      <c r="N900" t="s">
        <v>3987</v>
      </c>
      <c r="O900" t="s">
        <v>117</v>
      </c>
      <c r="S900" t="s">
        <v>121</v>
      </c>
      <c r="AI900" t="s">
        <v>646</v>
      </c>
      <c r="AL900" t="s">
        <v>132</v>
      </c>
      <c r="AM900" t="s">
        <v>134</v>
      </c>
      <c r="AS900" t="s">
        <v>135</v>
      </c>
      <c r="BE900">
        <v>4</v>
      </c>
      <c r="BG900">
        <v>110</v>
      </c>
      <c r="BK900" t="s">
        <v>132</v>
      </c>
      <c r="BM900" t="s">
        <v>137</v>
      </c>
      <c r="BN900">
        <v>0</v>
      </c>
      <c r="BP900" t="s">
        <v>181</v>
      </c>
    </row>
    <row r="901" spans="1:111" x14ac:dyDescent="0.2">
      <c r="A901" t="s">
        <v>111</v>
      </c>
      <c r="B901" t="b">
        <v>1</v>
      </c>
      <c r="E901">
        <v>992</v>
      </c>
      <c r="F901" t="str">
        <f>HYPERLINK("https://portal.dnb.de/opac.htm?method=simpleSearch&amp;cqlMode=true&amp;query=idn%3D995639922", "Portal")</f>
        <v>Portal</v>
      </c>
      <c r="G901" t="s">
        <v>112</v>
      </c>
      <c r="H901" t="s">
        <v>3988</v>
      </c>
      <c r="I901" t="s">
        <v>3989</v>
      </c>
      <c r="J901" t="s">
        <v>3990</v>
      </c>
      <c r="K901" t="s">
        <v>3990</v>
      </c>
      <c r="L901" t="s">
        <v>3990</v>
      </c>
      <c r="N901" t="s">
        <v>3991</v>
      </c>
      <c r="O901" t="s">
        <v>117</v>
      </c>
      <c r="S901" t="s">
        <v>121</v>
      </c>
      <c r="AI901" t="s">
        <v>646</v>
      </c>
      <c r="AM901" t="s">
        <v>150</v>
      </c>
      <c r="AS901" t="s">
        <v>135</v>
      </c>
      <c r="BG901">
        <v>110</v>
      </c>
      <c r="BM901" t="s">
        <v>137</v>
      </c>
      <c r="BN901">
        <v>0</v>
      </c>
    </row>
    <row r="902" spans="1:111" x14ac:dyDescent="0.2">
      <c r="A902" t="s">
        <v>111</v>
      </c>
      <c r="B902" t="b">
        <v>1</v>
      </c>
      <c r="E902">
        <v>993</v>
      </c>
      <c r="F902" t="str">
        <f>HYPERLINK("https://portal.dnb.de/opac.htm?method=simpleSearch&amp;cqlMode=true&amp;query=idn%3D999831461", "Portal")</f>
        <v>Portal</v>
      </c>
      <c r="G902" t="s">
        <v>112</v>
      </c>
      <c r="H902" t="s">
        <v>3992</v>
      </c>
      <c r="I902" t="s">
        <v>3993</v>
      </c>
      <c r="J902" t="s">
        <v>3994</v>
      </c>
      <c r="K902" t="s">
        <v>3994</v>
      </c>
      <c r="L902" t="s">
        <v>3994</v>
      </c>
      <c r="N902" t="s">
        <v>3995</v>
      </c>
      <c r="O902" t="s">
        <v>117</v>
      </c>
      <c r="S902" t="s">
        <v>121</v>
      </c>
      <c r="AI902" t="s">
        <v>792</v>
      </c>
      <c r="AM902" t="s">
        <v>150</v>
      </c>
      <c r="AS902" t="s">
        <v>135</v>
      </c>
      <c r="BG902">
        <v>110</v>
      </c>
      <c r="BM902" t="s">
        <v>137</v>
      </c>
      <c r="BN902">
        <v>0</v>
      </c>
    </row>
    <row r="903" spans="1:111" x14ac:dyDescent="0.2">
      <c r="A903" t="s">
        <v>111</v>
      </c>
      <c r="B903" t="b">
        <v>1</v>
      </c>
      <c r="C903" t="s">
        <v>132</v>
      </c>
      <c r="E903">
        <v>994</v>
      </c>
      <c r="F903" t="str">
        <f>HYPERLINK("https://portal.dnb.de/opac.htm?method=simpleSearch&amp;cqlMode=true&amp;query=idn%3D994566255", "Portal")</f>
        <v>Portal</v>
      </c>
      <c r="G903" t="s">
        <v>112</v>
      </c>
      <c r="H903" t="s">
        <v>3996</v>
      </c>
      <c r="I903" t="s">
        <v>3997</v>
      </c>
      <c r="J903" t="s">
        <v>3998</v>
      </c>
      <c r="K903" t="s">
        <v>3998</v>
      </c>
      <c r="L903" t="s">
        <v>3998</v>
      </c>
      <c r="M903" t="s">
        <v>3822</v>
      </c>
      <c r="N903" t="s">
        <v>3999</v>
      </c>
      <c r="O903" t="s">
        <v>117</v>
      </c>
      <c r="S903" t="s">
        <v>1193</v>
      </c>
      <c r="AI903" t="s">
        <v>149</v>
      </c>
      <c r="AM903" t="s">
        <v>196</v>
      </c>
      <c r="AR903" t="s">
        <v>132</v>
      </c>
      <c r="AS903" t="s">
        <v>135</v>
      </c>
      <c r="BC903" t="s">
        <v>1768</v>
      </c>
      <c r="BD903" t="s">
        <v>132</v>
      </c>
      <c r="BG903">
        <v>60</v>
      </c>
      <c r="BM903" t="s">
        <v>180</v>
      </c>
      <c r="BN903">
        <v>0.5</v>
      </c>
      <c r="BT903" t="s">
        <v>562</v>
      </c>
      <c r="BU903" t="s">
        <v>132</v>
      </c>
      <c r="BY903" t="s">
        <v>460</v>
      </c>
      <c r="CO903" t="s">
        <v>132</v>
      </c>
      <c r="DF903">
        <v>0.5</v>
      </c>
      <c r="DG903" t="s">
        <v>4000</v>
      </c>
    </row>
    <row r="904" spans="1:111" x14ac:dyDescent="0.2">
      <c r="A904" t="s">
        <v>111</v>
      </c>
      <c r="B904" t="b">
        <v>1</v>
      </c>
      <c r="C904" t="s">
        <v>132</v>
      </c>
      <c r="E904">
        <v>995</v>
      </c>
      <c r="F904" t="str">
        <f>HYPERLINK("https://portal.dnb.de/opac.htm?method=simpleSearch&amp;cqlMode=true&amp;query=idn%3D1002268591", "Portal")</f>
        <v>Portal</v>
      </c>
      <c r="G904" t="s">
        <v>112</v>
      </c>
      <c r="H904" t="s">
        <v>4001</v>
      </c>
      <c r="I904" t="s">
        <v>4002</v>
      </c>
      <c r="J904" t="s">
        <v>4003</v>
      </c>
      <c r="K904" t="s">
        <v>4003</v>
      </c>
      <c r="L904" t="s">
        <v>4003</v>
      </c>
      <c r="N904" t="s">
        <v>4004</v>
      </c>
      <c r="O904" t="s">
        <v>117</v>
      </c>
      <c r="S904" t="s">
        <v>146</v>
      </c>
      <c r="AI904" t="s">
        <v>646</v>
      </c>
      <c r="AM904" t="s">
        <v>150</v>
      </c>
      <c r="AS904" t="s">
        <v>135</v>
      </c>
      <c r="BG904">
        <v>110</v>
      </c>
      <c r="BM904" t="s">
        <v>180</v>
      </c>
      <c r="BN904">
        <v>1.5</v>
      </c>
      <c r="BT904" t="s">
        <v>562</v>
      </c>
      <c r="BU904" t="s">
        <v>132</v>
      </c>
      <c r="CS904" t="s">
        <v>132</v>
      </c>
      <c r="CW904" t="s">
        <v>132</v>
      </c>
      <c r="DC904" t="s">
        <v>132</v>
      </c>
      <c r="DF904">
        <v>1.5</v>
      </c>
    </row>
    <row r="905" spans="1:111" x14ac:dyDescent="0.2">
      <c r="A905" t="s">
        <v>111</v>
      </c>
      <c r="B905" t="b">
        <v>1</v>
      </c>
      <c r="C905" t="s">
        <v>132</v>
      </c>
      <c r="E905">
        <v>996</v>
      </c>
      <c r="F905" t="str">
        <f>HYPERLINK("https://portal.dnb.de/opac.htm?method=simpleSearch&amp;cqlMode=true&amp;query=idn%3D1026393566", "Portal")</f>
        <v>Portal</v>
      </c>
      <c r="G905" t="s">
        <v>415</v>
      </c>
      <c r="H905" t="s">
        <v>4005</v>
      </c>
      <c r="I905" t="s">
        <v>4006</v>
      </c>
      <c r="J905" t="s">
        <v>4007</v>
      </c>
      <c r="K905" t="s">
        <v>4007</v>
      </c>
      <c r="L905" t="s">
        <v>4007</v>
      </c>
      <c r="N905" t="s">
        <v>4008</v>
      </c>
      <c r="O905" t="s">
        <v>117</v>
      </c>
      <c r="Q905" t="s">
        <v>4009</v>
      </c>
      <c r="S905" t="s">
        <v>146</v>
      </c>
      <c r="AI905" t="s">
        <v>135</v>
      </c>
      <c r="AM905" t="s">
        <v>150</v>
      </c>
      <c r="AS905" t="s">
        <v>135</v>
      </c>
      <c r="BC905" t="s">
        <v>3277</v>
      </c>
      <c r="BD905" t="s">
        <v>132</v>
      </c>
      <c r="BE905">
        <v>0</v>
      </c>
      <c r="BF905" t="s">
        <v>132</v>
      </c>
      <c r="BG905">
        <v>110</v>
      </c>
      <c r="BM905" t="s">
        <v>180</v>
      </c>
      <c r="BN905">
        <v>0.5</v>
      </c>
      <c r="BS905" t="s">
        <v>132</v>
      </c>
      <c r="CB905" t="s">
        <v>132</v>
      </c>
      <c r="CM905">
        <v>0.5</v>
      </c>
    </row>
    <row r="906" spans="1:111" x14ac:dyDescent="0.2">
      <c r="A906" t="s">
        <v>111</v>
      </c>
      <c r="B906" t="b">
        <v>1</v>
      </c>
      <c r="E906">
        <v>997</v>
      </c>
      <c r="F906" t="str">
        <f>HYPERLINK("https://portal.dnb.de/opac.htm?method=simpleSearch&amp;cqlMode=true&amp;query=idn%3D118582569X", "Portal")</f>
        <v>Portal</v>
      </c>
      <c r="G906" t="s">
        <v>415</v>
      </c>
      <c r="H906" t="s">
        <v>4010</v>
      </c>
      <c r="I906" t="s">
        <v>4011</v>
      </c>
      <c r="J906" t="s">
        <v>4012</v>
      </c>
      <c r="K906" t="s">
        <v>4012</v>
      </c>
      <c r="L906" t="s">
        <v>4012</v>
      </c>
      <c r="N906" t="s">
        <v>4013</v>
      </c>
      <c r="O906" t="s">
        <v>117</v>
      </c>
      <c r="Q906" t="s">
        <v>4014</v>
      </c>
      <c r="S906" t="s">
        <v>121</v>
      </c>
      <c r="AI906" t="s">
        <v>646</v>
      </c>
      <c r="AM906" t="s">
        <v>150</v>
      </c>
      <c r="AS906" t="s">
        <v>135</v>
      </c>
      <c r="BG906">
        <v>110</v>
      </c>
      <c r="BM906" t="s">
        <v>137</v>
      </c>
      <c r="BN906">
        <v>0</v>
      </c>
      <c r="BS906" t="s">
        <v>132</v>
      </c>
    </row>
    <row r="907" spans="1:111" x14ac:dyDescent="0.2">
      <c r="A907" t="s">
        <v>111</v>
      </c>
      <c r="B907" t="b">
        <v>1</v>
      </c>
      <c r="E907">
        <v>1014</v>
      </c>
      <c r="F907" t="str">
        <f>HYPERLINK("https://portal.dnb.de/opac.htm?method=simpleSearch&amp;cqlMode=true&amp;query=idn%3D1066959722", "Portal")</f>
        <v>Portal</v>
      </c>
      <c r="G907" t="s">
        <v>125</v>
      </c>
      <c r="H907" t="s">
        <v>4015</v>
      </c>
      <c r="I907" t="s">
        <v>4016</v>
      </c>
      <c r="J907" t="s">
        <v>4017</v>
      </c>
      <c r="K907" t="s">
        <v>4017</v>
      </c>
      <c r="L907" t="s">
        <v>4017</v>
      </c>
      <c r="N907" t="s">
        <v>4018</v>
      </c>
      <c r="O907" t="s">
        <v>117</v>
      </c>
      <c r="S907" t="s">
        <v>146</v>
      </c>
      <c r="AI907" t="s">
        <v>365</v>
      </c>
      <c r="AK907" t="s">
        <v>132</v>
      </c>
      <c r="AM907" t="s">
        <v>134</v>
      </c>
      <c r="AS907" t="s">
        <v>135</v>
      </c>
      <c r="BG907">
        <v>110</v>
      </c>
      <c r="BM907" t="s">
        <v>137</v>
      </c>
      <c r="BN907">
        <v>0</v>
      </c>
      <c r="BR907" t="s">
        <v>132</v>
      </c>
    </row>
    <row r="908" spans="1:111" x14ac:dyDescent="0.2">
      <c r="A908" t="s">
        <v>111</v>
      </c>
      <c r="B908" t="b">
        <v>1</v>
      </c>
      <c r="E908">
        <v>1015</v>
      </c>
      <c r="F908" t="str">
        <f>HYPERLINK("https://portal.dnb.de/opac.htm?method=simpleSearch&amp;cqlMode=true&amp;query=idn%3D1066961492", "Portal")</f>
        <v>Portal</v>
      </c>
      <c r="G908" t="s">
        <v>125</v>
      </c>
      <c r="H908" t="s">
        <v>4019</v>
      </c>
      <c r="I908" t="s">
        <v>4020</v>
      </c>
      <c r="J908" t="s">
        <v>4021</v>
      </c>
      <c r="K908" t="s">
        <v>4021</v>
      </c>
      <c r="L908" t="s">
        <v>4021</v>
      </c>
      <c r="N908" t="s">
        <v>4022</v>
      </c>
      <c r="O908" t="s">
        <v>117</v>
      </c>
      <c r="S908" t="s">
        <v>121</v>
      </c>
      <c r="AI908" t="s">
        <v>792</v>
      </c>
      <c r="AM908" t="s">
        <v>134</v>
      </c>
      <c r="AS908" t="s">
        <v>135</v>
      </c>
      <c r="BG908">
        <v>110</v>
      </c>
      <c r="BM908" t="s">
        <v>137</v>
      </c>
      <c r="BN908">
        <v>0</v>
      </c>
    </row>
    <row r="909" spans="1:111" x14ac:dyDescent="0.2">
      <c r="A909" t="s">
        <v>111</v>
      </c>
      <c r="B909" t="b">
        <v>1</v>
      </c>
      <c r="F909" t="str">
        <f>HYPERLINK("https://portal.dnb.de/opac.htm?method=simpleSearch&amp;cqlMode=true&amp;query=idn%3D1272478068", "Portal")</f>
        <v>Portal</v>
      </c>
      <c r="G909" t="s">
        <v>319</v>
      </c>
      <c r="H909" t="s">
        <v>4023</v>
      </c>
      <c r="I909" t="s">
        <v>4024</v>
      </c>
      <c r="J909" t="s">
        <v>4025</v>
      </c>
      <c r="K909" t="s">
        <v>4026</v>
      </c>
      <c r="L909" t="s">
        <v>4026</v>
      </c>
      <c r="N909" t="s">
        <v>338</v>
      </c>
      <c r="O909" t="s">
        <v>117</v>
      </c>
      <c r="S909" t="s">
        <v>146</v>
      </c>
      <c r="AI909" t="s">
        <v>149</v>
      </c>
      <c r="AL909" t="s">
        <v>132</v>
      </c>
      <c r="AM909" t="s">
        <v>196</v>
      </c>
      <c r="AS909" t="s">
        <v>135</v>
      </c>
      <c r="BE909">
        <v>4</v>
      </c>
      <c r="BF909" t="s">
        <v>132</v>
      </c>
      <c r="BG909">
        <v>80</v>
      </c>
      <c r="BM909" t="s">
        <v>137</v>
      </c>
      <c r="BN909">
        <v>0</v>
      </c>
      <c r="BP909" t="s">
        <v>181</v>
      </c>
    </row>
    <row r="910" spans="1:111" x14ac:dyDescent="0.2">
      <c r="A910" t="s">
        <v>111</v>
      </c>
      <c r="B910" t="b">
        <v>1</v>
      </c>
      <c r="C910" t="s">
        <v>132</v>
      </c>
      <c r="F910" t="str">
        <f>HYPERLINK("https://portal.dnb.de/opac.htm?method=simpleSearch&amp;cqlMode=true&amp;query=idn%3D1262282411", "Portal")</f>
        <v>Portal</v>
      </c>
      <c r="G910" t="s">
        <v>319</v>
      </c>
      <c r="H910" t="s">
        <v>4027</v>
      </c>
      <c r="I910" t="s">
        <v>4028</v>
      </c>
      <c r="J910" t="s">
        <v>4029</v>
      </c>
      <c r="K910" t="s">
        <v>4029</v>
      </c>
      <c r="L910" t="s">
        <v>4029</v>
      </c>
      <c r="N910" t="s">
        <v>338</v>
      </c>
      <c r="O910" t="s">
        <v>117</v>
      </c>
      <c r="Q910" t="s">
        <v>4030</v>
      </c>
      <c r="S910" t="s">
        <v>146</v>
      </c>
      <c r="AI910" t="s">
        <v>149</v>
      </c>
      <c r="AL910" t="s">
        <v>132</v>
      </c>
      <c r="AM910" t="s">
        <v>196</v>
      </c>
      <c r="AS910" t="s">
        <v>135</v>
      </c>
      <c r="BG910">
        <v>60</v>
      </c>
      <c r="BM910" t="s">
        <v>180</v>
      </c>
      <c r="BN910">
        <v>1</v>
      </c>
      <c r="BR910" t="s">
        <v>132</v>
      </c>
      <c r="CG910" t="s">
        <v>132</v>
      </c>
      <c r="CM910">
        <v>1</v>
      </c>
      <c r="CN910" t="s">
        <v>4031</v>
      </c>
    </row>
    <row r="911" spans="1:111" x14ac:dyDescent="0.2">
      <c r="A911" t="s">
        <v>111</v>
      </c>
      <c r="B911" t="b">
        <v>1</v>
      </c>
      <c r="F911" t="str">
        <f>HYPERLINK("https://portal.dnb.de/opac.htm?method=simpleSearch&amp;cqlMode=true&amp;query=idn%3D1263172806", "Portal")</f>
        <v>Portal</v>
      </c>
      <c r="G911" t="s">
        <v>319</v>
      </c>
      <c r="H911" t="s">
        <v>4032</v>
      </c>
      <c r="I911" t="s">
        <v>4033</v>
      </c>
      <c r="J911" t="s">
        <v>4034</v>
      </c>
      <c r="K911" t="s">
        <v>4034</v>
      </c>
      <c r="L911" t="s">
        <v>4034</v>
      </c>
      <c r="N911" t="s">
        <v>323</v>
      </c>
      <c r="O911" t="s">
        <v>117</v>
      </c>
      <c r="S911" t="s">
        <v>121</v>
      </c>
      <c r="AI911" t="s">
        <v>365</v>
      </c>
      <c r="AK911" t="s">
        <v>132</v>
      </c>
      <c r="AM911" t="s">
        <v>134</v>
      </c>
      <c r="AS911" t="s">
        <v>135</v>
      </c>
      <c r="BG911">
        <v>110</v>
      </c>
      <c r="BM911" t="s">
        <v>137</v>
      </c>
      <c r="BN911">
        <v>0</v>
      </c>
      <c r="BR911" t="s">
        <v>132</v>
      </c>
    </row>
    <row r="912" spans="1:111" x14ac:dyDescent="0.2">
      <c r="A912" t="s">
        <v>111</v>
      </c>
      <c r="B912" t="b">
        <v>1</v>
      </c>
      <c r="E912">
        <v>1027</v>
      </c>
      <c r="F912" t="str">
        <f>HYPERLINK("https://portal.dnb.de/opac.htm?method=simpleSearch&amp;cqlMode=true&amp;query=idn%3D998925993", "Portal")</f>
        <v>Portal</v>
      </c>
      <c r="G912" t="s">
        <v>112</v>
      </c>
      <c r="H912" t="s">
        <v>4035</v>
      </c>
      <c r="I912" t="s">
        <v>4036</v>
      </c>
      <c r="J912" t="s">
        <v>4037</v>
      </c>
      <c r="K912" t="s">
        <v>4037</v>
      </c>
      <c r="L912" t="s">
        <v>4037</v>
      </c>
      <c r="N912" t="s">
        <v>4038</v>
      </c>
      <c r="O912" t="s">
        <v>117</v>
      </c>
      <c r="S912" t="s">
        <v>121</v>
      </c>
      <c r="AI912" t="s">
        <v>1684</v>
      </c>
      <c r="AL912" t="s">
        <v>132</v>
      </c>
      <c r="AM912" t="s">
        <v>196</v>
      </c>
      <c r="AS912" t="s">
        <v>135</v>
      </c>
      <c r="BG912" t="s">
        <v>1223</v>
      </c>
      <c r="BM912" t="s">
        <v>137</v>
      </c>
      <c r="BN912">
        <v>0</v>
      </c>
      <c r="BS912" t="s">
        <v>4039</v>
      </c>
      <c r="BV912" t="s">
        <v>4040</v>
      </c>
      <c r="BW912" t="s">
        <v>1746</v>
      </c>
    </row>
    <row r="913" spans="1:75" x14ac:dyDescent="0.2">
      <c r="A913" t="s">
        <v>111</v>
      </c>
      <c r="B913" t="b">
        <v>1</v>
      </c>
      <c r="E913">
        <v>1017</v>
      </c>
      <c r="F913" t="str">
        <f>HYPERLINK("https://portal.dnb.de/opac.htm?method=simpleSearch&amp;cqlMode=true&amp;query=idn%3D1066960240", "Portal")</f>
        <v>Portal</v>
      </c>
      <c r="G913" t="s">
        <v>125</v>
      </c>
      <c r="H913" t="s">
        <v>4041</v>
      </c>
      <c r="I913" t="s">
        <v>4042</v>
      </c>
      <c r="J913" t="s">
        <v>4043</v>
      </c>
      <c r="K913" t="s">
        <v>4043</v>
      </c>
      <c r="L913" t="s">
        <v>4043</v>
      </c>
      <c r="N913" t="s">
        <v>4044</v>
      </c>
      <c r="O913" t="s">
        <v>117</v>
      </c>
      <c r="S913" t="s">
        <v>121</v>
      </c>
      <c r="AI913" t="s">
        <v>325</v>
      </c>
      <c r="AK913" t="s">
        <v>132</v>
      </c>
      <c r="AM913" t="s">
        <v>134</v>
      </c>
      <c r="AS913" t="s">
        <v>135</v>
      </c>
      <c r="AT913" t="s">
        <v>132</v>
      </c>
      <c r="BG913">
        <v>110</v>
      </c>
      <c r="BM913" t="s">
        <v>137</v>
      </c>
      <c r="BN913">
        <v>0</v>
      </c>
    </row>
    <row r="914" spans="1:75" x14ac:dyDescent="0.2">
      <c r="A914" t="s">
        <v>111</v>
      </c>
      <c r="B914" t="b">
        <v>1</v>
      </c>
      <c r="E914">
        <v>1018</v>
      </c>
      <c r="F914" t="str">
        <f>HYPERLINK("https://portal.dnb.de/opac.htm?method=simpleSearch&amp;cqlMode=true&amp;query=idn%3D994422938", "Portal")</f>
        <v>Portal</v>
      </c>
      <c r="G914" t="s">
        <v>112</v>
      </c>
      <c r="H914" t="s">
        <v>4045</v>
      </c>
      <c r="I914" t="s">
        <v>4046</v>
      </c>
      <c r="J914" t="s">
        <v>4047</v>
      </c>
      <c r="K914" t="s">
        <v>4047</v>
      </c>
      <c r="L914" t="s">
        <v>4047</v>
      </c>
      <c r="N914" t="s">
        <v>4048</v>
      </c>
      <c r="O914" t="s">
        <v>117</v>
      </c>
      <c r="S914" t="s">
        <v>121</v>
      </c>
      <c r="AI914" t="s">
        <v>325</v>
      </c>
      <c r="AM914" t="s">
        <v>134</v>
      </c>
      <c r="AS914" t="s">
        <v>135</v>
      </c>
      <c r="BG914">
        <v>110</v>
      </c>
      <c r="BM914" t="s">
        <v>137</v>
      </c>
      <c r="BN914">
        <v>0</v>
      </c>
    </row>
    <row r="915" spans="1:75" x14ac:dyDescent="0.2">
      <c r="A915" t="s">
        <v>111</v>
      </c>
      <c r="B915" t="b">
        <v>1</v>
      </c>
      <c r="E915">
        <v>1019</v>
      </c>
      <c r="F915" t="str">
        <f>HYPERLINK("https://portal.dnb.de/opac.htm?method=simpleSearch&amp;cqlMode=true&amp;query=idn%3D1002324033", "Portal")</f>
        <v>Portal</v>
      </c>
      <c r="G915" t="s">
        <v>112</v>
      </c>
      <c r="H915" t="s">
        <v>4049</v>
      </c>
      <c r="I915" t="s">
        <v>4050</v>
      </c>
      <c r="J915" t="s">
        <v>4051</v>
      </c>
      <c r="K915" t="s">
        <v>4051</v>
      </c>
      <c r="L915" t="s">
        <v>4051</v>
      </c>
      <c r="N915" t="s">
        <v>4052</v>
      </c>
      <c r="O915" t="s">
        <v>117</v>
      </c>
      <c r="S915" t="s">
        <v>121</v>
      </c>
      <c r="AI915" t="s">
        <v>133</v>
      </c>
      <c r="AM915" t="s">
        <v>196</v>
      </c>
      <c r="AP915" t="s">
        <v>132</v>
      </c>
      <c r="AS915" t="s">
        <v>135</v>
      </c>
      <c r="BG915" t="s">
        <v>793</v>
      </c>
      <c r="BM915" t="s">
        <v>137</v>
      </c>
      <c r="BN915">
        <v>0</v>
      </c>
      <c r="BS915" t="s">
        <v>132</v>
      </c>
      <c r="BV915" t="s">
        <v>4053</v>
      </c>
    </row>
    <row r="916" spans="1:75" x14ac:dyDescent="0.2">
      <c r="A916" t="s">
        <v>111</v>
      </c>
      <c r="B916" t="b">
        <v>1</v>
      </c>
      <c r="E916">
        <v>1028</v>
      </c>
      <c r="F916" t="str">
        <f>HYPERLINK("https://portal.dnb.de/opac.htm?method=simpleSearch&amp;cqlMode=true&amp;query=idn%3D994060793", "Portal")</f>
        <v>Portal</v>
      </c>
      <c r="G916" t="s">
        <v>112</v>
      </c>
      <c r="H916" t="s">
        <v>4054</v>
      </c>
      <c r="I916" t="s">
        <v>4055</v>
      </c>
      <c r="J916" t="s">
        <v>4056</v>
      </c>
      <c r="K916" t="s">
        <v>4056</v>
      </c>
      <c r="L916" t="s">
        <v>4056</v>
      </c>
      <c r="N916" t="s">
        <v>4057</v>
      </c>
      <c r="O916" t="s">
        <v>117</v>
      </c>
      <c r="S916" t="s">
        <v>121</v>
      </c>
      <c r="AI916" t="s">
        <v>792</v>
      </c>
      <c r="AM916" t="s">
        <v>134</v>
      </c>
      <c r="AS916" t="s">
        <v>135</v>
      </c>
      <c r="BG916">
        <v>110</v>
      </c>
      <c r="BM916" t="s">
        <v>137</v>
      </c>
      <c r="BN916">
        <v>0</v>
      </c>
    </row>
    <row r="917" spans="1:75" x14ac:dyDescent="0.2">
      <c r="A917" t="s">
        <v>111</v>
      </c>
      <c r="B917" t="b">
        <v>1</v>
      </c>
      <c r="F917" t="str">
        <f>HYPERLINK("https://portal.dnb.de/opac.htm?method=simpleSearch&amp;cqlMode=true&amp;query=idn%3D1138315893", "Portal")</f>
        <v>Portal</v>
      </c>
      <c r="G917" t="s">
        <v>319</v>
      </c>
      <c r="H917" t="s">
        <v>4058</v>
      </c>
      <c r="I917" t="s">
        <v>4059</v>
      </c>
      <c r="J917" t="s">
        <v>4060</v>
      </c>
      <c r="K917" t="s">
        <v>4060</v>
      </c>
      <c r="L917" t="s">
        <v>4060</v>
      </c>
      <c r="N917" t="s">
        <v>4061</v>
      </c>
      <c r="O917" t="s">
        <v>117</v>
      </c>
      <c r="S917" t="s">
        <v>146</v>
      </c>
      <c r="AI917" t="s">
        <v>365</v>
      </c>
      <c r="AK917" t="s">
        <v>132</v>
      </c>
      <c r="AM917" t="s">
        <v>134</v>
      </c>
      <c r="AS917" t="s">
        <v>135</v>
      </c>
      <c r="BG917">
        <v>60</v>
      </c>
      <c r="BM917" t="s">
        <v>137</v>
      </c>
      <c r="BN917">
        <v>0</v>
      </c>
    </row>
    <row r="918" spans="1:75" x14ac:dyDescent="0.2">
      <c r="A918" t="s">
        <v>111</v>
      </c>
      <c r="B918" t="b">
        <v>1</v>
      </c>
      <c r="E918">
        <v>1030</v>
      </c>
      <c r="F918" t="str">
        <f>HYPERLINK("https://portal.dnb.de/opac.htm?method=simpleSearch&amp;cqlMode=true&amp;query=idn%3D1066956685", "Portal")</f>
        <v>Portal</v>
      </c>
      <c r="G918" t="s">
        <v>125</v>
      </c>
      <c r="H918" t="s">
        <v>4062</v>
      </c>
      <c r="I918" t="s">
        <v>4063</v>
      </c>
      <c r="J918" t="s">
        <v>4064</v>
      </c>
      <c r="K918" t="s">
        <v>4064</v>
      </c>
      <c r="L918" t="s">
        <v>4064</v>
      </c>
      <c r="N918" t="s">
        <v>4065</v>
      </c>
      <c r="O918" t="s">
        <v>117</v>
      </c>
      <c r="S918" t="s">
        <v>121</v>
      </c>
      <c r="AI918" t="s">
        <v>135</v>
      </c>
      <c r="AM918" t="s">
        <v>134</v>
      </c>
      <c r="AS918" t="s">
        <v>135</v>
      </c>
      <c r="BG918">
        <v>110</v>
      </c>
      <c r="BM918" t="s">
        <v>137</v>
      </c>
      <c r="BN918">
        <v>0</v>
      </c>
    </row>
    <row r="919" spans="1:75" x14ac:dyDescent="0.2">
      <c r="A919" t="s">
        <v>111</v>
      </c>
      <c r="B919" t="b">
        <v>0</v>
      </c>
      <c r="F919" t="str">
        <f>HYPERLINK("https://portal.dnb.de/opac.htm?method=simpleSearch&amp;cqlMode=true&amp;query=idn%3D", "Portal")</f>
        <v>Portal</v>
      </c>
      <c r="L919" t="s">
        <v>4066</v>
      </c>
      <c r="S919" t="s">
        <v>121</v>
      </c>
      <c r="AI919" t="s">
        <v>1638</v>
      </c>
      <c r="AS919" t="s">
        <v>135</v>
      </c>
      <c r="BG919" t="s">
        <v>1223</v>
      </c>
      <c r="BM919" t="s">
        <v>137</v>
      </c>
      <c r="BN919">
        <v>0</v>
      </c>
      <c r="BS919" t="s">
        <v>132</v>
      </c>
      <c r="BV919" t="s">
        <v>4067</v>
      </c>
      <c r="BW919" t="s">
        <v>1746</v>
      </c>
    </row>
    <row r="920" spans="1:75" x14ac:dyDescent="0.2">
      <c r="A920" t="s">
        <v>111</v>
      </c>
      <c r="B920" t="b">
        <v>1</v>
      </c>
      <c r="F920" t="str">
        <f>HYPERLINK("https://portal.dnb.de/opac.htm?method=simpleSearch&amp;cqlMode=true&amp;query=idn%3D1272480178", "Portal")</f>
        <v>Portal</v>
      </c>
      <c r="G920" t="s">
        <v>112</v>
      </c>
      <c r="H920" t="s">
        <v>4068</v>
      </c>
      <c r="I920" t="s">
        <v>4069</v>
      </c>
      <c r="J920" t="s">
        <v>4066</v>
      </c>
      <c r="K920" t="s">
        <v>4066</v>
      </c>
      <c r="L920" t="s">
        <v>4066</v>
      </c>
      <c r="N920" t="s">
        <v>4070</v>
      </c>
      <c r="O920" t="s">
        <v>117</v>
      </c>
    </row>
    <row r="921" spans="1:75" x14ac:dyDescent="0.2">
      <c r="A921" t="s">
        <v>111</v>
      </c>
      <c r="B921" t="b">
        <v>1</v>
      </c>
      <c r="E921">
        <v>1147</v>
      </c>
      <c r="F921" t="str">
        <f>HYPERLINK("https://portal.dnb.de/opac.htm?method=simpleSearch&amp;cqlMode=true&amp;query=idn%3D998923095", "Portal")</f>
        <v>Portal</v>
      </c>
      <c r="G921" t="s">
        <v>112</v>
      </c>
      <c r="H921" t="s">
        <v>4071</v>
      </c>
      <c r="I921" t="s">
        <v>4072</v>
      </c>
      <c r="J921" t="s">
        <v>4073</v>
      </c>
      <c r="K921" t="s">
        <v>4073</v>
      </c>
      <c r="L921" t="s">
        <v>4074</v>
      </c>
      <c r="N921" t="s">
        <v>4075</v>
      </c>
      <c r="O921" t="s">
        <v>117</v>
      </c>
      <c r="S921" t="s">
        <v>121</v>
      </c>
      <c r="AI921" t="s">
        <v>133</v>
      </c>
      <c r="AM921" t="s">
        <v>196</v>
      </c>
      <c r="AS921" t="s">
        <v>135</v>
      </c>
      <c r="BG921">
        <v>110</v>
      </c>
      <c r="BL921" t="s">
        <v>132</v>
      </c>
      <c r="BM921" t="s">
        <v>137</v>
      </c>
      <c r="BN921">
        <v>0</v>
      </c>
      <c r="BP921" t="s">
        <v>181</v>
      </c>
      <c r="BW921" t="s">
        <v>152</v>
      </c>
    </row>
    <row r="922" spans="1:75" x14ac:dyDescent="0.2">
      <c r="A922" t="s">
        <v>111</v>
      </c>
      <c r="B922" t="b">
        <v>1</v>
      </c>
      <c r="E922">
        <v>1031</v>
      </c>
      <c r="F922" t="str">
        <f>HYPERLINK("https://portal.dnb.de/opac.htm?method=simpleSearch&amp;cqlMode=true&amp;query=idn%3D1066958610", "Portal")</f>
        <v>Portal</v>
      </c>
      <c r="G922" t="s">
        <v>125</v>
      </c>
      <c r="H922" t="s">
        <v>4076</v>
      </c>
      <c r="I922" t="s">
        <v>4077</v>
      </c>
      <c r="J922" t="s">
        <v>4078</v>
      </c>
      <c r="K922" t="s">
        <v>4078</v>
      </c>
      <c r="L922" t="s">
        <v>4078</v>
      </c>
      <c r="N922" t="s">
        <v>4079</v>
      </c>
      <c r="O922" t="s">
        <v>117</v>
      </c>
      <c r="S922" t="s">
        <v>121</v>
      </c>
      <c r="AI922" t="s">
        <v>792</v>
      </c>
      <c r="AM922" t="s">
        <v>134</v>
      </c>
      <c r="AS922" t="s">
        <v>135</v>
      </c>
      <c r="AT922" t="s">
        <v>132</v>
      </c>
      <c r="BG922">
        <v>110</v>
      </c>
      <c r="BM922" t="s">
        <v>137</v>
      </c>
      <c r="BN922">
        <v>0</v>
      </c>
    </row>
    <row r="923" spans="1:75" x14ac:dyDescent="0.2">
      <c r="A923" t="s">
        <v>111</v>
      </c>
      <c r="B923" t="b">
        <v>1</v>
      </c>
      <c r="E923">
        <v>1148</v>
      </c>
      <c r="F923" t="str">
        <f>HYPERLINK("https://portal.dnb.de/opac.htm?method=simpleSearch&amp;cqlMode=true&amp;query=idn%3D99785636X", "Portal")</f>
        <v>Portal</v>
      </c>
      <c r="G923" t="s">
        <v>112</v>
      </c>
      <c r="H923" t="s">
        <v>4080</v>
      </c>
      <c r="I923" t="s">
        <v>4081</v>
      </c>
      <c r="J923" t="s">
        <v>4082</v>
      </c>
      <c r="K923" t="s">
        <v>4082</v>
      </c>
      <c r="L923" t="s">
        <v>4082</v>
      </c>
      <c r="N923" t="s">
        <v>4083</v>
      </c>
      <c r="O923" t="s">
        <v>117</v>
      </c>
      <c r="S923" t="s">
        <v>121</v>
      </c>
      <c r="AI923" t="s">
        <v>792</v>
      </c>
      <c r="AM923" t="s">
        <v>134</v>
      </c>
      <c r="AS923" t="s">
        <v>135</v>
      </c>
      <c r="BG923">
        <v>110</v>
      </c>
      <c r="BK923" t="s">
        <v>132</v>
      </c>
      <c r="BL923" t="s">
        <v>132</v>
      </c>
      <c r="BM923" t="s">
        <v>137</v>
      </c>
      <c r="BN923">
        <v>0</v>
      </c>
    </row>
    <row r="924" spans="1:75" x14ac:dyDescent="0.2">
      <c r="A924" t="s">
        <v>111</v>
      </c>
      <c r="B924" t="b">
        <v>1</v>
      </c>
      <c r="F924" t="str">
        <f>HYPERLINK("https://portal.dnb.de/opac.htm?method=simpleSearch&amp;cqlMode=true&amp;query=idn%3D1263179819", "Portal")</f>
        <v>Portal</v>
      </c>
      <c r="G924" t="s">
        <v>319</v>
      </c>
      <c r="H924" t="s">
        <v>4084</v>
      </c>
      <c r="I924" t="s">
        <v>4085</v>
      </c>
      <c r="J924" t="s">
        <v>4086</v>
      </c>
      <c r="K924" t="s">
        <v>4086</v>
      </c>
      <c r="L924" t="s">
        <v>4086</v>
      </c>
      <c r="N924" t="s">
        <v>4087</v>
      </c>
      <c r="O924" t="s">
        <v>117</v>
      </c>
      <c r="S924" t="s">
        <v>121</v>
      </c>
      <c r="AI924" t="s">
        <v>149</v>
      </c>
      <c r="AM924" t="s">
        <v>196</v>
      </c>
      <c r="AS924" t="s">
        <v>135</v>
      </c>
      <c r="BG924">
        <v>110</v>
      </c>
      <c r="BM924" t="s">
        <v>137</v>
      </c>
      <c r="BN924">
        <v>0</v>
      </c>
      <c r="BR924" t="s">
        <v>132</v>
      </c>
    </row>
    <row r="925" spans="1:75" x14ac:dyDescent="0.2">
      <c r="A925" t="s">
        <v>111</v>
      </c>
      <c r="B925" t="b">
        <v>1</v>
      </c>
      <c r="F925" t="str">
        <f>HYPERLINK("https://portal.dnb.de/opac.htm?method=simpleSearch&amp;cqlMode=true&amp;query=idn%3D1138309168", "Portal")</f>
        <v>Portal</v>
      </c>
      <c r="G925" t="s">
        <v>319</v>
      </c>
      <c r="H925" t="s">
        <v>4088</v>
      </c>
      <c r="I925" t="s">
        <v>4089</v>
      </c>
      <c r="J925" t="s">
        <v>4090</v>
      </c>
      <c r="K925" t="s">
        <v>4090</v>
      </c>
      <c r="L925" t="s">
        <v>4090</v>
      </c>
      <c r="N925" t="s">
        <v>4091</v>
      </c>
      <c r="O925" t="s">
        <v>117</v>
      </c>
      <c r="AD925" t="s">
        <v>489</v>
      </c>
      <c r="BN925">
        <v>0</v>
      </c>
    </row>
    <row r="926" spans="1:75" x14ac:dyDescent="0.2">
      <c r="A926" t="s">
        <v>111</v>
      </c>
      <c r="B926" t="b">
        <v>1</v>
      </c>
      <c r="E926">
        <v>1033</v>
      </c>
      <c r="F926" t="str">
        <f>HYPERLINK("https://portal.dnb.de/opac.htm?method=simpleSearch&amp;cqlMode=true&amp;query=idn%3D1066958041", "Portal")</f>
        <v>Portal</v>
      </c>
      <c r="G926" t="s">
        <v>125</v>
      </c>
      <c r="H926" t="s">
        <v>4092</v>
      </c>
      <c r="I926" t="s">
        <v>4093</v>
      </c>
      <c r="J926" t="s">
        <v>4094</v>
      </c>
      <c r="K926" t="s">
        <v>4094</v>
      </c>
      <c r="L926" t="s">
        <v>4094</v>
      </c>
      <c r="N926" t="s">
        <v>4095</v>
      </c>
      <c r="O926" t="s">
        <v>117</v>
      </c>
      <c r="S926" t="s">
        <v>121</v>
      </c>
      <c r="AI926" t="s">
        <v>792</v>
      </c>
      <c r="AM926" t="s">
        <v>134</v>
      </c>
      <c r="AS926" t="s">
        <v>135</v>
      </c>
      <c r="BG926">
        <v>110</v>
      </c>
      <c r="BM926" t="s">
        <v>137</v>
      </c>
      <c r="BN926">
        <v>0</v>
      </c>
    </row>
    <row r="927" spans="1:75" x14ac:dyDescent="0.2">
      <c r="A927" t="s">
        <v>111</v>
      </c>
      <c r="B927" t="b">
        <v>1</v>
      </c>
      <c r="E927">
        <v>1034</v>
      </c>
      <c r="F927" t="str">
        <f>HYPERLINK("https://portal.dnb.de/opac.htm?method=simpleSearch&amp;cqlMode=true&amp;query=idn%3D1066958505", "Portal")</f>
        <v>Portal</v>
      </c>
      <c r="G927" t="s">
        <v>125</v>
      </c>
      <c r="H927" t="s">
        <v>4096</v>
      </c>
      <c r="I927" t="s">
        <v>4097</v>
      </c>
      <c r="J927" t="s">
        <v>4098</v>
      </c>
      <c r="K927" t="s">
        <v>4098</v>
      </c>
      <c r="L927" t="s">
        <v>4098</v>
      </c>
      <c r="N927" t="s">
        <v>4099</v>
      </c>
      <c r="O927" t="s">
        <v>117</v>
      </c>
      <c r="S927" t="s">
        <v>121</v>
      </c>
      <c r="AI927" t="s">
        <v>325</v>
      </c>
      <c r="AK927" t="s">
        <v>132</v>
      </c>
      <c r="AM927" t="s">
        <v>134</v>
      </c>
      <c r="AS927" t="s">
        <v>135</v>
      </c>
      <c r="AT927" t="s">
        <v>132</v>
      </c>
      <c r="BG927">
        <v>110</v>
      </c>
      <c r="BM927" t="s">
        <v>137</v>
      </c>
      <c r="BN927">
        <v>0</v>
      </c>
      <c r="BS927" t="s">
        <v>132</v>
      </c>
    </row>
    <row r="928" spans="1:75" x14ac:dyDescent="0.2">
      <c r="A928" t="s">
        <v>111</v>
      </c>
      <c r="B928" t="b">
        <v>1</v>
      </c>
      <c r="F928" t="str">
        <f>HYPERLINK("https://portal.dnb.de/opac.htm?method=simpleSearch&amp;cqlMode=true&amp;query=idn%3D113772742X", "Portal")</f>
        <v>Portal</v>
      </c>
      <c r="G928" t="s">
        <v>319</v>
      </c>
      <c r="H928" t="s">
        <v>4100</v>
      </c>
      <c r="I928" t="s">
        <v>4101</v>
      </c>
      <c r="J928" t="s">
        <v>4102</v>
      </c>
      <c r="K928" t="s">
        <v>4102</v>
      </c>
      <c r="L928" t="s">
        <v>4102</v>
      </c>
      <c r="N928" t="s">
        <v>338</v>
      </c>
      <c r="O928" t="s">
        <v>117</v>
      </c>
      <c r="S928" t="s">
        <v>121</v>
      </c>
      <c r="AI928" t="s">
        <v>365</v>
      </c>
      <c r="AK928" t="s">
        <v>132</v>
      </c>
      <c r="AM928" t="s">
        <v>134</v>
      </c>
      <c r="AS928" t="s">
        <v>135</v>
      </c>
      <c r="BG928">
        <v>110</v>
      </c>
      <c r="BM928" t="s">
        <v>137</v>
      </c>
      <c r="BN928">
        <v>0</v>
      </c>
    </row>
    <row r="929" spans="1:77" x14ac:dyDescent="0.2">
      <c r="A929" t="s">
        <v>111</v>
      </c>
      <c r="B929" t="b">
        <v>0</v>
      </c>
      <c r="E929">
        <v>1158</v>
      </c>
      <c r="F929" t="str">
        <f>HYPERLINK("https://portal.dnb.de/opac.htm?method=simpleSearch&amp;cqlMode=true&amp;query=idn%3D997517603", "Portal")</f>
        <v>Portal</v>
      </c>
      <c r="H929" t="s">
        <v>4103</v>
      </c>
      <c r="I929" t="s">
        <v>4104</v>
      </c>
      <c r="L929" t="s">
        <v>4105</v>
      </c>
      <c r="AD929" t="s">
        <v>489</v>
      </c>
      <c r="BN929">
        <v>0</v>
      </c>
    </row>
    <row r="930" spans="1:77" x14ac:dyDescent="0.2">
      <c r="A930" t="s">
        <v>111</v>
      </c>
      <c r="B930" t="b">
        <v>1</v>
      </c>
      <c r="E930">
        <v>1036</v>
      </c>
      <c r="F930" t="str">
        <f>HYPERLINK("https://portal.dnb.de/opac.htm?method=simpleSearch&amp;cqlMode=true&amp;query=idn%3D106695738X", "Portal")</f>
        <v>Portal</v>
      </c>
      <c r="G930" t="s">
        <v>125</v>
      </c>
      <c r="H930" t="s">
        <v>4106</v>
      </c>
      <c r="I930" t="s">
        <v>4107</v>
      </c>
      <c r="J930" t="s">
        <v>4108</v>
      </c>
      <c r="K930" t="s">
        <v>4108</v>
      </c>
      <c r="L930" t="s">
        <v>4108</v>
      </c>
      <c r="N930" t="s">
        <v>4109</v>
      </c>
      <c r="O930" t="s">
        <v>117</v>
      </c>
      <c r="S930" t="s">
        <v>121</v>
      </c>
      <c r="AI930" t="s">
        <v>135</v>
      </c>
      <c r="AM930" t="s">
        <v>134</v>
      </c>
      <c r="AS930" t="s">
        <v>135</v>
      </c>
      <c r="BG930">
        <v>110</v>
      </c>
      <c r="BM930" t="s">
        <v>137</v>
      </c>
      <c r="BN930">
        <v>0</v>
      </c>
    </row>
    <row r="931" spans="1:77" x14ac:dyDescent="0.2">
      <c r="A931" t="s">
        <v>111</v>
      </c>
      <c r="B931" t="b">
        <v>1</v>
      </c>
      <c r="E931">
        <v>1072</v>
      </c>
      <c r="F931" t="str">
        <f>HYPERLINK("https://portal.dnb.de/opac.htm?method=simpleSearch&amp;cqlMode=true&amp;query=idn%3D997769807", "Portal")</f>
        <v>Portal</v>
      </c>
      <c r="G931" t="s">
        <v>112</v>
      </c>
      <c r="H931" t="s">
        <v>4110</v>
      </c>
      <c r="I931" t="s">
        <v>4111</v>
      </c>
      <c r="J931" t="s">
        <v>4112</v>
      </c>
      <c r="K931" t="s">
        <v>4112</v>
      </c>
      <c r="L931" t="s">
        <v>4112</v>
      </c>
      <c r="N931" t="s">
        <v>4113</v>
      </c>
      <c r="O931" t="s">
        <v>117</v>
      </c>
      <c r="S931" t="s">
        <v>121</v>
      </c>
      <c r="AI931" t="s">
        <v>792</v>
      </c>
      <c r="AM931" t="s">
        <v>134</v>
      </c>
      <c r="AS931" t="s">
        <v>135</v>
      </c>
      <c r="BG931">
        <v>110</v>
      </c>
      <c r="BK931" t="s">
        <v>132</v>
      </c>
      <c r="BL931" t="s">
        <v>132</v>
      </c>
      <c r="BM931" t="s">
        <v>137</v>
      </c>
      <c r="BN931">
        <v>0</v>
      </c>
    </row>
    <row r="932" spans="1:77" x14ac:dyDescent="0.2">
      <c r="A932" t="s">
        <v>111</v>
      </c>
      <c r="B932" t="b">
        <v>1</v>
      </c>
      <c r="E932">
        <v>1073</v>
      </c>
      <c r="F932" t="str">
        <f>HYPERLINK("https://portal.dnb.de/opac.htm?method=simpleSearch&amp;cqlMode=true&amp;query=idn%3D1000470466", "Portal")</f>
        <v>Portal</v>
      </c>
      <c r="G932" t="s">
        <v>112</v>
      </c>
      <c r="H932" t="s">
        <v>4114</v>
      </c>
      <c r="I932" t="s">
        <v>4115</v>
      </c>
      <c r="J932" t="s">
        <v>4116</v>
      </c>
      <c r="K932" t="s">
        <v>4116</v>
      </c>
      <c r="L932" t="s">
        <v>4116</v>
      </c>
      <c r="N932" t="s">
        <v>4117</v>
      </c>
      <c r="O932" t="s">
        <v>117</v>
      </c>
      <c r="S932" t="s">
        <v>121</v>
      </c>
      <c r="AI932" t="s">
        <v>135</v>
      </c>
      <c r="AM932" t="s">
        <v>134</v>
      </c>
      <c r="AS932" t="s">
        <v>135</v>
      </c>
      <c r="BG932">
        <v>110</v>
      </c>
      <c r="BK932" t="s">
        <v>132</v>
      </c>
      <c r="BL932" t="s">
        <v>132</v>
      </c>
      <c r="BM932" t="s">
        <v>137</v>
      </c>
      <c r="BN932">
        <v>0</v>
      </c>
    </row>
    <row r="933" spans="1:77" x14ac:dyDescent="0.2">
      <c r="A933" t="s">
        <v>111</v>
      </c>
      <c r="B933" t="b">
        <v>1</v>
      </c>
      <c r="E933">
        <v>1074</v>
      </c>
      <c r="F933" t="str">
        <f>HYPERLINK("https://portal.dnb.de/opac.htm?method=simpleSearch&amp;cqlMode=true&amp;query=idn%3D998862851", "Portal")</f>
        <v>Portal</v>
      </c>
      <c r="G933" t="s">
        <v>112</v>
      </c>
      <c r="H933" t="s">
        <v>4118</v>
      </c>
      <c r="I933" t="s">
        <v>4119</v>
      </c>
      <c r="J933" t="s">
        <v>4120</v>
      </c>
      <c r="K933" t="s">
        <v>4120</v>
      </c>
      <c r="L933" t="s">
        <v>4120</v>
      </c>
      <c r="N933" t="s">
        <v>4121</v>
      </c>
      <c r="O933" t="s">
        <v>117</v>
      </c>
      <c r="S933" t="s">
        <v>121</v>
      </c>
      <c r="AI933" t="s">
        <v>792</v>
      </c>
      <c r="AM933" t="s">
        <v>134</v>
      </c>
      <c r="AS933" t="s">
        <v>135</v>
      </c>
      <c r="BG933">
        <v>110</v>
      </c>
      <c r="BK933" t="s">
        <v>132</v>
      </c>
      <c r="BL933" t="s">
        <v>132</v>
      </c>
      <c r="BN933">
        <v>0</v>
      </c>
    </row>
    <row r="934" spans="1:77" x14ac:dyDescent="0.2">
      <c r="A934" t="s">
        <v>111</v>
      </c>
      <c r="B934" t="b">
        <v>1</v>
      </c>
      <c r="E934">
        <v>1037</v>
      </c>
      <c r="F934" t="str">
        <f>HYPERLINK("https://portal.dnb.de/opac.htm?method=simpleSearch&amp;cqlMode=true&amp;query=idn%3D1066957584", "Portal")</f>
        <v>Portal</v>
      </c>
      <c r="G934" t="s">
        <v>125</v>
      </c>
      <c r="H934" t="s">
        <v>4122</v>
      </c>
      <c r="I934" t="s">
        <v>4123</v>
      </c>
      <c r="J934" t="s">
        <v>4124</v>
      </c>
      <c r="K934" t="s">
        <v>4124</v>
      </c>
      <c r="L934" t="s">
        <v>4124</v>
      </c>
      <c r="N934" t="s">
        <v>4125</v>
      </c>
      <c r="O934" t="s">
        <v>117</v>
      </c>
      <c r="S934" t="s">
        <v>121</v>
      </c>
      <c r="AI934" t="s">
        <v>135</v>
      </c>
      <c r="AM934" t="s">
        <v>134</v>
      </c>
      <c r="AS934" t="s">
        <v>135</v>
      </c>
      <c r="BG934">
        <v>110</v>
      </c>
      <c r="BM934" t="s">
        <v>137</v>
      </c>
      <c r="BN934">
        <v>0</v>
      </c>
    </row>
    <row r="935" spans="1:77" x14ac:dyDescent="0.2">
      <c r="A935" t="s">
        <v>111</v>
      </c>
      <c r="B935" t="b">
        <v>0</v>
      </c>
      <c r="E935">
        <v>1038</v>
      </c>
      <c r="F935" t="str">
        <f>HYPERLINK("https://portal.dnb.de/opac.htm?method=simpleSearch&amp;cqlMode=true&amp;query=idn%3D1066961557", "Portal")</f>
        <v>Portal</v>
      </c>
      <c r="H935" t="s">
        <v>4126</v>
      </c>
      <c r="I935" t="s">
        <v>4127</v>
      </c>
      <c r="L935" t="s">
        <v>4128</v>
      </c>
      <c r="AD935" t="s">
        <v>489</v>
      </c>
      <c r="BN935">
        <v>0</v>
      </c>
    </row>
    <row r="936" spans="1:77" x14ac:dyDescent="0.2">
      <c r="A936" t="s">
        <v>111</v>
      </c>
      <c r="B936" t="b">
        <v>0</v>
      </c>
      <c r="E936">
        <v>1039</v>
      </c>
      <c r="F936" t="str">
        <f>HYPERLINK("https://portal.dnb.de/opac.htm?method=simpleSearch&amp;cqlMode=true&amp;query=idn%3D1066957444", "Portal")</f>
        <v>Portal</v>
      </c>
      <c r="H936" t="s">
        <v>4129</v>
      </c>
      <c r="I936" t="s">
        <v>4130</v>
      </c>
      <c r="L936" t="s">
        <v>4131</v>
      </c>
      <c r="S936" t="s">
        <v>121</v>
      </c>
      <c r="AI936" t="s">
        <v>1684</v>
      </c>
      <c r="AM936" t="s">
        <v>196</v>
      </c>
      <c r="AS936" t="s">
        <v>135</v>
      </c>
      <c r="BG936">
        <v>110</v>
      </c>
      <c r="BM936" t="s">
        <v>137</v>
      </c>
      <c r="BN936">
        <v>0</v>
      </c>
    </row>
    <row r="937" spans="1:77" x14ac:dyDescent="0.2">
      <c r="A937" t="s">
        <v>111</v>
      </c>
      <c r="B937" t="b">
        <v>1</v>
      </c>
      <c r="E937">
        <v>1040</v>
      </c>
      <c r="F937" t="str">
        <f>HYPERLINK("https://portal.dnb.de/opac.htm?method=simpleSearch&amp;cqlMode=true&amp;query=idn%3D1066961689", "Portal")</f>
        <v>Portal</v>
      </c>
      <c r="G937" t="s">
        <v>125</v>
      </c>
      <c r="H937" t="s">
        <v>4132</v>
      </c>
      <c r="I937" t="s">
        <v>4133</v>
      </c>
      <c r="J937" t="s">
        <v>4134</v>
      </c>
      <c r="K937" t="s">
        <v>4134</v>
      </c>
      <c r="L937" t="s">
        <v>4134</v>
      </c>
      <c r="N937" t="s">
        <v>4135</v>
      </c>
      <c r="O937" t="s">
        <v>117</v>
      </c>
      <c r="S937" t="s">
        <v>121</v>
      </c>
      <c r="AH937" t="s">
        <v>132</v>
      </c>
      <c r="AI937" t="s">
        <v>365</v>
      </c>
      <c r="AL937" t="s">
        <v>132</v>
      </c>
      <c r="AM937" t="s">
        <v>179</v>
      </c>
      <c r="AS937" t="s">
        <v>135</v>
      </c>
      <c r="BG937">
        <v>60</v>
      </c>
      <c r="BM937" t="s">
        <v>137</v>
      </c>
      <c r="BN937">
        <v>0</v>
      </c>
    </row>
    <row r="938" spans="1:77" x14ac:dyDescent="0.2">
      <c r="A938" t="s">
        <v>111</v>
      </c>
      <c r="B938" t="b">
        <v>1</v>
      </c>
      <c r="E938">
        <v>1075</v>
      </c>
      <c r="F938" t="str">
        <f>HYPERLINK("https://portal.dnb.de/opac.htm?method=simpleSearch&amp;cqlMode=true&amp;query=idn%3D998898333", "Portal")</f>
        <v>Portal</v>
      </c>
      <c r="G938" t="s">
        <v>112</v>
      </c>
      <c r="H938" t="s">
        <v>4136</v>
      </c>
      <c r="I938" t="s">
        <v>4137</v>
      </c>
      <c r="J938" t="s">
        <v>4138</v>
      </c>
      <c r="K938" t="s">
        <v>4138</v>
      </c>
      <c r="L938" t="s">
        <v>4138</v>
      </c>
      <c r="N938" t="s">
        <v>4139</v>
      </c>
      <c r="O938" t="s">
        <v>117</v>
      </c>
      <c r="S938" t="s">
        <v>121</v>
      </c>
      <c r="AI938" t="s">
        <v>792</v>
      </c>
      <c r="AM938" t="s">
        <v>134</v>
      </c>
      <c r="AS938" t="s">
        <v>135</v>
      </c>
      <c r="BG938">
        <v>110</v>
      </c>
      <c r="BK938" t="s">
        <v>132</v>
      </c>
      <c r="BL938" t="s">
        <v>132</v>
      </c>
      <c r="BM938" t="s">
        <v>137</v>
      </c>
      <c r="BN938">
        <v>0</v>
      </c>
    </row>
    <row r="939" spans="1:77" x14ac:dyDescent="0.2">
      <c r="A939" t="s">
        <v>111</v>
      </c>
      <c r="B939" t="b">
        <v>1</v>
      </c>
      <c r="F939" t="str">
        <f>HYPERLINK("https://portal.dnb.de/opac.htm?method=simpleSearch&amp;cqlMode=true&amp;query=idn%3D1263573177", "Portal")</f>
        <v>Portal</v>
      </c>
      <c r="G939" t="s">
        <v>319</v>
      </c>
      <c r="H939" t="s">
        <v>4140</v>
      </c>
      <c r="I939" t="s">
        <v>4141</v>
      </c>
      <c r="J939" t="s">
        <v>4142</v>
      </c>
      <c r="K939" t="s">
        <v>4142</v>
      </c>
      <c r="L939" t="s">
        <v>4142</v>
      </c>
      <c r="N939" t="s">
        <v>338</v>
      </c>
      <c r="O939" t="s">
        <v>117</v>
      </c>
      <c r="S939" t="s">
        <v>121</v>
      </c>
      <c r="AI939" t="s">
        <v>149</v>
      </c>
      <c r="AL939" t="s">
        <v>132</v>
      </c>
      <c r="AM939" t="s">
        <v>196</v>
      </c>
      <c r="AS939" t="s">
        <v>135</v>
      </c>
      <c r="BE939">
        <v>0</v>
      </c>
      <c r="BF939" t="s">
        <v>132</v>
      </c>
      <c r="BG939">
        <v>110</v>
      </c>
      <c r="BM939" t="s">
        <v>137</v>
      </c>
      <c r="BN939">
        <v>0</v>
      </c>
      <c r="BP939" t="s">
        <v>181</v>
      </c>
    </row>
    <row r="940" spans="1:77" x14ac:dyDescent="0.2">
      <c r="A940" t="s">
        <v>111</v>
      </c>
      <c r="B940" t="b">
        <v>1</v>
      </c>
      <c r="E940">
        <v>1041</v>
      </c>
      <c r="F940" t="str">
        <f>HYPERLINK("https://portal.dnb.de/opac.htm?method=simpleSearch&amp;cqlMode=true&amp;query=idn%3D1066962936", "Portal")</f>
        <v>Portal</v>
      </c>
      <c r="G940" t="s">
        <v>125</v>
      </c>
      <c r="H940" t="s">
        <v>4143</v>
      </c>
      <c r="I940" t="s">
        <v>4144</v>
      </c>
      <c r="J940" t="s">
        <v>4145</v>
      </c>
      <c r="K940" t="s">
        <v>4145</v>
      </c>
      <c r="L940" t="s">
        <v>4145</v>
      </c>
      <c r="N940" t="s">
        <v>4146</v>
      </c>
      <c r="O940" t="s">
        <v>117</v>
      </c>
      <c r="S940" t="s">
        <v>121</v>
      </c>
      <c r="AI940" t="s">
        <v>325</v>
      </c>
      <c r="AK940" t="s">
        <v>132</v>
      </c>
      <c r="AM940" t="s">
        <v>134</v>
      </c>
      <c r="AS940" t="s">
        <v>135</v>
      </c>
      <c r="AT940" t="s">
        <v>132</v>
      </c>
      <c r="BG940">
        <v>110</v>
      </c>
      <c r="BM940" t="s">
        <v>137</v>
      </c>
      <c r="BN940">
        <v>0</v>
      </c>
    </row>
    <row r="941" spans="1:77" x14ac:dyDescent="0.2">
      <c r="A941" t="s">
        <v>111</v>
      </c>
      <c r="B941" t="b">
        <v>1</v>
      </c>
      <c r="E941">
        <v>1078</v>
      </c>
      <c r="F941" t="str">
        <f>HYPERLINK("https://portal.dnb.de/opac.htm?method=simpleSearch&amp;cqlMode=true&amp;query=idn%3D999178016", "Portal")</f>
        <v>Portal</v>
      </c>
      <c r="G941" t="s">
        <v>112</v>
      </c>
      <c r="H941" t="s">
        <v>4147</v>
      </c>
      <c r="I941" t="s">
        <v>4148</v>
      </c>
      <c r="J941" t="s">
        <v>4149</v>
      </c>
      <c r="K941" t="s">
        <v>4149</v>
      </c>
      <c r="L941" t="s">
        <v>4150</v>
      </c>
      <c r="N941" t="s">
        <v>4151</v>
      </c>
      <c r="O941" t="s">
        <v>117</v>
      </c>
      <c r="S941" t="s">
        <v>121</v>
      </c>
      <c r="AI941" t="s">
        <v>792</v>
      </c>
      <c r="AM941" t="s">
        <v>134</v>
      </c>
      <c r="AS941" t="s">
        <v>135</v>
      </c>
      <c r="BG941">
        <v>110</v>
      </c>
      <c r="BM941" t="s">
        <v>137</v>
      </c>
      <c r="BN941">
        <v>0</v>
      </c>
    </row>
    <row r="942" spans="1:77" x14ac:dyDescent="0.2">
      <c r="A942" t="s">
        <v>111</v>
      </c>
      <c r="B942" t="b">
        <v>1</v>
      </c>
      <c r="E942">
        <v>1079</v>
      </c>
      <c r="F942" t="str">
        <f>HYPERLINK("https://portal.dnb.de/opac.htm?method=simpleSearch&amp;cqlMode=true&amp;query=idn%3D999178199", "Portal")</f>
        <v>Portal</v>
      </c>
      <c r="G942" t="s">
        <v>112</v>
      </c>
      <c r="H942" t="s">
        <v>4152</v>
      </c>
      <c r="I942" t="s">
        <v>4153</v>
      </c>
      <c r="J942" t="s">
        <v>4154</v>
      </c>
      <c r="K942" t="s">
        <v>4154</v>
      </c>
      <c r="L942" t="s">
        <v>4155</v>
      </c>
      <c r="N942" t="s">
        <v>4156</v>
      </c>
      <c r="O942" t="s">
        <v>117</v>
      </c>
      <c r="S942" t="s">
        <v>121</v>
      </c>
      <c r="AI942" t="s">
        <v>135</v>
      </c>
      <c r="AM942" t="s">
        <v>134</v>
      </c>
      <c r="AS942" t="s">
        <v>135</v>
      </c>
      <c r="BG942">
        <v>110</v>
      </c>
      <c r="BK942" t="s">
        <v>132</v>
      </c>
      <c r="BL942" t="s">
        <v>132</v>
      </c>
      <c r="BM942" t="s">
        <v>137</v>
      </c>
      <c r="BN942">
        <v>0</v>
      </c>
    </row>
    <row r="943" spans="1:77" x14ac:dyDescent="0.2">
      <c r="A943" t="s">
        <v>111</v>
      </c>
      <c r="B943" t="b">
        <v>1</v>
      </c>
      <c r="E943">
        <v>1042</v>
      </c>
      <c r="F943" t="str">
        <f>HYPERLINK("https://portal.dnb.de/opac.htm?method=simpleSearch&amp;cqlMode=true&amp;query=idn%3D1066964343", "Portal")</f>
        <v>Portal</v>
      </c>
      <c r="G943" t="s">
        <v>125</v>
      </c>
      <c r="H943" t="s">
        <v>4157</v>
      </c>
      <c r="I943" t="s">
        <v>4158</v>
      </c>
      <c r="J943" t="s">
        <v>4159</v>
      </c>
      <c r="K943" t="s">
        <v>4159</v>
      </c>
      <c r="L943" t="s">
        <v>4159</v>
      </c>
      <c r="N943" t="s">
        <v>4160</v>
      </c>
      <c r="O943" t="s">
        <v>117</v>
      </c>
      <c r="S943" t="s">
        <v>121</v>
      </c>
      <c r="AI943" t="s">
        <v>1684</v>
      </c>
      <c r="AM943" t="s">
        <v>196</v>
      </c>
      <c r="AS943" t="s">
        <v>135</v>
      </c>
      <c r="BG943">
        <v>180</v>
      </c>
      <c r="BM943" t="s">
        <v>137</v>
      </c>
      <c r="BN943">
        <v>0</v>
      </c>
    </row>
    <row r="944" spans="1:77" x14ac:dyDescent="0.2">
      <c r="A944" t="s">
        <v>111</v>
      </c>
      <c r="B944" t="b">
        <v>1</v>
      </c>
      <c r="F944" t="str">
        <f>HYPERLINK("https://portal.dnb.de/opac.htm?method=simpleSearch&amp;cqlMode=true&amp;query=idn%3D1223003582", "Portal")</f>
        <v>Portal</v>
      </c>
      <c r="G944" t="s">
        <v>319</v>
      </c>
      <c r="H944" t="s">
        <v>4161</v>
      </c>
      <c r="I944" t="s">
        <v>4162</v>
      </c>
      <c r="J944" t="s">
        <v>4163</v>
      </c>
      <c r="K944" t="s">
        <v>4163</v>
      </c>
      <c r="L944" t="s">
        <v>4163</v>
      </c>
      <c r="N944" t="s">
        <v>3096</v>
      </c>
      <c r="O944" t="s">
        <v>117</v>
      </c>
      <c r="S944" t="s">
        <v>121</v>
      </c>
      <c r="AI944" t="s">
        <v>149</v>
      </c>
      <c r="AM944" t="s">
        <v>150</v>
      </c>
      <c r="AS944" t="s">
        <v>135</v>
      </c>
      <c r="BG944" t="s">
        <v>1223</v>
      </c>
      <c r="BI944" t="s">
        <v>132</v>
      </c>
      <c r="BJ944" t="s">
        <v>4164</v>
      </c>
      <c r="BM944" t="s">
        <v>137</v>
      </c>
      <c r="BN944">
        <v>0</v>
      </c>
      <c r="BP944" t="s">
        <v>181</v>
      </c>
      <c r="BV944" t="s">
        <v>4165</v>
      </c>
      <c r="BW944" t="s">
        <v>4166</v>
      </c>
      <c r="BY944" t="s">
        <v>4167</v>
      </c>
    </row>
    <row r="945" spans="1:92" x14ac:dyDescent="0.2">
      <c r="A945" t="s">
        <v>111</v>
      </c>
      <c r="B945" t="b">
        <v>1</v>
      </c>
      <c r="E945">
        <v>1043</v>
      </c>
      <c r="F945" t="str">
        <f>HYPERLINK("https://portal.dnb.de/opac.htm?method=simpleSearch&amp;cqlMode=true&amp;query=idn%3D1066958637", "Portal")</f>
        <v>Portal</v>
      </c>
      <c r="G945" t="s">
        <v>125</v>
      </c>
      <c r="H945" t="s">
        <v>4168</v>
      </c>
      <c r="I945" t="s">
        <v>4169</v>
      </c>
      <c r="J945" t="s">
        <v>4170</v>
      </c>
      <c r="K945" t="s">
        <v>4170</v>
      </c>
      <c r="L945" t="s">
        <v>4170</v>
      </c>
      <c r="N945" t="s">
        <v>4171</v>
      </c>
      <c r="O945" t="s">
        <v>117</v>
      </c>
      <c r="S945" t="s">
        <v>121</v>
      </c>
      <c r="AI945" t="s">
        <v>1638</v>
      </c>
      <c r="AS945" t="s">
        <v>135</v>
      </c>
      <c r="BG945" t="s">
        <v>1223</v>
      </c>
      <c r="BM945" t="s">
        <v>137</v>
      </c>
      <c r="BN945">
        <v>0</v>
      </c>
      <c r="BP945" t="s">
        <v>181</v>
      </c>
      <c r="BV945" t="s">
        <v>4172</v>
      </c>
    </row>
    <row r="946" spans="1:92" x14ac:dyDescent="0.2">
      <c r="A946" t="s">
        <v>111</v>
      </c>
      <c r="B946" t="b">
        <v>1</v>
      </c>
      <c r="E946">
        <v>1044</v>
      </c>
      <c r="F946" t="str">
        <f>HYPERLINK("https://portal.dnb.de/opac.htm?method=simpleSearch&amp;cqlMode=true&amp;query=idn%3D1066848564", "Portal")</f>
        <v>Portal</v>
      </c>
      <c r="G946" t="s">
        <v>125</v>
      </c>
      <c r="H946" t="s">
        <v>4173</v>
      </c>
      <c r="I946" t="s">
        <v>4174</v>
      </c>
      <c r="J946" t="s">
        <v>4175</v>
      </c>
      <c r="K946" t="s">
        <v>4175</v>
      </c>
      <c r="L946" t="s">
        <v>4175</v>
      </c>
      <c r="N946" t="s">
        <v>4176</v>
      </c>
      <c r="O946" t="s">
        <v>117</v>
      </c>
      <c r="S946" t="s">
        <v>146</v>
      </c>
      <c r="AI946" t="s">
        <v>133</v>
      </c>
      <c r="AK946" t="s">
        <v>132</v>
      </c>
      <c r="AM946" t="s">
        <v>134</v>
      </c>
      <c r="AS946" t="s">
        <v>135</v>
      </c>
      <c r="BG946">
        <v>110</v>
      </c>
      <c r="BM946" t="s">
        <v>137</v>
      </c>
      <c r="BN946">
        <v>0</v>
      </c>
      <c r="BR946" t="s">
        <v>132</v>
      </c>
    </row>
    <row r="947" spans="1:92" x14ac:dyDescent="0.2">
      <c r="A947" t="s">
        <v>111</v>
      </c>
      <c r="B947" t="b">
        <v>1</v>
      </c>
      <c r="E947">
        <v>1081</v>
      </c>
      <c r="F947" t="str">
        <f>HYPERLINK("https://portal.dnb.de/opac.htm?method=simpleSearch&amp;cqlMode=true&amp;query=idn%3D998890197", "Portal")</f>
        <v>Portal</v>
      </c>
      <c r="G947" t="s">
        <v>112</v>
      </c>
      <c r="H947" t="s">
        <v>4177</v>
      </c>
      <c r="I947" t="s">
        <v>4178</v>
      </c>
      <c r="J947" t="s">
        <v>4179</v>
      </c>
      <c r="K947" t="s">
        <v>4179</v>
      </c>
      <c r="L947" t="s">
        <v>4180</v>
      </c>
      <c r="N947" t="s">
        <v>4181</v>
      </c>
      <c r="O947" t="s">
        <v>117</v>
      </c>
      <c r="S947" t="s">
        <v>121</v>
      </c>
      <c r="AI947" t="s">
        <v>792</v>
      </c>
      <c r="AM947" t="s">
        <v>134</v>
      </c>
      <c r="AS947" t="s">
        <v>135</v>
      </c>
      <c r="BG947">
        <v>110</v>
      </c>
      <c r="BK947" t="s">
        <v>132</v>
      </c>
      <c r="BL947" t="s">
        <v>132</v>
      </c>
      <c r="BM947" t="s">
        <v>137</v>
      </c>
      <c r="BN947">
        <v>0</v>
      </c>
    </row>
    <row r="948" spans="1:92" x14ac:dyDescent="0.2">
      <c r="A948" t="s">
        <v>111</v>
      </c>
      <c r="B948" t="b">
        <v>1</v>
      </c>
      <c r="E948">
        <v>1082</v>
      </c>
      <c r="F948" t="str">
        <f>HYPERLINK("https://portal.dnb.de/opac.htm?method=simpleSearch&amp;cqlMode=true&amp;query=idn%3D999336967", "Portal")</f>
        <v>Portal</v>
      </c>
      <c r="G948" t="s">
        <v>112</v>
      </c>
      <c r="H948" t="s">
        <v>4182</v>
      </c>
      <c r="I948" t="s">
        <v>4183</v>
      </c>
      <c r="J948" t="s">
        <v>4184</v>
      </c>
      <c r="K948" t="s">
        <v>4184</v>
      </c>
      <c r="L948" t="s">
        <v>4184</v>
      </c>
      <c r="N948" t="s">
        <v>4185</v>
      </c>
      <c r="O948" t="s">
        <v>117</v>
      </c>
      <c r="S948" t="s">
        <v>121</v>
      </c>
      <c r="AI948" t="s">
        <v>149</v>
      </c>
      <c r="AL948" t="s">
        <v>132</v>
      </c>
      <c r="AM948" t="s">
        <v>196</v>
      </c>
      <c r="AS948" t="s">
        <v>135</v>
      </c>
      <c r="BG948">
        <v>110</v>
      </c>
      <c r="BK948" t="s">
        <v>132</v>
      </c>
      <c r="BL948" t="s">
        <v>132</v>
      </c>
      <c r="BM948" t="s">
        <v>137</v>
      </c>
      <c r="BN948">
        <v>0</v>
      </c>
      <c r="BS948" t="s">
        <v>132</v>
      </c>
    </row>
    <row r="949" spans="1:92" x14ac:dyDescent="0.2">
      <c r="A949" t="s">
        <v>111</v>
      </c>
      <c r="B949" t="b">
        <v>1</v>
      </c>
      <c r="F949" t="str">
        <f>HYPERLINK("https://portal.dnb.de/opac.htm?method=simpleSearch&amp;cqlMode=true&amp;query=idn%3D1138311278", "Portal")</f>
        <v>Portal</v>
      </c>
      <c r="G949" t="s">
        <v>319</v>
      </c>
      <c r="H949" t="s">
        <v>4186</v>
      </c>
      <c r="I949" t="s">
        <v>4187</v>
      </c>
      <c r="J949" t="s">
        <v>4188</v>
      </c>
      <c r="K949" t="s">
        <v>4188</v>
      </c>
      <c r="L949" t="s">
        <v>4188</v>
      </c>
      <c r="N949" t="s">
        <v>323</v>
      </c>
      <c r="O949" t="s">
        <v>117</v>
      </c>
      <c r="S949" t="s">
        <v>121</v>
      </c>
      <c r="AI949" t="s">
        <v>325</v>
      </c>
      <c r="AK949" t="s">
        <v>132</v>
      </c>
      <c r="AM949" t="s">
        <v>134</v>
      </c>
      <c r="AS949" t="s">
        <v>135</v>
      </c>
      <c r="BG949">
        <v>110</v>
      </c>
      <c r="BM949" t="s">
        <v>137</v>
      </c>
      <c r="BN949">
        <v>0</v>
      </c>
    </row>
    <row r="950" spans="1:92" x14ac:dyDescent="0.2">
      <c r="A950" t="s">
        <v>111</v>
      </c>
      <c r="B950" t="b">
        <v>1</v>
      </c>
      <c r="E950">
        <v>1085</v>
      </c>
      <c r="F950" t="str">
        <f>HYPERLINK("https://portal.dnb.de/opac.htm?method=simpleSearch&amp;cqlMode=true&amp;query=idn%3D995384096", "Portal")</f>
        <v>Portal</v>
      </c>
      <c r="G950" t="s">
        <v>112</v>
      </c>
      <c r="H950" t="s">
        <v>4189</v>
      </c>
      <c r="I950" t="s">
        <v>4190</v>
      </c>
      <c r="J950" t="s">
        <v>4191</v>
      </c>
      <c r="K950" t="s">
        <v>4191</v>
      </c>
      <c r="L950" t="s">
        <v>4192</v>
      </c>
      <c r="N950" t="s">
        <v>4193</v>
      </c>
      <c r="O950" t="s">
        <v>117</v>
      </c>
      <c r="S950" t="s">
        <v>121</v>
      </c>
      <c r="AI950" t="s">
        <v>792</v>
      </c>
      <c r="AM950" t="s">
        <v>134</v>
      </c>
      <c r="AS950" t="s">
        <v>135</v>
      </c>
      <c r="BG950">
        <v>110</v>
      </c>
      <c r="BK950" t="s">
        <v>132</v>
      </c>
      <c r="BL950" t="s">
        <v>132</v>
      </c>
      <c r="BM950" t="s">
        <v>137</v>
      </c>
      <c r="BN950">
        <v>0</v>
      </c>
    </row>
    <row r="951" spans="1:92" x14ac:dyDescent="0.2">
      <c r="A951" t="s">
        <v>111</v>
      </c>
      <c r="B951" t="b">
        <v>1</v>
      </c>
      <c r="F951" t="str">
        <f>HYPERLINK("https://portal.dnb.de/opac.htm?method=simpleSearch&amp;cqlMode=true&amp;query=idn%3D1129395545", "Portal")</f>
        <v>Portal</v>
      </c>
      <c r="G951" t="s">
        <v>319</v>
      </c>
      <c r="H951" t="s">
        <v>4194</v>
      </c>
      <c r="I951" t="s">
        <v>4195</v>
      </c>
      <c r="J951" t="s">
        <v>4196</v>
      </c>
      <c r="K951" t="s">
        <v>4196</v>
      </c>
      <c r="L951" t="s">
        <v>4196</v>
      </c>
      <c r="M951" t="s">
        <v>3822</v>
      </c>
      <c r="N951" t="s">
        <v>4197</v>
      </c>
      <c r="O951" t="s">
        <v>117</v>
      </c>
      <c r="S951" t="s">
        <v>146</v>
      </c>
      <c r="AI951" t="s">
        <v>646</v>
      </c>
      <c r="AL951" t="s">
        <v>132</v>
      </c>
      <c r="AM951" t="s">
        <v>134</v>
      </c>
      <c r="AN951" t="s">
        <v>132</v>
      </c>
      <c r="AS951" t="s">
        <v>135</v>
      </c>
      <c r="BG951">
        <v>110</v>
      </c>
      <c r="BM951" t="s">
        <v>137</v>
      </c>
      <c r="BN951">
        <v>0</v>
      </c>
      <c r="BP951" t="s">
        <v>181</v>
      </c>
    </row>
    <row r="952" spans="1:92" x14ac:dyDescent="0.2">
      <c r="A952" t="s">
        <v>111</v>
      </c>
      <c r="B952" t="b">
        <v>1</v>
      </c>
      <c r="E952">
        <v>1091</v>
      </c>
      <c r="F952" t="str">
        <f>HYPERLINK("https://portal.dnb.de/opac.htm?method=simpleSearch&amp;cqlMode=true&amp;query=idn%3D998857661", "Portal")</f>
        <v>Portal</v>
      </c>
      <c r="G952" t="s">
        <v>542</v>
      </c>
      <c r="H952" t="s">
        <v>4198</v>
      </c>
      <c r="I952" t="s">
        <v>4199</v>
      </c>
      <c r="J952" t="s">
        <v>4200</v>
      </c>
      <c r="K952" t="s">
        <v>4200</v>
      </c>
      <c r="L952" t="s">
        <v>4200</v>
      </c>
      <c r="M952" t="s">
        <v>4201</v>
      </c>
      <c r="N952" t="s">
        <v>4202</v>
      </c>
      <c r="O952" t="s">
        <v>4203</v>
      </c>
      <c r="S952" t="s">
        <v>146</v>
      </c>
      <c r="AI952" t="s">
        <v>149</v>
      </c>
      <c r="AL952" t="s">
        <v>132</v>
      </c>
      <c r="AM952" t="s">
        <v>196</v>
      </c>
      <c r="AS952" t="s">
        <v>135</v>
      </c>
      <c r="AX952" t="s">
        <v>132</v>
      </c>
      <c r="BG952">
        <v>110</v>
      </c>
      <c r="BM952" t="s">
        <v>137</v>
      </c>
      <c r="BN952">
        <v>0</v>
      </c>
      <c r="BP952" t="s">
        <v>181</v>
      </c>
    </row>
    <row r="953" spans="1:92" x14ac:dyDescent="0.2">
      <c r="A953" t="s">
        <v>111</v>
      </c>
      <c r="B953" t="b">
        <v>1</v>
      </c>
      <c r="C953" t="s">
        <v>132</v>
      </c>
      <c r="E953">
        <v>1089</v>
      </c>
      <c r="F953" t="str">
        <f>HYPERLINK("https://portal.dnb.de/opac.htm?method=simpleSearch&amp;cqlMode=true&amp;query=idn%3D998857874", "Portal")</f>
        <v>Portal</v>
      </c>
      <c r="G953" t="s">
        <v>542</v>
      </c>
      <c r="H953" t="s">
        <v>4204</v>
      </c>
      <c r="I953" t="s">
        <v>4205</v>
      </c>
      <c r="J953" t="s">
        <v>4206</v>
      </c>
      <c r="K953" t="s">
        <v>4206</v>
      </c>
      <c r="L953" t="s">
        <v>4206</v>
      </c>
      <c r="M953" t="s">
        <v>4201</v>
      </c>
      <c r="N953" t="s">
        <v>4202</v>
      </c>
      <c r="O953" t="s">
        <v>4207</v>
      </c>
      <c r="S953" t="s">
        <v>146</v>
      </c>
      <c r="AI953" t="s">
        <v>149</v>
      </c>
      <c r="AL953" t="s">
        <v>132</v>
      </c>
      <c r="AM953" t="s">
        <v>196</v>
      </c>
      <c r="AS953" t="s">
        <v>135</v>
      </c>
      <c r="AW953" t="s">
        <v>132</v>
      </c>
      <c r="BG953" t="s">
        <v>793</v>
      </c>
      <c r="BM953" t="s">
        <v>180</v>
      </c>
      <c r="BN953">
        <v>0.5</v>
      </c>
      <c r="BT953" t="s">
        <v>562</v>
      </c>
      <c r="BU953" t="s">
        <v>132</v>
      </c>
      <c r="CG953" t="s">
        <v>132</v>
      </c>
      <c r="CM953">
        <v>0.5</v>
      </c>
      <c r="CN953" t="s">
        <v>4208</v>
      </c>
    </row>
    <row r="954" spans="1:92" x14ac:dyDescent="0.2">
      <c r="A954" t="s">
        <v>111</v>
      </c>
      <c r="B954" t="b">
        <v>1</v>
      </c>
      <c r="E954">
        <v>1090</v>
      </c>
      <c r="F954" t="str">
        <f>HYPERLINK("https://portal.dnb.de/opac.htm?method=simpleSearch&amp;cqlMode=true&amp;query=idn%3D998857955", "Portal")</f>
        <v>Portal</v>
      </c>
      <c r="G954" t="s">
        <v>542</v>
      </c>
      <c r="H954" t="s">
        <v>4209</v>
      </c>
      <c r="I954" t="s">
        <v>4210</v>
      </c>
      <c r="J954" t="s">
        <v>4211</v>
      </c>
      <c r="K954" t="s">
        <v>4211</v>
      </c>
      <c r="L954" t="s">
        <v>4211</v>
      </c>
      <c r="M954" t="s">
        <v>4201</v>
      </c>
      <c r="N954" t="s">
        <v>4202</v>
      </c>
      <c r="O954" t="s">
        <v>4212</v>
      </c>
      <c r="S954" t="s">
        <v>146</v>
      </c>
      <c r="AI954" t="s">
        <v>149</v>
      </c>
      <c r="AM954" t="s">
        <v>196</v>
      </c>
      <c r="AR954" t="s">
        <v>132</v>
      </c>
      <c r="AS954" t="s">
        <v>135</v>
      </c>
      <c r="AW954" t="s">
        <v>132</v>
      </c>
      <c r="BG954">
        <v>45</v>
      </c>
      <c r="BM954" t="s">
        <v>137</v>
      </c>
      <c r="BN954">
        <v>0</v>
      </c>
      <c r="BT954" t="s">
        <v>562</v>
      </c>
      <c r="BU954" t="s">
        <v>132</v>
      </c>
    </row>
    <row r="955" spans="1:92" x14ac:dyDescent="0.2">
      <c r="A955" t="s">
        <v>111</v>
      </c>
      <c r="B955" t="b">
        <v>1</v>
      </c>
      <c r="E955">
        <v>1092</v>
      </c>
      <c r="F955" t="str">
        <f>HYPERLINK("https://portal.dnb.de/opac.htm?method=simpleSearch&amp;cqlMode=true&amp;query=idn%3D998898775", "Portal")</f>
        <v>Portal</v>
      </c>
      <c r="G955" t="s">
        <v>112</v>
      </c>
      <c r="H955" t="s">
        <v>4213</v>
      </c>
      <c r="I955" t="s">
        <v>4214</v>
      </c>
      <c r="J955" t="s">
        <v>4215</v>
      </c>
      <c r="K955" t="s">
        <v>4215</v>
      </c>
      <c r="L955" t="s">
        <v>4216</v>
      </c>
      <c r="N955" t="s">
        <v>4217</v>
      </c>
      <c r="O955" t="s">
        <v>117</v>
      </c>
      <c r="S955" t="s">
        <v>121</v>
      </c>
      <c r="AI955" t="s">
        <v>792</v>
      </c>
      <c r="AL955" t="s">
        <v>132</v>
      </c>
      <c r="AM955" t="s">
        <v>134</v>
      </c>
      <c r="AS955" t="s">
        <v>135</v>
      </c>
      <c r="BG955">
        <v>110</v>
      </c>
      <c r="BM955" t="s">
        <v>137</v>
      </c>
      <c r="BN955">
        <v>0</v>
      </c>
      <c r="BP955" t="s">
        <v>181</v>
      </c>
      <c r="BV955" t="s">
        <v>4218</v>
      </c>
    </row>
    <row r="956" spans="1:92" x14ac:dyDescent="0.2">
      <c r="A956" t="s">
        <v>111</v>
      </c>
      <c r="B956" t="b">
        <v>1</v>
      </c>
      <c r="E956">
        <v>1047</v>
      </c>
      <c r="F956" t="str">
        <f>HYPERLINK("https://portal.dnb.de/opac.htm?method=simpleSearch&amp;cqlMode=true&amp;query=idn%3D1066964319", "Portal")</f>
        <v>Portal</v>
      </c>
      <c r="G956" t="s">
        <v>125</v>
      </c>
      <c r="H956" t="s">
        <v>4219</v>
      </c>
      <c r="I956" t="s">
        <v>4220</v>
      </c>
      <c r="J956" t="s">
        <v>4221</v>
      </c>
      <c r="K956" t="s">
        <v>4221</v>
      </c>
      <c r="L956" t="s">
        <v>4221</v>
      </c>
      <c r="N956" t="s">
        <v>4222</v>
      </c>
      <c r="O956" t="s">
        <v>117</v>
      </c>
      <c r="S956" t="s">
        <v>146</v>
      </c>
      <c r="AI956" t="s">
        <v>365</v>
      </c>
      <c r="AM956" t="s">
        <v>134</v>
      </c>
      <c r="AS956" t="s">
        <v>135</v>
      </c>
      <c r="BG956">
        <v>45</v>
      </c>
      <c r="BK956" t="s">
        <v>132</v>
      </c>
      <c r="BL956" t="s">
        <v>132</v>
      </c>
      <c r="BM956" t="s">
        <v>137</v>
      </c>
      <c r="BN956">
        <v>0</v>
      </c>
    </row>
    <row r="957" spans="1:92" x14ac:dyDescent="0.2">
      <c r="A957" t="s">
        <v>111</v>
      </c>
      <c r="B957" t="b">
        <v>1</v>
      </c>
      <c r="E957">
        <v>1093</v>
      </c>
      <c r="F957" t="str">
        <f>HYPERLINK("https://portal.dnb.de/opac.htm?method=simpleSearch&amp;cqlMode=true&amp;query=idn%3D998886092", "Portal")</f>
        <v>Portal</v>
      </c>
      <c r="G957" t="s">
        <v>112</v>
      </c>
      <c r="H957" t="s">
        <v>4223</v>
      </c>
      <c r="I957" t="s">
        <v>4224</v>
      </c>
      <c r="J957" t="s">
        <v>4225</v>
      </c>
      <c r="K957" t="s">
        <v>4225</v>
      </c>
      <c r="L957" t="s">
        <v>4226</v>
      </c>
      <c r="N957" t="s">
        <v>4227</v>
      </c>
      <c r="O957" t="s">
        <v>117</v>
      </c>
      <c r="S957" t="s">
        <v>121</v>
      </c>
      <c r="AI957" t="s">
        <v>792</v>
      </c>
      <c r="AL957" t="s">
        <v>132</v>
      </c>
      <c r="AM957" t="s">
        <v>134</v>
      </c>
      <c r="AS957" t="s">
        <v>135</v>
      </c>
      <c r="BG957">
        <v>110</v>
      </c>
      <c r="BM957" t="s">
        <v>137</v>
      </c>
      <c r="BN957">
        <v>0</v>
      </c>
      <c r="BP957" t="s">
        <v>181</v>
      </c>
      <c r="BV957" t="s">
        <v>4218</v>
      </c>
    </row>
    <row r="958" spans="1:92" x14ac:dyDescent="0.2">
      <c r="A958" t="s">
        <v>111</v>
      </c>
      <c r="B958" t="b">
        <v>1</v>
      </c>
      <c r="E958">
        <v>1048</v>
      </c>
      <c r="F958" t="str">
        <f>HYPERLINK("https://portal.dnb.de/opac.htm?method=simpleSearch&amp;cqlMode=true&amp;query=idn%3D1066957568", "Portal")</f>
        <v>Portal</v>
      </c>
      <c r="G958" t="s">
        <v>125</v>
      </c>
      <c r="H958" t="s">
        <v>4228</v>
      </c>
      <c r="I958" t="s">
        <v>4229</v>
      </c>
      <c r="J958" t="s">
        <v>4230</v>
      </c>
      <c r="K958" t="s">
        <v>4230</v>
      </c>
      <c r="L958" t="s">
        <v>4230</v>
      </c>
      <c r="N958" t="s">
        <v>4231</v>
      </c>
      <c r="O958" t="s">
        <v>117</v>
      </c>
      <c r="S958" t="s">
        <v>121</v>
      </c>
      <c r="AH958" t="s">
        <v>132</v>
      </c>
      <c r="AI958" t="s">
        <v>365</v>
      </c>
      <c r="AK958" t="s">
        <v>132</v>
      </c>
      <c r="AM958" t="s">
        <v>196</v>
      </c>
      <c r="AS958" t="s">
        <v>135</v>
      </c>
      <c r="BG958">
        <v>60</v>
      </c>
      <c r="BM958" t="s">
        <v>137</v>
      </c>
      <c r="BN958">
        <v>0</v>
      </c>
      <c r="BT958" t="s">
        <v>562</v>
      </c>
      <c r="BU958" t="s">
        <v>132</v>
      </c>
    </row>
    <row r="959" spans="1:92" x14ac:dyDescent="0.2">
      <c r="A959" t="s">
        <v>111</v>
      </c>
      <c r="B959" t="b">
        <v>1</v>
      </c>
      <c r="E959">
        <v>1094</v>
      </c>
      <c r="F959" t="str">
        <f>HYPERLINK("https://portal.dnb.de/opac.htm?method=simpleSearch&amp;cqlMode=true&amp;query=idn%3D993885098", "Portal")</f>
        <v>Portal</v>
      </c>
      <c r="G959" t="s">
        <v>112</v>
      </c>
      <c r="H959" t="s">
        <v>4232</v>
      </c>
      <c r="I959" t="s">
        <v>4233</v>
      </c>
      <c r="J959" t="s">
        <v>4234</v>
      </c>
      <c r="K959" t="s">
        <v>4234</v>
      </c>
      <c r="L959" t="s">
        <v>4234</v>
      </c>
      <c r="N959" t="s">
        <v>4235</v>
      </c>
      <c r="O959" t="s">
        <v>117</v>
      </c>
      <c r="S959" t="s">
        <v>121</v>
      </c>
      <c r="AI959" t="s">
        <v>325</v>
      </c>
      <c r="AM959" t="s">
        <v>134</v>
      </c>
      <c r="AS959" t="s">
        <v>135</v>
      </c>
      <c r="BG959">
        <v>110</v>
      </c>
      <c r="BK959" t="s">
        <v>132</v>
      </c>
      <c r="BL959" t="s">
        <v>132</v>
      </c>
      <c r="BM959" t="s">
        <v>137</v>
      </c>
      <c r="BN959">
        <v>0</v>
      </c>
    </row>
    <row r="960" spans="1:92" x14ac:dyDescent="0.2">
      <c r="A960" t="s">
        <v>111</v>
      </c>
      <c r="B960" t="b">
        <v>1</v>
      </c>
      <c r="E960">
        <v>1095</v>
      </c>
      <c r="F960" t="str">
        <f>HYPERLINK("https://portal.dnb.de/opac.htm?method=simpleSearch&amp;cqlMode=true&amp;query=idn%3D999178393", "Portal")</f>
        <v>Portal</v>
      </c>
      <c r="G960" t="s">
        <v>112</v>
      </c>
      <c r="H960" t="s">
        <v>4236</v>
      </c>
      <c r="I960" t="s">
        <v>4237</v>
      </c>
      <c r="J960" t="s">
        <v>4238</v>
      </c>
      <c r="K960" t="s">
        <v>4238</v>
      </c>
      <c r="L960" t="s">
        <v>4238</v>
      </c>
      <c r="N960" t="s">
        <v>4239</v>
      </c>
      <c r="O960" t="s">
        <v>117</v>
      </c>
      <c r="S960" t="s">
        <v>121</v>
      </c>
      <c r="AI960" t="s">
        <v>149</v>
      </c>
      <c r="AL960" t="s">
        <v>132</v>
      </c>
      <c r="AM960" t="s">
        <v>196</v>
      </c>
      <c r="AS960" t="s">
        <v>135</v>
      </c>
      <c r="BE960">
        <v>4</v>
      </c>
      <c r="BG960">
        <v>110</v>
      </c>
      <c r="BK960" t="s">
        <v>132</v>
      </c>
      <c r="BM960" t="s">
        <v>137</v>
      </c>
      <c r="BN960">
        <v>0</v>
      </c>
      <c r="BP960" t="s">
        <v>727</v>
      </c>
    </row>
    <row r="961" spans="1:91" x14ac:dyDescent="0.2">
      <c r="A961" t="s">
        <v>111</v>
      </c>
      <c r="B961" t="b">
        <v>1</v>
      </c>
      <c r="F961" t="str">
        <f>HYPERLINK("https://portal.dnb.de/opac.htm?method=simpleSearch&amp;cqlMode=true&amp;query=idn%3D1268678872", "Portal")</f>
        <v>Portal</v>
      </c>
      <c r="G961" t="s">
        <v>319</v>
      </c>
      <c r="H961" t="s">
        <v>4240</v>
      </c>
      <c r="I961" t="s">
        <v>4241</v>
      </c>
      <c r="J961" t="s">
        <v>4242</v>
      </c>
      <c r="K961" t="s">
        <v>4242</v>
      </c>
      <c r="L961" t="s">
        <v>4242</v>
      </c>
      <c r="N961" t="s">
        <v>338</v>
      </c>
      <c r="O961" t="s">
        <v>117</v>
      </c>
      <c r="S961" t="s">
        <v>121</v>
      </c>
      <c r="AH961" t="s">
        <v>132</v>
      </c>
      <c r="AI961" t="s">
        <v>646</v>
      </c>
      <c r="AL961" t="s">
        <v>132</v>
      </c>
      <c r="AM961" t="s">
        <v>134</v>
      </c>
      <c r="AS961" t="s">
        <v>135</v>
      </c>
      <c r="BE961">
        <v>4</v>
      </c>
      <c r="BG961">
        <v>110</v>
      </c>
      <c r="BK961" t="s">
        <v>132</v>
      </c>
      <c r="BM961" t="s">
        <v>137</v>
      </c>
      <c r="BN961">
        <v>0</v>
      </c>
      <c r="BP961" t="s">
        <v>181</v>
      </c>
    </row>
    <row r="962" spans="1:91" x14ac:dyDescent="0.2">
      <c r="A962" t="s">
        <v>111</v>
      </c>
      <c r="B962" t="b">
        <v>1</v>
      </c>
      <c r="E962">
        <v>1101</v>
      </c>
      <c r="F962" t="str">
        <f>HYPERLINK("https://portal.dnb.de/opac.htm?method=simpleSearch&amp;cqlMode=true&amp;query=idn%3D999172476", "Portal")</f>
        <v>Portal</v>
      </c>
      <c r="G962" t="s">
        <v>112</v>
      </c>
      <c r="H962" t="s">
        <v>4243</v>
      </c>
      <c r="I962" t="s">
        <v>4244</v>
      </c>
      <c r="J962" t="s">
        <v>4245</v>
      </c>
      <c r="K962" t="s">
        <v>4245</v>
      </c>
      <c r="L962" t="s">
        <v>4245</v>
      </c>
      <c r="N962" t="s">
        <v>4246</v>
      </c>
      <c r="O962" t="s">
        <v>117</v>
      </c>
      <c r="S962" t="s">
        <v>121</v>
      </c>
      <c r="AI962" t="s">
        <v>133</v>
      </c>
      <c r="AM962" t="s">
        <v>196</v>
      </c>
      <c r="AS962" t="s">
        <v>135</v>
      </c>
      <c r="BG962">
        <v>60</v>
      </c>
      <c r="BM962" t="s">
        <v>137</v>
      </c>
      <c r="BN962">
        <v>0</v>
      </c>
      <c r="BP962" t="s">
        <v>181</v>
      </c>
    </row>
    <row r="963" spans="1:91" x14ac:dyDescent="0.2">
      <c r="A963" t="s">
        <v>111</v>
      </c>
      <c r="B963" t="b">
        <v>1</v>
      </c>
      <c r="C963" t="s">
        <v>132</v>
      </c>
      <c r="E963">
        <v>1049</v>
      </c>
      <c r="F963" t="str">
        <f>HYPERLINK("https://portal.dnb.de/opac.htm?method=simpleSearch&amp;cqlMode=true&amp;query=idn%3D1066847819", "Portal")</f>
        <v>Portal</v>
      </c>
      <c r="G963" t="s">
        <v>125</v>
      </c>
      <c r="H963" t="s">
        <v>4247</v>
      </c>
      <c r="I963" t="s">
        <v>4248</v>
      </c>
      <c r="J963" t="s">
        <v>4249</v>
      </c>
      <c r="K963" t="s">
        <v>4249</v>
      </c>
      <c r="L963" t="s">
        <v>4249</v>
      </c>
      <c r="M963" t="s">
        <v>3822</v>
      </c>
      <c r="N963" t="s">
        <v>4250</v>
      </c>
      <c r="O963" t="s">
        <v>117</v>
      </c>
      <c r="S963" t="s">
        <v>470</v>
      </c>
      <c r="AG963" t="s">
        <v>132</v>
      </c>
      <c r="AI963" t="s">
        <v>149</v>
      </c>
      <c r="AK963" t="s">
        <v>132</v>
      </c>
      <c r="AM963" t="s">
        <v>179</v>
      </c>
      <c r="AR963" t="s">
        <v>132</v>
      </c>
      <c r="AS963" t="s">
        <v>135</v>
      </c>
      <c r="BE963">
        <v>0</v>
      </c>
      <c r="BF963" t="s">
        <v>132</v>
      </c>
      <c r="BG963">
        <v>110</v>
      </c>
      <c r="BM963" t="s">
        <v>180</v>
      </c>
      <c r="BN963">
        <v>0.5</v>
      </c>
      <c r="BW963" t="s">
        <v>152</v>
      </c>
      <c r="BX963" t="s">
        <v>4251</v>
      </c>
      <c r="BY963" t="s">
        <v>4252</v>
      </c>
      <c r="CB963" t="s">
        <v>132</v>
      </c>
      <c r="CG963" t="s">
        <v>132</v>
      </c>
      <c r="CM963">
        <v>0.5</v>
      </c>
    </row>
    <row r="964" spans="1:91" x14ac:dyDescent="0.2">
      <c r="A964" t="s">
        <v>111</v>
      </c>
      <c r="B964" t="b">
        <v>1</v>
      </c>
      <c r="E964">
        <v>1050</v>
      </c>
      <c r="F964" t="str">
        <f>HYPERLINK("https://portal.dnb.de/opac.htm?method=simpleSearch&amp;cqlMode=true&amp;query=idn%3D993887112", "Portal")</f>
        <v>Portal</v>
      </c>
      <c r="G964" t="s">
        <v>112</v>
      </c>
      <c r="H964" t="s">
        <v>4253</v>
      </c>
      <c r="I964" t="s">
        <v>4254</v>
      </c>
      <c r="J964" t="s">
        <v>4255</v>
      </c>
      <c r="K964" t="s">
        <v>4255</v>
      </c>
      <c r="L964" t="s">
        <v>4255</v>
      </c>
      <c r="N964" t="s">
        <v>4256</v>
      </c>
      <c r="O964" t="s">
        <v>117</v>
      </c>
      <c r="S964" t="s">
        <v>121</v>
      </c>
      <c r="AI964" t="s">
        <v>135</v>
      </c>
      <c r="AM964" t="s">
        <v>134</v>
      </c>
      <c r="AS964" t="s">
        <v>135</v>
      </c>
      <c r="BG964">
        <v>110</v>
      </c>
      <c r="BM964" t="s">
        <v>137</v>
      </c>
      <c r="BN964">
        <v>0</v>
      </c>
    </row>
    <row r="965" spans="1:91" x14ac:dyDescent="0.2">
      <c r="A965" t="s">
        <v>111</v>
      </c>
      <c r="B965" t="b">
        <v>1</v>
      </c>
      <c r="F965" t="str">
        <f>HYPERLINK("https://portal.dnb.de/opac.htm?method=simpleSearch&amp;cqlMode=true&amp;query=idn%3D1138242047", "Portal")</f>
        <v>Portal</v>
      </c>
      <c r="G965" t="s">
        <v>319</v>
      </c>
      <c r="H965" t="s">
        <v>4257</v>
      </c>
      <c r="I965" t="s">
        <v>4258</v>
      </c>
      <c r="J965" t="s">
        <v>4259</v>
      </c>
      <c r="K965" t="s">
        <v>4259</v>
      </c>
      <c r="L965" t="s">
        <v>4259</v>
      </c>
      <c r="N965" t="s">
        <v>4260</v>
      </c>
      <c r="O965" t="s">
        <v>117</v>
      </c>
      <c r="S965" t="s">
        <v>121</v>
      </c>
      <c r="AI965" t="s">
        <v>133</v>
      </c>
      <c r="AK965" t="s">
        <v>132</v>
      </c>
      <c r="AM965" t="s">
        <v>134</v>
      </c>
      <c r="AS965" t="s">
        <v>135</v>
      </c>
      <c r="BG965">
        <v>110</v>
      </c>
      <c r="BM965" t="s">
        <v>137</v>
      </c>
      <c r="BN965">
        <v>0</v>
      </c>
      <c r="BR965" t="s">
        <v>132</v>
      </c>
    </row>
    <row r="966" spans="1:91" x14ac:dyDescent="0.2">
      <c r="A966" t="s">
        <v>111</v>
      </c>
      <c r="B966" t="b">
        <v>1</v>
      </c>
      <c r="E966">
        <v>1103</v>
      </c>
      <c r="F966" t="str">
        <f>HYPERLINK("https://portal.dnb.de/opac.htm?method=simpleSearch&amp;cqlMode=true&amp;query=idn%3D99456354X", "Portal")</f>
        <v>Portal</v>
      </c>
      <c r="G966" t="s">
        <v>112</v>
      </c>
      <c r="H966" t="s">
        <v>4261</v>
      </c>
      <c r="I966" t="s">
        <v>4262</v>
      </c>
      <c r="J966" t="s">
        <v>4263</v>
      </c>
      <c r="K966" t="s">
        <v>4263</v>
      </c>
      <c r="L966" t="s">
        <v>4264</v>
      </c>
      <c r="N966" t="s">
        <v>4265</v>
      </c>
      <c r="O966" t="s">
        <v>117</v>
      </c>
      <c r="S966" t="s">
        <v>121</v>
      </c>
      <c r="AI966" t="s">
        <v>792</v>
      </c>
      <c r="AM966" t="s">
        <v>134</v>
      </c>
      <c r="AS966" t="s">
        <v>135</v>
      </c>
      <c r="BG966">
        <v>80</v>
      </c>
      <c r="BM966" t="s">
        <v>137</v>
      </c>
      <c r="BN966">
        <v>0</v>
      </c>
    </row>
    <row r="967" spans="1:91" x14ac:dyDescent="0.2">
      <c r="A967" t="s">
        <v>111</v>
      </c>
      <c r="B967" t="b">
        <v>1</v>
      </c>
      <c r="E967">
        <v>1104</v>
      </c>
      <c r="F967" t="str">
        <f>HYPERLINK("https://portal.dnb.de/opac.htm?method=simpleSearch&amp;cqlMode=true&amp;query=idn%3D998921629", "Portal")</f>
        <v>Portal</v>
      </c>
      <c r="G967" t="s">
        <v>112</v>
      </c>
      <c r="H967" t="s">
        <v>4266</v>
      </c>
      <c r="I967" t="s">
        <v>4267</v>
      </c>
      <c r="J967" t="s">
        <v>4268</v>
      </c>
      <c r="K967" t="s">
        <v>4268</v>
      </c>
      <c r="L967" t="s">
        <v>4269</v>
      </c>
      <c r="N967" t="s">
        <v>4270</v>
      </c>
      <c r="O967" t="s">
        <v>117</v>
      </c>
      <c r="S967" t="s">
        <v>121</v>
      </c>
      <c r="AI967" t="s">
        <v>792</v>
      </c>
      <c r="AL967" t="s">
        <v>132</v>
      </c>
      <c r="AM967" t="s">
        <v>134</v>
      </c>
      <c r="AS967" t="s">
        <v>135</v>
      </c>
      <c r="BG967">
        <v>110</v>
      </c>
      <c r="BM967" t="s">
        <v>137</v>
      </c>
      <c r="BN967">
        <v>0</v>
      </c>
      <c r="BP967" t="s">
        <v>181</v>
      </c>
      <c r="BV967" t="s">
        <v>4218</v>
      </c>
    </row>
    <row r="968" spans="1:91" x14ac:dyDescent="0.2">
      <c r="A968" t="s">
        <v>111</v>
      </c>
      <c r="B968" t="b">
        <v>1</v>
      </c>
      <c r="E968">
        <v>1105</v>
      </c>
      <c r="F968" t="str">
        <f>HYPERLINK("https://portal.dnb.de/opac.htm?method=simpleSearch&amp;cqlMode=true&amp;query=idn%3D997626577", "Portal")</f>
        <v>Portal</v>
      </c>
      <c r="G968" t="s">
        <v>112</v>
      </c>
      <c r="H968" t="s">
        <v>4271</v>
      </c>
      <c r="I968" t="s">
        <v>4272</v>
      </c>
      <c r="J968" t="s">
        <v>4273</v>
      </c>
      <c r="K968" t="s">
        <v>4273</v>
      </c>
      <c r="L968" t="s">
        <v>4273</v>
      </c>
      <c r="N968" t="s">
        <v>4274</v>
      </c>
      <c r="O968" t="s">
        <v>117</v>
      </c>
      <c r="S968" t="s">
        <v>121</v>
      </c>
      <c r="AI968" t="s">
        <v>792</v>
      </c>
      <c r="AM968" t="s">
        <v>134</v>
      </c>
      <c r="AS968" t="s">
        <v>135</v>
      </c>
      <c r="BG968">
        <v>110</v>
      </c>
      <c r="BK968" t="s">
        <v>132</v>
      </c>
      <c r="BL968" t="s">
        <v>132</v>
      </c>
      <c r="BM968" t="s">
        <v>137</v>
      </c>
      <c r="BN968">
        <v>0</v>
      </c>
    </row>
    <row r="969" spans="1:91" x14ac:dyDescent="0.2">
      <c r="A969" t="s">
        <v>111</v>
      </c>
      <c r="B969" t="b">
        <v>1</v>
      </c>
      <c r="E969">
        <v>1106</v>
      </c>
      <c r="F969" t="str">
        <f>HYPERLINK("https://portal.dnb.de/opac.htm?method=simpleSearch&amp;cqlMode=true&amp;query=idn%3D993930700", "Portal")</f>
        <v>Portal</v>
      </c>
      <c r="G969" t="s">
        <v>112</v>
      </c>
      <c r="H969" t="s">
        <v>4275</v>
      </c>
      <c r="I969" t="s">
        <v>4276</v>
      </c>
      <c r="J969" t="s">
        <v>4277</v>
      </c>
      <c r="K969" t="s">
        <v>4277</v>
      </c>
      <c r="L969" t="s">
        <v>4277</v>
      </c>
      <c r="N969" t="s">
        <v>4278</v>
      </c>
      <c r="O969" t="s">
        <v>117</v>
      </c>
      <c r="S969" t="s">
        <v>121</v>
      </c>
      <c r="AI969" t="s">
        <v>792</v>
      </c>
      <c r="AM969" t="s">
        <v>134</v>
      </c>
      <c r="AS969" t="s">
        <v>135</v>
      </c>
      <c r="BG969">
        <v>110</v>
      </c>
      <c r="BM969" t="s">
        <v>137</v>
      </c>
      <c r="BN969">
        <v>0</v>
      </c>
    </row>
    <row r="970" spans="1:91" x14ac:dyDescent="0.2">
      <c r="A970" t="s">
        <v>111</v>
      </c>
      <c r="B970" t="b">
        <v>1</v>
      </c>
      <c r="E970">
        <v>1107</v>
      </c>
      <c r="F970" t="str">
        <f>HYPERLINK("https://portal.dnb.de/opac.htm?method=simpleSearch&amp;cqlMode=true&amp;query=idn%3D1000805778", "Portal")</f>
        <v>Portal</v>
      </c>
      <c r="G970" t="s">
        <v>112</v>
      </c>
      <c r="H970" t="s">
        <v>4279</v>
      </c>
      <c r="I970" t="s">
        <v>4280</v>
      </c>
      <c r="J970" t="s">
        <v>4281</v>
      </c>
      <c r="K970" t="s">
        <v>4281</v>
      </c>
      <c r="L970" t="s">
        <v>4281</v>
      </c>
      <c r="N970" t="s">
        <v>4282</v>
      </c>
      <c r="O970" t="s">
        <v>117</v>
      </c>
      <c r="S970" t="s">
        <v>121</v>
      </c>
      <c r="AI970" t="s">
        <v>792</v>
      </c>
      <c r="AM970" t="s">
        <v>134</v>
      </c>
      <c r="AS970" t="s">
        <v>135</v>
      </c>
      <c r="BG970">
        <v>110</v>
      </c>
      <c r="BK970" t="s">
        <v>132</v>
      </c>
      <c r="BL970" t="s">
        <v>132</v>
      </c>
      <c r="BM970" t="s">
        <v>137</v>
      </c>
      <c r="BN970">
        <v>0</v>
      </c>
    </row>
    <row r="971" spans="1:91" x14ac:dyDescent="0.2">
      <c r="A971" t="s">
        <v>111</v>
      </c>
      <c r="B971" t="b">
        <v>1</v>
      </c>
      <c r="E971">
        <v>1108</v>
      </c>
      <c r="F971" t="str">
        <f>HYPERLINK("https://portal.dnb.de/opac.htm?method=simpleSearch&amp;cqlMode=true&amp;query=idn%3D999175556", "Portal")</f>
        <v>Portal</v>
      </c>
      <c r="G971" t="s">
        <v>112</v>
      </c>
      <c r="H971" t="s">
        <v>4283</v>
      </c>
      <c r="I971" t="s">
        <v>4284</v>
      </c>
      <c r="J971" t="s">
        <v>4285</v>
      </c>
      <c r="K971" t="s">
        <v>4285</v>
      </c>
      <c r="L971" t="s">
        <v>4285</v>
      </c>
      <c r="N971" t="s">
        <v>4286</v>
      </c>
      <c r="O971" t="s">
        <v>117</v>
      </c>
      <c r="S971" t="s">
        <v>121</v>
      </c>
      <c r="AI971" t="s">
        <v>792</v>
      </c>
      <c r="AM971" t="s">
        <v>134</v>
      </c>
      <c r="AS971" t="s">
        <v>135</v>
      </c>
      <c r="BG971">
        <v>110</v>
      </c>
      <c r="BK971" t="s">
        <v>132</v>
      </c>
      <c r="BL971" t="s">
        <v>132</v>
      </c>
      <c r="BM971" t="s">
        <v>137</v>
      </c>
      <c r="BN971">
        <v>0</v>
      </c>
    </row>
    <row r="972" spans="1:91" x14ac:dyDescent="0.2">
      <c r="A972" t="s">
        <v>111</v>
      </c>
      <c r="B972" t="b">
        <v>1</v>
      </c>
      <c r="E972">
        <v>1052</v>
      </c>
      <c r="F972" t="str">
        <f>HYPERLINK("https://portal.dnb.de/opac.htm?method=simpleSearch&amp;cqlMode=true&amp;query=idn%3D1066961611", "Portal")</f>
        <v>Portal</v>
      </c>
      <c r="G972" t="s">
        <v>125</v>
      </c>
      <c r="H972" t="s">
        <v>4287</v>
      </c>
      <c r="I972" t="s">
        <v>4288</v>
      </c>
      <c r="J972" t="s">
        <v>4289</v>
      </c>
      <c r="K972" t="s">
        <v>4289</v>
      </c>
      <c r="L972" t="s">
        <v>4289</v>
      </c>
      <c r="N972" t="s">
        <v>4290</v>
      </c>
      <c r="O972" t="s">
        <v>117</v>
      </c>
      <c r="S972" t="s">
        <v>121</v>
      </c>
      <c r="AF972" t="s">
        <v>4291</v>
      </c>
      <c r="AI972" t="s">
        <v>133</v>
      </c>
      <c r="AK972" t="s">
        <v>132</v>
      </c>
      <c r="AM972" t="s">
        <v>134</v>
      </c>
      <c r="AS972" t="s">
        <v>135</v>
      </c>
      <c r="AT972" t="s">
        <v>132</v>
      </c>
      <c r="BG972">
        <v>110</v>
      </c>
      <c r="BM972" t="s">
        <v>137</v>
      </c>
      <c r="BN972">
        <v>0</v>
      </c>
      <c r="BR972" t="s">
        <v>132</v>
      </c>
    </row>
    <row r="973" spans="1:91" x14ac:dyDescent="0.2">
      <c r="A973" t="s">
        <v>111</v>
      </c>
      <c r="B973" t="b">
        <v>1</v>
      </c>
      <c r="E973">
        <v>1053</v>
      </c>
      <c r="F973" t="str">
        <f>HYPERLINK("https://portal.dnb.de/opac.htm?method=simpleSearch&amp;cqlMode=true&amp;query=idn%3D1066957088", "Portal")</f>
        <v>Portal</v>
      </c>
      <c r="G973" t="s">
        <v>125</v>
      </c>
      <c r="H973" t="s">
        <v>4292</v>
      </c>
      <c r="I973" t="s">
        <v>4293</v>
      </c>
      <c r="J973" t="s">
        <v>4294</v>
      </c>
      <c r="K973" t="s">
        <v>4294</v>
      </c>
      <c r="L973" t="s">
        <v>4294</v>
      </c>
      <c r="N973" t="s">
        <v>4295</v>
      </c>
      <c r="O973" t="s">
        <v>117</v>
      </c>
      <c r="S973" t="s">
        <v>121</v>
      </c>
      <c r="AI973" t="s">
        <v>792</v>
      </c>
      <c r="AM973" t="s">
        <v>134</v>
      </c>
      <c r="AS973" t="s">
        <v>135</v>
      </c>
      <c r="AT973" t="s">
        <v>132</v>
      </c>
      <c r="BG973">
        <v>110</v>
      </c>
      <c r="BM973" t="s">
        <v>137</v>
      </c>
      <c r="BN973">
        <v>0</v>
      </c>
    </row>
    <row r="974" spans="1:91" x14ac:dyDescent="0.2">
      <c r="A974" t="s">
        <v>111</v>
      </c>
      <c r="B974" t="b">
        <v>1</v>
      </c>
      <c r="E974">
        <v>1054</v>
      </c>
      <c r="F974" t="str">
        <f>HYPERLINK("https://portal.dnb.de/opac.htm?method=simpleSearch&amp;cqlMode=true&amp;query=idn%3D1079624163", "Portal")</f>
        <v>Portal</v>
      </c>
      <c r="G974" t="s">
        <v>125</v>
      </c>
      <c r="H974" t="s">
        <v>4296</v>
      </c>
      <c r="I974" t="s">
        <v>4297</v>
      </c>
      <c r="J974" t="s">
        <v>4298</v>
      </c>
      <c r="K974" t="s">
        <v>4298</v>
      </c>
      <c r="L974" t="s">
        <v>4298</v>
      </c>
      <c r="N974" t="s">
        <v>4299</v>
      </c>
      <c r="O974" t="s">
        <v>117</v>
      </c>
      <c r="S974" t="s">
        <v>121</v>
      </c>
      <c r="AF974" t="s">
        <v>4291</v>
      </c>
      <c r="AI974" t="s">
        <v>133</v>
      </c>
      <c r="AK974" t="s">
        <v>132</v>
      </c>
      <c r="AM974" t="s">
        <v>134</v>
      </c>
      <c r="AS974" t="s">
        <v>135</v>
      </c>
      <c r="AT974" t="s">
        <v>132</v>
      </c>
      <c r="BG974">
        <v>110</v>
      </c>
      <c r="BM974" t="s">
        <v>137</v>
      </c>
      <c r="BN974">
        <v>0</v>
      </c>
      <c r="BR974" t="s">
        <v>132</v>
      </c>
    </row>
    <row r="975" spans="1:91" x14ac:dyDescent="0.2">
      <c r="A975" t="s">
        <v>111</v>
      </c>
      <c r="B975" t="b">
        <v>1</v>
      </c>
      <c r="E975">
        <v>1055</v>
      </c>
      <c r="F975" t="str">
        <f>HYPERLINK("https://portal.dnb.de/opac.htm?method=simpleSearch&amp;cqlMode=true&amp;query=idn%3D99892413X", "Portal")</f>
        <v>Portal</v>
      </c>
      <c r="G975" t="s">
        <v>112</v>
      </c>
      <c r="H975" t="s">
        <v>4300</v>
      </c>
      <c r="I975" t="s">
        <v>4301</v>
      </c>
      <c r="J975" t="s">
        <v>4302</v>
      </c>
      <c r="K975" t="s">
        <v>4302</v>
      </c>
      <c r="L975" t="s">
        <v>4302</v>
      </c>
      <c r="N975" t="s">
        <v>4303</v>
      </c>
      <c r="O975" t="s">
        <v>117</v>
      </c>
      <c r="S975" t="s">
        <v>121</v>
      </c>
      <c r="AH975" t="s">
        <v>132</v>
      </c>
      <c r="AI975" t="s">
        <v>133</v>
      </c>
      <c r="AL975" t="s">
        <v>132</v>
      </c>
      <c r="AM975" t="s">
        <v>196</v>
      </c>
      <c r="AS975" t="s">
        <v>135</v>
      </c>
      <c r="AX975" t="s">
        <v>132</v>
      </c>
      <c r="BE975">
        <v>2</v>
      </c>
      <c r="BF975" t="s">
        <v>132</v>
      </c>
      <c r="BG975">
        <v>110</v>
      </c>
      <c r="BM975" t="s">
        <v>137</v>
      </c>
      <c r="BN975">
        <v>0</v>
      </c>
      <c r="BT975" t="s">
        <v>562</v>
      </c>
      <c r="BU975" t="s">
        <v>132</v>
      </c>
    </row>
    <row r="976" spans="1:91" x14ac:dyDescent="0.2">
      <c r="A976" t="s">
        <v>111</v>
      </c>
      <c r="B976" t="b">
        <v>1</v>
      </c>
      <c r="E976">
        <v>1056</v>
      </c>
      <c r="F976" t="str">
        <f>HYPERLINK("https://portal.dnb.de/opac.htm?method=simpleSearch&amp;cqlMode=true&amp;query=idn%3D1066960011", "Portal")</f>
        <v>Portal</v>
      </c>
      <c r="G976" t="s">
        <v>125</v>
      </c>
      <c r="H976" t="s">
        <v>4304</v>
      </c>
      <c r="I976" t="s">
        <v>4305</v>
      </c>
      <c r="J976" t="s">
        <v>4306</v>
      </c>
      <c r="K976" t="s">
        <v>4306</v>
      </c>
      <c r="L976" t="s">
        <v>4306</v>
      </c>
      <c r="N976" t="s">
        <v>4307</v>
      </c>
      <c r="O976" t="s">
        <v>117</v>
      </c>
      <c r="S976" t="s">
        <v>121</v>
      </c>
      <c r="AI976" t="s">
        <v>646</v>
      </c>
      <c r="AM976" t="s">
        <v>134</v>
      </c>
      <c r="AS976" t="s">
        <v>135</v>
      </c>
      <c r="BG976">
        <v>110</v>
      </c>
      <c r="BM976" t="s">
        <v>137</v>
      </c>
      <c r="BN976">
        <v>0</v>
      </c>
      <c r="BY976" t="s">
        <v>460</v>
      </c>
    </row>
    <row r="977" spans="1:77" x14ac:dyDescent="0.2">
      <c r="A977" t="s">
        <v>111</v>
      </c>
      <c r="B977" t="b">
        <v>1</v>
      </c>
      <c r="E977">
        <v>1057</v>
      </c>
      <c r="F977" t="str">
        <f>HYPERLINK("https://portal.dnb.de/opac.htm?method=simpleSearch&amp;cqlMode=true&amp;query=idn%3D106695755X", "Portal")</f>
        <v>Portal</v>
      </c>
      <c r="G977" t="s">
        <v>125</v>
      </c>
      <c r="H977" t="s">
        <v>4308</v>
      </c>
      <c r="I977" t="s">
        <v>4309</v>
      </c>
      <c r="J977" t="s">
        <v>4310</v>
      </c>
      <c r="K977" t="s">
        <v>4310</v>
      </c>
      <c r="L977" t="s">
        <v>4310</v>
      </c>
      <c r="N977" t="s">
        <v>4311</v>
      </c>
      <c r="O977" t="s">
        <v>117</v>
      </c>
      <c r="S977" t="s">
        <v>121</v>
      </c>
      <c r="AI977" t="s">
        <v>792</v>
      </c>
      <c r="AM977" t="s">
        <v>134</v>
      </c>
      <c r="AS977" t="s">
        <v>135</v>
      </c>
      <c r="BG977">
        <v>110</v>
      </c>
      <c r="BM977" t="s">
        <v>137</v>
      </c>
      <c r="BN977">
        <v>0</v>
      </c>
    </row>
    <row r="978" spans="1:77" x14ac:dyDescent="0.2">
      <c r="A978" t="s">
        <v>111</v>
      </c>
      <c r="B978" t="b">
        <v>1</v>
      </c>
      <c r="F978" t="str">
        <f>HYPERLINK("https://portal.dnb.de/opac.htm?method=simpleSearch&amp;cqlMode=true&amp;query=idn%3D1268481114", "Portal")</f>
        <v>Portal</v>
      </c>
      <c r="G978" t="s">
        <v>319</v>
      </c>
      <c r="H978" t="s">
        <v>4312</v>
      </c>
      <c r="I978" t="s">
        <v>4313</v>
      </c>
      <c r="J978" t="s">
        <v>4314</v>
      </c>
      <c r="K978" t="s">
        <v>4314</v>
      </c>
      <c r="L978" t="s">
        <v>4314</v>
      </c>
      <c r="N978" t="s">
        <v>338</v>
      </c>
      <c r="O978" t="s">
        <v>117</v>
      </c>
      <c r="S978" t="s">
        <v>121</v>
      </c>
      <c r="AI978" t="s">
        <v>149</v>
      </c>
      <c r="AL978" t="s">
        <v>132</v>
      </c>
      <c r="AM978" t="s">
        <v>196</v>
      </c>
      <c r="AS978" t="s">
        <v>135</v>
      </c>
      <c r="BG978">
        <v>110</v>
      </c>
      <c r="BK978" t="s">
        <v>132</v>
      </c>
      <c r="BM978" t="s">
        <v>137</v>
      </c>
      <c r="BN978">
        <v>0</v>
      </c>
      <c r="BP978" t="s">
        <v>727</v>
      </c>
    </row>
    <row r="979" spans="1:77" x14ac:dyDescent="0.2">
      <c r="A979" t="s">
        <v>111</v>
      </c>
      <c r="B979" t="b">
        <v>1</v>
      </c>
      <c r="E979">
        <v>1111</v>
      </c>
      <c r="F979" t="str">
        <f>HYPERLINK("https://portal.dnb.de/opac.htm?method=simpleSearch&amp;cqlMode=true&amp;query=idn%3D999156268", "Portal")</f>
        <v>Portal</v>
      </c>
      <c r="G979" t="s">
        <v>112</v>
      </c>
      <c r="H979" t="s">
        <v>4315</v>
      </c>
      <c r="I979" t="s">
        <v>4316</v>
      </c>
      <c r="J979" t="s">
        <v>4317</v>
      </c>
      <c r="K979" t="s">
        <v>4317</v>
      </c>
      <c r="L979" t="s">
        <v>4317</v>
      </c>
      <c r="N979" t="s">
        <v>4318</v>
      </c>
      <c r="O979" t="s">
        <v>117</v>
      </c>
      <c r="S979" t="s">
        <v>121</v>
      </c>
      <c r="AI979" t="s">
        <v>792</v>
      </c>
      <c r="AM979" t="s">
        <v>134</v>
      </c>
      <c r="AS979" t="s">
        <v>135</v>
      </c>
      <c r="BG979">
        <v>110</v>
      </c>
      <c r="BK979" t="s">
        <v>132</v>
      </c>
      <c r="BL979" t="s">
        <v>132</v>
      </c>
      <c r="BM979" t="s">
        <v>137</v>
      </c>
      <c r="BN979">
        <v>0</v>
      </c>
    </row>
    <row r="980" spans="1:77" x14ac:dyDescent="0.2">
      <c r="A980" t="s">
        <v>111</v>
      </c>
      <c r="B980" t="b">
        <v>1</v>
      </c>
      <c r="E980">
        <v>1112</v>
      </c>
      <c r="F980" t="str">
        <f>HYPERLINK("https://portal.dnb.de/opac.htm?method=simpleSearch&amp;cqlMode=true&amp;query=idn%3D999166727", "Portal")</f>
        <v>Portal</v>
      </c>
      <c r="G980" t="s">
        <v>112</v>
      </c>
      <c r="H980" t="s">
        <v>4319</v>
      </c>
      <c r="I980" t="s">
        <v>4320</v>
      </c>
      <c r="J980" t="s">
        <v>4321</v>
      </c>
      <c r="K980" t="s">
        <v>4321</v>
      </c>
      <c r="L980" t="s">
        <v>4321</v>
      </c>
      <c r="N980" t="s">
        <v>4322</v>
      </c>
      <c r="O980" t="s">
        <v>117</v>
      </c>
      <c r="S980" t="s">
        <v>121</v>
      </c>
      <c r="AI980" t="s">
        <v>792</v>
      </c>
      <c r="AM980" t="s">
        <v>134</v>
      </c>
      <c r="AS980" t="s">
        <v>135</v>
      </c>
      <c r="BG980">
        <v>110</v>
      </c>
      <c r="BK980" t="s">
        <v>132</v>
      </c>
      <c r="BL980" t="s">
        <v>132</v>
      </c>
      <c r="BM980" t="s">
        <v>137</v>
      </c>
      <c r="BN980">
        <v>0</v>
      </c>
    </row>
    <row r="981" spans="1:77" x14ac:dyDescent="0.2">
      <c r="A981" t="s">
        <v>111</v>
      </c>
      <c r="B981" t="b">
        <v>1</v>
      </c>
      <c r="F981" t="str">
        <f>HYPERLINK("https://portal.dnb.de/opac.htm?method=simpleSearch&amp;cqlMode=true&amp;query=idn%3D1267871814", "Portal")</f>
        <v>Portal</v>
      </c>
      <c r="G981" t="s">
        <v>319</v>
      </c>
      <c r="H981" t="s">
        <v>4323</v>
      </c>
      <c r="I981" t="s">
        <v>4324</v>
      </c>
      <c r="J981" t="s">
        <v>4325</v>
      </c>
      <c r="K981" t="s">
        <v>4325</v>
      </c>
      <c r="L981" t="s">
        <v>4325</v>
      </c>
      <c r="N981" t="s">
        <v>4326</v>
      </c>
      <c r="O981" t="s">
        <v>117</v>
      </c>
      <c r="S981" t="s">
        <v>121</v>
      </c>
      <c r="AI981" t="s">
        <v>149</v>
      </c>
      <c r="AM981" t="s">
        <v>150</v>
      </c>
      <c r="AS981" t="s">
        <v>135</v>
      </c>
      <c r="BG981" t="s">
        <v>1223</v>
      </c>
      <c r="BM981" t="s">
        <v>137</v>
      </c>
      <c r="BN981">
        <v>0</v>
      </c>
      <c r="BT981" t="s">
        <v>562</v>
      </c>
      <c r="BU981" t="s">
        <v>132</v>
      </c>
      <c r="BV981" t="s">
        <v>4327</v>
      </c>
    </row>
    <row r="982" spans="1:77" x14ac:dyDescent="0.2">
      <c r="A982" t="s">
        <v>111</v>
      </c>
      <c r="B982" t="b">
        <v>1</v>
      </c>
      <c r="E982">
        <v>1116</v>
      </c>
      <c r="F982" t="str">
        <f>HYPERLINK("https://portal.dnb.de/opac.htm?method=simpleSearch&amp;cqlMode=true&amp;query=idn%3D998925616", "Portal")</f>
        <v>Portal</v>
      </c>
      <c r="G982" t="s">
        <v>112</v>
      </c>
      <c r="H982" t="s">
        <v>4328</v>
      </c>
      <c r="I982" t="s">
        <v>4329</v>
      </c>
      <c r="J982" t="s">
        <v>4330</v>
      </c>
      <c r="K982" t="s">
        <v>4330</v>
      </c>
      <c r="L982" t="s">
        <v>4330</v>
      </c>
      <c r="N982" t="s">
        <v>4331</v>
      </c>
      <c r="O982" t="s">
        <v>117</v>
      </c>
      <c r="S982" t="s">
        <v>121</v>
      </c>
      <c r="AI982" t="s">
        <v>792</v>
      </c>
      <c r="AM982" t="s">
        <v>134</v>
      </c>
      <c r="AS982" t="s">
        <v>135</v>
      </c>
      <c r="BG982">
        <v>110</v>
      </c>
      <c r="BK982" t="s">
        <v>132</v>
      </c>
      <c r="BL982" t="s">
        <v>132</v>
      </c>
      <c r="BM982" t="s">
        <v>137</v>
      </c>
      <c r="BN982">
        <v>0</v>
      </c>
      <c r="BW982" t="s">
        <v>152</v>
      </c>
      <c r="BX982" t="s">
        <v>4332</v>
      </c>
    </row>
    <row r="983" spans="1:77" x14ac:dyDescent="0.2">
      <c r="A983" t="s">
        <v>111</v>
      </c>
      <c r="B983" t="b">
        <v>1</v>
      </c>
      <c r="E983">
        <v>1117</v>
      </c>
      <c r="F983" t="str">
        <f>HYPERLINK("https://portal.dnb.de/opac.htm?method=simpleSearch&amp;cqlMode=true&amp;query=idn%3D998902365", "Portal")</f>
        <v>Portal</v>
      </c>
      <c r="G983" t="s">
        <v>112</v>
      </c>
      <c r="H983" t="s">
        <v>4333</v>
      </c>
      <c r="I983" t="s">
        <v>4334</v>
      </c>
      <c r="J983" t="s">
        <v>4335</v>
      </c>
      <c r="K983" t="s">
        <v>4335</v>
      </c>
      <c r="L983" t="s">
        <v>4335</v>
      </c>
      <c r="N983" t="s">
        <v>4336</v>
      </c>
      <c r="O983" t="s">
        <v>117</v>
      </c>
      <c r="S983" t="s">
        <v>121</v>
      </c>
      <c r="AI983" t="s">
        <v>792</v>
      </c>
      <c r="AM983" t="s">
        <v>134</v>
      </c>
      <c r="AS983" t="s">
        <v>135</v>
      </c>
      <c r="BG983">
        <v>110</v>
      </c>
      <c r="BK983" t="s">
        <v>132</v>
      </c>
      <c r="BL983" t="s">
        <v>132</v>
      </c>
      <c r="BM983" t="s">
        <v>137</v>
      </c>
      <c r="BN983">
        <v>0</v>
      </c>
    </row>
    <row r="984" spans="1:77" x14ac:dyDescent="0.2">
      <c r="A984" t="s">
        <v>111</v>
      </c>
      <c r="B984" t="b">
        <v>1</v>
      </c>
      <c r="E984">
        <v>1118</v>
      </c>
      <c r="F984" t="str">
        <f>HYPERLINK("https://portal.dnb.de/opac.htm?method=simpleSearch&amp;cqlMode=true&amp;query=idn%3D998903302", "Portal")</f>
        <v>Portal</v>
      </c>
      <c r="G984" t="s">
        <v>112</v>
      </c>
      <c r="H984" t="s">
        <v>4337</v>
      </c>
      <c r="I984" t="s">
        <v>4338</v>
      </c>
      <c r="J984" t="s">
        <v>4339</v>
      </c>
      <c r="K984" t="s">
        <v>4339</v>
      </c>
      <c r="L984" t="s">
        <v>4339</v>
      </c>
      <c r="N984" t="s">
        <v>4340</v>
      </c>
      <c r="O984" t="s">
        <v>117</v>
      </c>
      <c r="S984" t="s">
        <v>121</v>
      </c>
      <c r="AI984" t="s">
        <v>792</v>
      </c>
      <c r="AM984" t="s">
        <v>134</v>
      </c>
      <c r="AS984" t="s">
        <v>135</v>
      </c>
      <c r="BG984">
        <v>110</v>
      </c>
      <c r="BK984" t="s">
        <v>132</v>
      </c>
      <c r="BL984" t="s">
        <v>132</v>
      </c>
      <c r="BM984" t="s">
        <v>137</v>
      </c>
      <c r="BN984">
        <v>0</v>
      </c>
    </row>
    <row r="985" spans="1:77" x14ac:dyDescent="0.2">
      <c r="A985" t="s">
        <v>111</v>
      </c>
      <c r="B985" t="b">
        <v>1</v>
      </c>
      <c r="E985">
        <v>1119</v>
      </c>
      <c r="F985" t="str">
        <f>HYPERLINK("https://portal.dnb.de/opac.htm?method=simpleSearch&amp;cqlMode=true&amp;query=idn%3D994848145", "Portal")</f>
        <v>Portal</v>
      </c>
      <c r="G985" t="s">
        <v>112</v>
      </c>
      <c r="H985" t="s">
        <v>4341</v>
      </c>
      <c r="I985" t="s">
        <v>4342</v>
      </c>
      <c r="J985" t="s">
        <v>4343</v>
      </c>
      <c r="K985" t="s">
        <v>4343</v>
      </c>
      <c r="L985" t="s">
        <v>4343</v>
      </c>
      <c r="N985" t="s">
        <v>4344</v>
      </c>
      <c r="O985" t="s">
        <v>117</v>
      </c>
      <c r="S985" t="s">
        <v>121</v>
      </c>
      <c r="AI985" t="s">
        <v>792</v>
      </c>
      <c r="AM985" t="s">
        <v>134</v>
      </c>
      <c r="AS985" t="s">
        <v>135</v>
      </c>
      <c r="BG985">
        <v>110</v>
      </c>
      <c r="BK985" t="s">
        <v>132</v>
      </c>
      <c r="BL985" t="s">
        <v>132</v>
      </c>
      <c r="BM985" t="s">
        <v>137</v>
      </c>
      <c r="BN985">
        <v>0</v>
      </c>
    </row>
    <row r="986" spans="1:77" x14ac:dyDescent="0.2">
      <c r="A986" t="s">
        <v>111</v>
      </c>
      <c r="B986" t="b">
        <v>1</v>
      </c>
      <c r="E986">
        <v>1120</v>
      </c>
      <c r="F986" t="str">
        <f>HYPERLINK("https://portal.dnb.de/opac.htm?method=simpleSearch&amp;cqlMode=true&amp;query=idn%3D999174746", "Portal")</f>
        <v>Portal</v>
      </c>
      <c r="G986" t="s">
        <v>112</v>
      </c>
      <c r="H986" t="s">
        <v>4345</v>
      </c>
      <c r="I986" t="s">
        <v>4346</v>
      </c>
      <c r="J986" t="s">
        <v>4347</v>
      </c>
      <c r="K986" t="s">
        <v>4347</v>
      </c>
      <c r="L986" t="s">
        <v>4347</v>
      </c>
      <c r="N986" t="s">
        <v>4348</v>
      </c>
      <c r="O986" t="s">
        <v>117</v>
      </c>
      <c r="S986" t="s">
        <v>121</v>
      </c>
      <c r="AI986" t="s">
        <v>792</v>
      </c>
      <c r="AM986" t="s">
        <v>134</v>
      </c>
      <c r="AS986" t="s">
        <v>135</v>
      </c>
      <c r="BG986">
        <v>110</v>
      </c>
      <c r="BK986" t="s">
        <v>132</v>
      </c>
      <c r="BL986" t="s">
        <v>132</v>
      </c>
      <c r="BM986" t="s">
        <v>137</v>
      </c>
      <c r="BN986">
        <v>0</v>
      </c>
    </row>
    <row r="987" spans="1:77" x14ac:dyDescent="0.2">
      <c r="A987" t="s">
        <v>111</v>
      </c>
      <c r="B987" t="b">
        <v>1</v>
      </c>
      <c r="E987">
        <v>1121</v>
      </c>
      <c r="F987" t="str">
        <f>HYPERLINK("https://portal.dnb.de/opac.htm?method=simpleSearch&amp;cqlMode=true&amp;query=idn%3D997502614", "Portal")</f>
        <v>Portal</v>
      </c>
      <c r="G987" t="s">
        <v>112</v>
      </c>
      <c r="H987" t="s">
        <v>4349</v>
      </c>
      <c r="I987" t="s">
        <v>4350</v>
      </c>
      <c r="J987" t="s">
        <v>4351</v>
      </c>
      <c r="K987" t="s">
        <v>4351</v>
      </c>
      <c r="L987" t="s">
        <v>4351</v>
      </c>
      <c r="N987" t="s">
        <v>4352</v>
      </c>
      <c r="O987" t="s">
        <v>117</v>
      </c>
      <c r="S987" t="s">
        <v>121</v>
      </c>
      <c r="AI987" t="s">
        <v>792</v>
      </c>
      <c r="AM987" t="s">
        <v>134</v>
      </c>
      <c r="AS987" t="s">
        <v>135</v>
      </c>
      <c r="BG987">
        <v>110</v>
      </c>
      <c r="BK987" t="s">
        <v>132</v>
      </c>
      <c r="BL987" t="s">
        <v>132</v>
      </c>
      <c r="BM987" t="s">
        <v>137</v>
      </c>
      <c r="BN987">
        <v>0</v>
      </c>
    </row>
    <row r="988" spans="1:77" x14ac:dyDescent="0.2">
      <c r="A988" t="s">
        <v>111</v>
      </c>
      <c r="B988" t="b">
        <v>1</v>
      </c>
      <c r="E988">
        <v>1122</v>
      </c>
      <c r="F988" t="str">
        <f>HYPERLINK("https://portal.dnb.de/opac.htm?method=simpleSearch&amp;cqlMode=true&amp;query=idn%3D998886769", "Portal")</f>
        <v>Portal</v>
      </c>
      <c r="G988" t="s">
        <v>112</v>
      </c>
      <c r="H988" t="s">
        <v>4353</v>
      </c>
      <c r="I988" t="s">
        <v>4354</v>
      </c>
      <c r="J988" t="s">
        <v>4355</v>
      </c>
      <c r="K988" t="s">
        <v>4355</v>
      </c>
      <c r="L988" t="s">
        <v>4355</v>
      </c>
      <c r="N988" t="s">
        <v>4356</v>
      </c>
      <c r="O988" t="s">
        <v>117</v>
      </c>
      <c r="S988" t="s">
        <v>121</v>
      </c>
      <c r="AI988" t="s">
        <v>792</v>
      </c>
      <c r="AL988" t="s">
        <v>132</v>
      </c>
      <c r="AM988" t="s">
        <v>134</v>
      </c>
      <c r="AS988" t="s">
        <v>135</v>
      </c>
      <c r="BG988">
        <v>110</v>
      </c>
      <c r="BM988" t="s">
        <v>137</v>
      </c>
      <c r="BN988">
        <v>0</v>
      </c>
      <c r="BV988" t="s">
        <v>4357</v>
      </c>
    </row>
    <row r="989" spans="1:77" x14ac:dyDescent="0.2">
      <c r="A989" t="s">
        <v>111</v>
      </c>
      <c r="B989" t="b">
        <v>0</v>
      </c>
      <c r="E989">
        <v>1123</v>
      </c>
      <c r="F989" t="str">
        <f>HYPERLINK("https://portal.dnb.de/opac.htm?method=simpleSearch&amp;cqlMode=true&amp;query=idn%3D994516029", "Portal")</f>
        <v>Portal</v>
      </c>
      <c r="H989" t="s">
        <v>4358</v>
      </c>
      <c r="I989" t="s">
        <v>4359</v>
      </c>
      <c r="L989" t="s">
        <v>4360</v>
      </c>
      <c r="M989" t="s">
        <v>4361</v>
      </c>
      <c r="BN989">
        <v>0</v>
      </c>
    </row>
    <row r="990" spans="1:77" x14ac:dyDescent="0.2">
      <c r="A990" t="s">
        <v>111</v>
      </c>
      <c r="B990" t="b">
        <v>1</v>
      </c>
      <c r="E990">
        <v>1058</v>
      </c>
      <c r="F990" t="str">
        <f>HYPERLINK("https://portal.dnb.de/opac.htm?method=simpleSearch&amp;cqlMode=true&amp;query=idn%3D1066957576", "Portal")</f>
        <v>Portal</v>
      </c>
      <c r="G990" t="s">
        <v>125</v>
      </c>
      <c r="H990" t="s">
        <v>4362</v>
      </c>
      <c r="I990" t="s">
        <v>4363</v>
      </c>
      <c r="J990" t="s">
        <v>4364</v>
      </c>
      <c r="K990" t="s">
        <v>4364</v>
      </c>
      <c r="L990" t="s">
        <v>4364</v>
      </c>
      <c r="N990" t="s">
        <v>4365</v>
      </c>
      <c r="O990" t="s">
        <v>117</v>
      </c>
      <c r="S990" t="s">
        <v>121</v>
      </c>
      <c r="AH990" t="s">
        <v>132</v>
      </c>
      <c r="AI990" t="s">
        <v>133</v>
      </c>
      <c r="AK990" t="s">
        <v>132</v>
      </c>
      <c r="AM990" t="s">
        <v>134</v>
      </c>
      <c r="AS990" t="s">
        <v>135</v>
      </c>
      <c r="AT990" t="s">
        <v>132</v>
      </c>
      <c r="BG990">
        <v>80</v>
      </c>
      <c r="BM990" t="s">
        <v>137</v>
      </c>
      <c r="BN990">
        <v>0</v>
      </c>
      <c r="BY990" t="s">
        <v>4366</v>
      </c>
    </row>
    <row r="991" spans="1:77" x14ac:dyDescent="0.2">
      <c r="A991" t="s">
        <v>111</v>
      </c>
      <c r="B991" t="b">
        <v>1</v>
      </c>
      <c r="E991">
        <v>1059</v>
      </c>
      <c r="F991" t="str">
        <f>HYPERLINK("https://portal.dnb.de/opac.htm?method=simpleSearch&amp;cqlMode=true&amp;query=idn%3D1066874271", "Portal")</f>
        <v>Portal</v>
      </c>
      <c r="G991" t="s">
        <v>125</v>
      </c>
      <c r="H991" t="s">
        <v>4367</v>
      </c>
      <c r="I991" t="s">
        <v>4368</v>
      </c>
      <c r="J991" t="s">
        <v>4369</v>
      </c>
      <c r="K991" t="s">
        <v>4369</v>
      </c>
      <c r="L991" t="s">
        <v>4369</v>
      </c>
      <c r="N991" t="s">
        <v>4370</v>
      </c>
      <c r="O991" t="s">
        <v>117</v>
      </c>
      <c r="S991" t="s">
        <v>121</v>
      </c>
      <c r="AI991" t="s">
        <v>646</v>
      </c>
      <c r="AM991" t="s">
        <v>150</v>
      </c>
      <c r="AS991" t="s">
        <v>135</v>
      </c>
      <c r="BG991">
        <v>110</v>
      </c>
      <c r="BM991" t="s">
        <v>137</v>
      </c>
      <c r="BN991">
        <v>0</v>
      </c>
      <c r="BY991" t="s">
        <v>460</v>
      </c>
    </row>
    <row r="992" spans="1:77" x14ac:dyDescent="0.2">
      <c r="A992" t="s">
        <v>111</v>
      </c>
      <c r="B992" t="b">
        <v>1</v>
      </c>
      <c r="E992">
        <v>1124</v>
      </c>
      <c r="F992" t="str">
        <f>HYPERLINK("https://portal.dnb.de/opac.htm?method=simpleSearch&amp;cqlMode=true&amp;query=idn%3D999165380", "Portal")</f>
        <v>Portal</v>
      </c>
      <c r="G992" t="s">
        <v>112</v>
      </c>
      <c r="H992" t="s">
        <v>4371</v>
      </c>
      <c r="I992" t="s">
        <v>4372</v>
      </c>
      <c r="J992" t="s">
        <v>4373</v>
      </c>
      <c r="K992" t="s">
        <v>4373</v>
      </c>
      <c r="L992" t="s">
        <v>4374</v>
      </c>
      <c r="N992" t="s">
        <v>4375</v>
      </c>
      <c r="O992" t="s">
        <v>117</v>
      </c>
      <c r="S992" t="s">
        <v>121</v>
      </c>
      <c r="AI992" t="s">
        <v>792</v>
      </c>
      <c r="AM992" t="s">
        <v>134</v>
      </c>
      <c r="AS992" t="s">
        <v>135</v>
      </c>
      <c r="BG992">
        <v>110</v>
      </c>
      <c r="BM992" t="s">
        <v>137</v>
      </c>
      <c r="BN992">
        <v>0</v>
      </c>
    </row>
    <row r="993" spans="1:76" x14ac:dyDescent="0.2">
      <c r="A993" t="s">
        <v>111</v>
      </c>
      <c r="B993" t="b">
        <v>1</v>
      </c>
      <c r="E993">
        <v>1125</v>
      </c>
      <c r="F993" t="str">
        <f>HYPERLINK("https://portal.dnb.de/opac.htm?method=simpleSearch&amp;cqlMode=true&amp;query=idn%3D999156691", "Portal")</f>
        <v>Portal</v>
      </c>
      <c r="G993" t="s">
        <v>112</v>
      </c>
      <c r="H993" t="s">
        <v>4376</v>
      </c>
      <c r="I993" t="s">
        <v>4377</v>
      </c>
      <c r="J993" t="s">
        <v>4378</v>
      </c>
      <c r="K993" t="s">
        <v>4378</v>
      </c>
      <c r="L993" t="s">
        <v>4379</v>
      </c>
      <c r="N993" t="s">
        <v>4380</v>
      </c>
      <c r="O993" t="s">
        <v>117</v>
      </c>
      <c r="S993" t="s">
        <v>121</v>
      </c>
      <c r="AI993" t="s">
        <v>792</v>
      </c>
      <c r="AM993" t="s">
        <v>134</v>
      </c>
      <c r="AS993" t="s">
        <v>135</v>
      </c>
      <c r="BG993">
        <v>110</v>
      </c>
      <c r="BK993" t="s">
        <v>132</v>
      </c>
      <c r="BL993" t="s">
        <v>132</v>
      </c>
      <c r="BM993" t="s">
        <v>137</v>
      </c>
      <c r="BN993">
        <v>0</v>
      </c>
    </row>
    <row r="994" spans="1:76" x14ac:dyDescent="0.2">
      <c r="A994" t="s">
        <v>111</v>
      </c>
      <c r="B994" t="b">
        <v>1</v>
      </c>
      <c r="E994">
        <v>1060</v>
      </c>
      <c r="F994" t="str">
        <f>HYPERLINK("https://portal.dnb.de/opac.htm?method=simpleSearch&amp;cqlMode=true&amp;query=idn%3D1066961751", "Portal")</f>
        <v>Portal</v>
      </c>
      <c r="G994" t="s">
        <v>125</v>
      </c>
      <c r="H994" t="s">
        <v>4381</v>
      </c>
      <c r="I994" t="s">
        <v>4382</v>
      </c>
      <c r="J994" t="s">
        <v>4383</v>
      </c>
      <c r="K994" t="s">
        <v>4383</v>
      </c>
      <c r="L994" t="s">
        <v>4383</v>
      </c>
      <c r="N994" t="s">
        <v>4384</v>
      </c>
      <c r="O994" t="s">
        <v>117</v>
      </c>
      <c r="S994" t="s">
        <v>121</v>
      </c>
      <c r="AH994" t="s">
        <v>132</v>
      </c>
      <c r="AI994" t="s">
        <v>792</v>
      </c>
      <c r="AM994" t="s">
        <v>134</v>
      </c>
      <c r="AS994" t="s">
        <v>135</v>
      </c>
      <c r="BG994">
        <v>110</v>
      </c>
      <c r="BM994" t="s">
        <v>137</v>
      </c>
      <c r="BN994">
        <v>0</v>
      </c>
    </row>
    <row r="995" spans="1:76" x14ac:dyDescent="0.2">
      <c r="A995" t="s">
        <v>111</v>
      </c>
      <c r="B995" t="b">
        <v>1</v>
      </c>
      <c r="E995">
        <v>1126</v>
      </c>
      <c r="F995" t="str">
        <f>HYPERLINK("https://portal.dnb.de/opac.htm?method=simpleSearch&amp;cqlMode=true&amp;query=idn%3D998922110", "Portal")</f>
        <v>Portal</v>
      </c>
      <c r="G995" t="s">
        <v>112</v>
      </c>
      <c r="H995" t="s">
        <v>4385</v>
      </c>
      <c r="I995" t="s">
        <v>4386</v>
      </c>
      <c r="J995" t="s">
        <v>4387</v>
      </c>
      <c r="K995" t="s">
        <v>4387</v>
      </c>
      <c r="L995" t="s">
        <v>4388</v>
      </c>
      <c r="N995" t="s">
        <v>4389</v>
      </c>
      <c r="O995" t="s">
        <v>117</v>
      </c>
      <c r="S995" t="s">
        <v>121</v>
      </c>
      <c r="AI995" t="s">
        <v>792</v>
      </c>
      <c r="AL995" t="s">
        <v>132</v>
      </c>
      <c r="AM995" t="s">
        <v>134</v>
      </c>
      <c r="AS995" t="s">
        <v>135</v>
      </c>
      <c r="BG995">
        <v>110</v>
      </c>
      <c r="BM995" t="s">
        <v>137</v>
      </c>
      <c r="BN995">
        <v>0</v>
      </c>
    </row>
    <row r="996" spans="1:76" x14ac:dyDescent="0.2">
      <c r="A996" t="s">
        <v>111</v>
      </c>
      <c r="B996" t="b">
        <v>1</v>
      </c>
      <c r="E996">
        <v>1061</v>
      </c>
      <c r="F996" t="str">
        <f>HYPERLINK("https://portal.dnb.de/opac.htm?method=simpleSearch&amp;cqlMode=true&amp;query=idn%3D1066957223", "Portal")</f>
        <v>Portal</v>
      </c>
      <c r="G996" t="s">
        <v>125</v>
      </c>
      <c r="H996" t="s">
        <v>4390</v>
      </c>
      <c r="I996" t="s">
        <v>4391</v>
      </c>
      <c r="J996" t="s">
        <v>4392</v>
      </c>
      <c r="K996" t="s">
        <v>4392</v>
      </c>
      <c r="L996" t="s">
        <v>4392</v>
      </c>
      <c r="N996" t="s">
        <v>4393</v>
      </c>
      <c r="O996" t="s">
        <v>117</v>
      </c>
      <c r="S996" t="s">
        <v>121</v>
      </c>
      <c r="AH996" t="s">
        <v>132</v>
      </c>
      <c r="AI996" t="s">
        <v>325</v>
      </c>
      <c r="AK996" t="s">
        <v>132</v>
      </c>
      <c r="AM996" t="s">
        <v>134</v>
      </c>
      <c r="AS996" t="s">
        <v>135</v>
      </c>
      <c r="BE996">
        <v>2</v>
      </c>
      <c r="BG996">
        <v>110</v>
      </c>
      <c r="BM996" t="s">
        <v>137</v>
      </c>
      <c r="BN996">
        <v>0</v>
      </c>
      <c r="BW996" t="s">
        <v>152</v>
      </c>
      <c r="BX996" t="s">
        <v>4394</v>
      </c>
    </row>
    <row r="997" spans="1:76" x14ac:dyDescent="0.2">
      <c r="A997" t="s">
        <v>111</v>
      </c>
      <c r="B997" t="b">
        <v>1</v>
      </c>
      <c r="E997">
        <v>1062</v>
      </c>
      <c r="F997" t="str">
        <f>HYPERLINK("https://portal.dnb.de/opac.htm?method=simpleSearch&amp;cqlMode=true&amp;query=idn%3D1066958459", "Portal")</f>
        <v>Portal</v>
      </c>
      <c r="G997" t="s">
        <v>125</v>
      </c>
      <c r="H997" t="s">
        <v>4395</v>
      </c>
      <c r="I997" t="s">
        <v>4396</v>
      </c>
      <c r="J997" t="s">
        <v>4397</v>
      </c>
      <c r="K997" t="s">
        <v>4397</v>
      </c>
      <c r="L997" t="s">
        <v>4397</v>
      </c>
      <c r="N997" t="s">
        <v>4398</v>
      </c>
      <c r="O997" t="s">
        <v>117</v>
      </c>
      <c r="S997" t="s">
        <v>121</v>
      </c>
      <c r="AI997" t="s">
        <v>135</v>
      </c>
      <c r="AM997" t="s">
        <v>134</v>
      </c>
      <c r="AS997" t="s">
        <v>135</v>
      </c>
      <c r="BG997">
        <v>110</v>
      </c>
      <c r="BM997" t="s">
        <v>137</v>
      </c>
      <c r="BN997">
        <v>0</v>
      </c>
    </row>
    <row r="998" spans="1:76" x14ac:dyDescent="0.2">
      <c r="A998" t="s">
        <v>111</v>
      </c>
      <c r="B998" t="b">
        <v>1</v>
      </c>
      <c r="E998">
        <v>1127</v>
      </c>
      <c r="F998" t="str">
        <f>HYPERLINK("https://portal.dnb.de/opac.htm?method=simpleSearch&amp;cqlMode=true&amp;query=idn%3D1001771508", "Portal")</f>
        <v>Portal</v>
      </c>
      <c r="G998" t="s">
        <v>112</v>
      </c>
      <c r="H998" t="s">
        <v>4399</v>
      </c>
      <c r="I998" t="s">
        <v>4400</v>
      </c>
      <c r="J998" t="s">
        <v>4401</v>
      </c>
      <c r="K998" t="s">
        <v>4401</v>
      </c>
      <c r="L998" t="s">
        <v>4401</v>
      </c>
      <c r="N998" t="s">
        <v>4402</v>
      </c>
      <c r="O998" t="s">
        <v>117</v>
      </c>
      <c r="S998" t="s">
        <v>121</v>
      </c>
      <c r="AI998" t="s">
        <v>792</v>
      </c>
      <c r="AM998" t="s">
        <v>134</v>
      </c>
      <c r="AS998" t="s">
        <v>135</v>
      </c>
      <c r="BG998">
        <v>110</v>
      </c>
      <c r="BK998" t="s">
        <v>132</v>
      </c>
      <c r="BL998" t="s">
        <v>132</v>
      </c>
      <c r="BM998" t="s">
        <v>137</v>
      </c>
      <c r="BN998">
        <v>0</v>
      </c>
    </row>
    <row r="999" spans="1:76" x14ac:dyDescent="0.2">
      <c r="A999" t="s">
        <v>111</v>
      </c>
      <c r="B999" t="b">
        <v>1</v>
      </c>
      <c r="E999">
        <v>1128</v>
      </c>
      <c r="F999" t="str">
        <f>HYPERLINK("https://portal.dnb.de/opac.htm?method=simpleSearch&amp;cqlMode=true&amp;query=idn%3D993862357", "Portal")</f>
        <v>Portal</v>
      </c>
      <c r="G999" t="s">
        <v>112</v>
      </c>
      <c r="H999" t="s">
        <v>4403</v>
      </c>
      <c r="I999" t="s">
        <v>4404</v>
      </c>
      <c r="J999" t="s">
        <v>4405</v>
      </c>
      <c r="K999" t="s">
        <v>4405</v>
      </c>
      <c r="L999" t="s">
        <v>4405</v>
      </c>
      <c r="N999" t="s">
        <v>4406</v>
      </c>
      <c r="O999" t="s">
        <v>117</v>
      </c>
      <c r="S999" t="s">
        <v>121</v>
      </c>
      <c r="AI999" t="s">
        <v>792</v>
      </c>
      <c r="AM999" t="s">
        <v>134</v>
      </c>
      <c r="AS999" t="s">
        <v>135</v>
      </c>
      <c r="BG999">
        <v>110</v>
      </c>
      <c r="BK999" t="s">
        <v>132</v>
      </c>
      <c r="BL999" t="s">
        <v>132</v>
      </c>
      <c r="BM999" t="s">
        <v>137</v>
      </c>
      <c r="BN999">
        <v>0</v>
      </c>
    </row>
    <row r="1000" spans="1:76" x14ac:dyDescent="0.2">
      <c r="A1000" t="s">
        <v>111</v>
      </c>
      <c r="B1000" t="b">
        <v>1</v>
      </c>
      <c r="E1000">
        <v>1129</v>
      </c>
      <c r="F1000" t="str">
        <f>HYPERLINK("https://portal.dnb.de/opac.htm?method=simpleSearch&amp;cqlMode=true&amp;query=idn%3D998886203", "Portal")</f>
        <v>Portal</v>
      </c>
      <c r="G1000" t="s">
        <v>112</v>
      </c>
      <c r="H1000" t="s">
        <v>4407</v>
      </c>
      <c r="I1000" t="s">
        <v>4408</v>
      </c>
      <c r="J1000" t="s">
        <v>4409</v>
      </c>
      <c r="K1000" t="s">
        <v>4409</v>
      </c>
      <c r="L1000" t="s">
        <v>4409</v>
      </c>
      <c r="N1000" t="s">
        <v>4410</v>
      </c>
      <c r="O1000" t="s">
        <v>117</v>
      </c>
      <c r="S1000" t="s">
        <v>121</v>
      </c>
      <c r="AI1000" t="s">
        <v>792</v>
      </c>
      <c r="AL1000" t="s">
        <v>132</v>
      </c>
      <c r="AM1000" t="s">
        <v>134</v>
      </c>
      <c r="AS1000" t="s">
        <v>135</v>
      </c>
      <c r="BG1000">
        <v>110</v>
      </c>
      <c r="BK1000" t="s">
        <v>132</v>
      </c>
      <c r="BL1000" t="s">
        <v>132</v>
      </c>
      <c r="BM1000" t="s">
        <v>137</v>
      </c>
      <c r="BN1000">
        <v>0</v>
      </c>
    </row>
    <row r="1001" spans="1:76" x14ac:dyDescent="0.2">
      <c r="A1001" t="s">
        <v>111</v>
      </c>
      <c r="B1001" t="b">
        <v>1</v>
      </c>
      <c r="E1001">
        <v>1130</v>
      </c>
      <c r="F1001" t="str">
        <f>HYPERLINK("https://portal.dnb.de/opac.htm?method=simpleSearch&amp;cqlMode=true&amp;query=idn%3D999178695", "Portal")</f>
        <v>Portal</v>
      </c>
      <c r="G1001" t="s">
        <v>112</v>
      </c>
      <c r="H1001" t="s">
        <v>4411</v>
      </c>
      <c r="I1001" t="s">
        <v>4412</v>
      </c>
      <c r="J1001" t="s">
        <v>4413</v>
      </c>
      <c r="K1001" t="s">
        <v>4413</v>
      </c>
      <c r="L1001" t="s">
        <v>4413</v>
      </c>
      <c r="N1001" t="s">
        <v>4414</v>
      </c>
      <c r="O1001" t="s">
        <v>117</v>
      </c>
      <c r="S1001" t="s">
        <v>121</v>
      </c>
      <c r="AI1001" t="s">
        <v>792</v>
      </c>
      <c r="AL1001" t="s">
        <v>132</v>
      </c>
      <c r="AM1001" t="s">
        <v>134</v>
      </c>
      <c r="AS1001" t="s">
        <v>135</v>
      </c>
      <c r="BG1001">
        <v>110</v>
      </c>
      <c r="BK1001" t="s">
        <v>132</v>
      </c>
      <c r="BL1001" t="s">
        <v>132</v>
      </c>
      <c r="BM1001" t="s">
        <v>137</v>
      </c>
      <c r="BN1001">
        <v>0</v>
      </c>
    </row>
    <row r="1002" spans="1:76" x14ac:dyDescent="0.2">
      <c r="A1002" t="s">
        <v>111</v>
      </c>
      <c r="B1002" t="b">
        <v>1</v>
      </c>
      <c r="E1002">
        <v>1131</v>
      </c>
      <c r="F1002" t="str">
        <f>HYPERLINK("https://portal.dnb.de/opac.htm?method=simpleSearch&amp;cqlMode=true&amp;query=idn%3D99405288X", "Portal")</f>
        <v>Portal</v>
      </c>
      <c r="G1002" t="s">
        <v>112</v>
      </c>
      <c r="H1002" t="s">
        <v>4415</v>
      </c>
      <c r="I1002" t="s">
        <v>4416</v>
      </c>
      <c r="J1002" t="s">
        <v>4417</v>
      </c>
      <c r="K1002" t="s">
        <v>4417</v>
      </c>
      <c r="L1002" t="s">
        <v>4417</v>
      </c>
      <c r="N1002" t="s">
        <v>4418</v>
      </c>
      <c r="O1002" t="s">
        <v>117</v>
      </c>
      <c r="S1002" t="s">
        <v>121</v>
      </c>
      <c r="AI1002" t="s">
        <v>792</v>
      </c>
      <c r="AL1002" t="s">
        <v>132</v>
      </c>
      <c r="AM1002" t="s">
        <v>134</v>
      </c>
      <c r="AS1002" t="s">
        <v>135</v>
      </c>
      <c r="BG1002">
        <v>110</v>
      </c>
      <c r="BK1002" t="s">
        <v>132</v>
      </c>
      <c r="BL1002" t="s">
        <v>132</v>
      </c>
      <c r="BM1002" t="s">
        <v>137</v>
      </c>
      <c r="BN1002">
        <v>0</v>
      </c>
    </row>
    <row r="1003" spans="1:76" x14ac:dyDescent="0.2">
      <c r="A1003" t="s">
        <v>111</v>
      </c>
      <c r="B1003" t="b">
        <v>1</v>
      </c>
      <c r="E1003">
        <v>1132</v>
      </c>
      <c r="F1003" t="str">
        <f>HYPERLINK("https://portal.dnb.de/opac.htm?method=simpleSearch&amp;cqlMode=true&amp;query=idn%3D997002131", "Portal")</f>
        <v>Portal</v>
      </c>
      <c r="G1003" t="s">
        <v>112</v>
      </c>
      <c r="H1003" t="s">
        <v>4419</v>
      </c>
      <c r="I1003" t="s">
        <v>4420</v>
      </c>
      <c r="J1003" t="s">
        <v>4421</v>
      </c>
      <c r="K1003" t="s">
        <v>4421</v>
      </c>
      <c r="L1003" t="s">
        <v>4421</v>
      </c>
      <c r="N1003" t="s">
        <v>4422</v>
      </c>
      <c r="O1003" t="s">
        <v>117</v>
      </c>
      <c r="S1003" t="s">
        <v>121</v>
      </c>
      <c r="AI1003" t="s">
        <v>792</v>
      </c>
      <c r="AL1003" t="s">
        <v>132</v>
      </c>
      <c r="AM1003" t="s">
        <v>134</v>
      </c>
      <c r="AS1003" t="s">
        <v>135</v>
      </c>
      <c r="BG1003">
        <v>110</v>
      </c>
      <c r="BK1003" t="s">
        <v>132</v>
      </c>
      <c r="BL1003" t="s">
        <v>132</v>
      </c>
      <c r="BM1003" t="s">
        <v>137</v>
      </c>
      <c r="BN1003">
        <v>0</v>
      </c>
    </row>
    <row r="1004" spans="1:76" x14ac:dyDescent="0.2">
      <c r="A1004" t="s">
        <v>111</v>
      </c>
      <c r="B1004" t="b">
        <v>1</v>
      </c>
      <c r="E1004">
        <v>1133</v>
      </c>
      <c r="F1004" t="str">
        <f>HYPERLINK("https://portal.dnb.de/opac.htm?method=simpleSearch&amp;cqlMode=true&amp;query=idn%3D998887307", "Portal")</f>
        <v>Portal</v>
      </c>
      <c r="G1004" t="s">
        <v>112</v>
      </c>
      <c r="H1004" t="s">
        <v>4423</v>
      </c>
      <c r="I1004" t="s">
        <v>4424</v>
      </c>
      <c r="J1004" t="s">
        <v>4425</v>
      </c>
      <c r="K1004" t="s">
        <v>4425</v>
      </c>
      <c r="L1004" t="s">
        <v>4425</v>
      </c>
      <c r="N1004" t="s">
        <v>4426</v>
      </c>
      <c r="O1004" t="s">
        <v>117</v>
      </c>
      <c r="S1004" t="s">
        <v>121</v>
      </c>
      <c r="AI1004" t="s">
        <v>792</v>
      </c>
      <c r="AM1004" t="s">
        <v>134</v>
      </c>
      <c r="AS1004" t="s">
        <v>135</v>
      </c>
      <c r="BG1004">
        <v>110</v>
      </c>
      <c r="BM1004" t="s">
        <v>137</v>
      </c>
      <c r="BN1004">
        <v>0</v>
      </c>
    </row>
    <row r="1005" spans="1:76" x14ac:dyDescent="0.2">
      <c r="A1005" t="s">
        <v>111</v>
      </c>
      <c r="B1005" t="b">
        <v>1</v>
      </c>
      <c r="E1005">
        <v>1134</v>
      </c>
      <c r="F1005" t="str">
        <f>HYPERLINK("https://portal.dnb.de/opac.htm?method=simpleSearch&amp;cqlMode=true&amp;query=idn%3D981293468", "Portal")</f>
        <v>Portal</v>
      </c>
      <c r="G1005" t="s">
        <v>415</v>
      </c>
      <c r="H1005" t="s">
        <v>4427</v>
      </c>
      <c r="I1005" t="s">
        <v>4428</v>
      </c>
      <c r="J1005" t="s">
        <v>4429</v>
      </c>
      <c r="K1005" t="s">
        <v>4429</v>
      </c>
      <c r="L1005" t="s">
        <v>4429</v>
      </c>
      <c r="N1005" t="s">
        <v>4430</v>
      </c>
      <c r="O1005" t="s">
        <v>117</v>
      </c>
      <c r="S1005" t="s">
        <v>121</v>
      </c>
      <c r="AI1005" t="s">
        <v>1684</v>
      </c>
      <c r="AM1005" t="s">
        <v>196</v>
      </c>
      <c r="AS1005" t="s">
        <v>135</v>
      </c>
      <c r="BG1005" t="s">
        <v>1223</v>
      </c>
      <c r="BM1005" t="s">
        <v>137</v>
      </c>
      <c r="BN1005">
        <v>0</v>
      </c>
      <c r="BS1005" t="s">
        <v>132</v>
      </c>
    </row>
    <row r="1006" spans="1:76" x14ac:dyDescent="0.2">
      <c r="A1006" t="s">
        <v>111</v>
      </c>
      <c r="B1006" t="b">
        <v>1</v>
      </c>
      <c r="E1006">
        <v>1063</v>
      </c>
      <c r="F1006" t="str">
        <f>HYPERLINK("https://portal.dnb.de/opac.htm?method=simpleSearch&amp;cqlMode=true&amp;query=idn%3D1066963304", "Portal")</f>
        <v>Portal</v>
      </c>
      <c r="G1006" t="s">
        <v>125</v>
      </c>
      <c r="H1006" t="s">
        <v>4431</v>
      </c>
      <c r="I1006" t="s">
        <v>4432</v>
      </c>
      <c r="J1006" t="s">
        <v>4433</v>
      </c>
      <c r="K1006" t="s">
        <v>4433</v>
      </c>
      <c r="L1006" t="s">
        <v>4433</v>
      </c>
      <c r="N1006" t="s">
        <v>4434</v>
      </c>
      <c r="O1006" t="s">
        <v>117</v>
      </c>
      <c r="S1006" t="s">
        <v>121</v>
      </c>
      <c r="AI1006" t="s">
        <v>646</v>
      </c>
      <c r="AK1006" t="s">
        <v>132</v>
      </c>
      <c r="AM1006" t="s">
        <v>134</v>
      </c>
      <c r="AS1006" t="s">
        <v>135</v>
      </c>
      <c r="BG1006">
        <v>110</v>
      </c>
      <c r="BM1006" t="s">
        <v>137</v>
      </c>
      <c r="BN1006">
        <v>0</v>
      </c>
    </row>
    <row r="1007" spans="1:76" x14ac:dyDescent="0.2">
      <c r="A1007" t="s">
        <v>111</v>
      </c>
      <c r="B1007" t="b">
        <v>1</v>
      </c>
      <c r="F1007" t="str">
        <f>HYPERLINK("https://portal.dnb.de/opac.htm?method=simpleSearch&amp;cqlMode=true&amp;query=idn%3D1137891580", "Portal")</f>
        <v>Portal</v>
      </c>
      <c r="G1007" t="s">
        <v>319</v>
      </c>
      <c r="H1007" t="s">
        <v>4435</v>
      </c>
      <c r="I1007" t="s">
        <v>4436</v>
      </c>
      <c r="J1007" t="s">
        <v>4437</v>
      </c>
      <c r="K1007" t="s">
        <v>4437</v>
      </c>
      <c r="L1007" t="s">
        <v>4437</v>
      </c>
      <c r="N1007" t="s">
        <v>4438</v>
      </c>
      <c r="O1007" t="s">
        <v>117</v>
      </c>
      <c r="S1007" t="s">
        <v>121</v>
      </c>
      <c r="AI1007" t="s">
        <v>133</v>
      </c>
      <c r="AK1007" t="s">
        <v>132</v>
      </c>
      <c r="AM1007" t="s">
        <v>134</v>
      </c>
      <c r="AS1007" t="s">
        <v>135</v>
      </c>
      <c r="BG1007">
        <v>110</v>
      </c>
      <c r="BM1007" t="s">
        <v>137</v>
      </c>
      <c r="BN1007">
        <v>0</v>
      </c>
    </row>
    <row r="1008" spans="1:76" x14ac:dyDescent="0.2">
      <c r="A1008" t="s">
        <v>111</v>
      </c>
      <c r="B1008" t="b">
        <v>1</v>
      </c>
      <c r="E1008">
        <v>1065</v>
      </c>
      <c r="F1008" t="str">
        <f>HYPERLINK("https://portal.dnb.de/opac.htm?method=simpleSearch&amp;cqlMode=true&amp;query=idn%3D1066958394", "Portal")</f>
        <v>Portal</v>
      </c>
      <c r="G1008" t="s">
        <v>125</v>
      </c>
      <c r="H1008" t="s">
        <v>4439</v>
      </c>
      <c r="I1008" t="s">
        <v>4440</v>
      </c>
      <c r="J1008" t="s">
        <v>4441</v>
      </c>
      <c r="K1008" t="s">
        <v>4441</v>
      </c>
      <c r="L1008" t="s">
        <v>4441</v>
      </c>
      <c r="N1008" t="s">
        <v>4442</v>
      </c>
      <c r="O1008" t="s">
        <v>117</v>
      </c>
      <c r="S1008" t="s">
        <v>121</v>
      </c>
      <c r="AI1008" t="s">
        <v>1684</v>
      </c>
      <c r="AM1008" t="s">
        <v>196</v>
      </c>
      <c r="AS1008" t="s">
        <v>135</v>
      </c>
      <c r="BG1008">
        <v>110</v>
      </c>
      <c r="BM1008" t="s">
        <v>137</v>
      </c>
      <c r="BN1008">
        <v>0</v>
      </c>
    </row>
    <row r="1009" spans="1:110" x14ac:dyDescent="0.2">
      <c r="A1009" t="s">
        <v>111</v>
      </c>
      <c r="B1009" t="b">
        <v>1</v>
      </c>
      <c r="E1009">
        <v>1066</v>
      </c>
      <c r="F1009" t="str">
        <f>HYPERLINK("https://portal.dnb.de/opac.htm?method=simpleSearch&amp;cqlMode=true&amp;query=idn%3D999166921", "Portal")</f>
        <v>Portal</v>
      </c>
      <c r="G1009" t="s">
        <v>112</v>
      </c>
      <c r="H1009" t="s">
        <v>4443</v>
      </c>
      <c r="I1009" t="s">
        <v>4444</v>
      </c>
      <c r="J1009" t="s">
        <v>4445</v>
      </c>
      <c r="K1009" t="s">
        <v>4445</v>
      </c>
      <c r="L1009" t="s">
        <v>4445</v>
      </c>
      <c r="N1009" t="s">
        <v>4446</v>
      </c>
      <c r="O1009" t="s">
        <v>117</v>
      </c>
      <c r="Q1009" t="s">
        <v>4447</v>
      </c>
      <c r="S1009" t="s">
        <v>121</v>
      </c>
      <c r="AI1009" t="s">
        <v>792</v>
      </c>
      <c r="AM1009" t="s">
        <v>134</v>
      </c>
      <c r="AS1009" t="s">
        <v>135</v>
      </c>
      <c r="BG1009">
        <v>110</v>
      </c>
      <c r="BM1009" t="s">
        <v>137</v>
      </c>
      <c r="BN1009">
        <v>0</v>
      </c>
    </row>
    <row r="1010" spans="1:110" x14ac:dyDescent="0.2">
      <c r="A1010" t="s">
        <v>111</v>
      </c>
      <c r="B1010" t="b">
        <v>1</v>
      </c>
      <c r="F1010" t="str">
        <f>HYPERLINK("https://portal.dnb.de/opac.htm?method=simpleSearch&amp;cqlMode=true&amp;query=idn%3D1268681660", "Portal")</f>
        <v>Portal</v>
      </c>
      <c r="G1010" t="s">
        <v>319</v>
      </c>
      <c r="H1010" t="s">
        <v>4448</v>
      </c>
      <c r="I1010" t="s">
        <v>4449</v>
      </c>
      <c r="J1010" t="s">
        <v>4450</v>
      </c>
      <c r="K1010" t="s">
        <v>4450</v>
      </c>
      <c r="L1010" t="s">
        <v>4450</v>
      </c>
      <c r="N1010" t="s">
        <v>4451</v>
      </c>
      <c r="O1010" t="s">
        <v>117</v>
      </c>
      <c r="S1010" t="s">
        <v>121</v>
      </c>
      <c r="AI1010" t="s">
        <v>149</v>
      </c>
      <c r="AL1010" t="s">
        <v>132</v>
      </c>
      <c r="AM1010" t="s">
        <v>196</v>
      </c>
      <c r="AS1010" t="s">
        <v>135</v>
      </c>
      <c r="AX1010" t="s">
        <v>132</v>
      </c>
      <c r="BE1010">
        <v>0</v>
      </c>
      <c r="BF1010" t="s">
        <v>132</v>
      </c>
      <c r="BG1010">
        <v>110</v>
      </c>
      <c r="BK1010" t="s">
        <v>132</v>
      </c>
      <c r="BM1010" t="s">
        <v>137</v>
      </c>
      <c r="BN1010">
        <v>0</v>
      </c>
      <c r="BP1010" t="s">
        <v>181</v>
      </c>
      <c r="BV1010" t="s">
        <v>4452</v>
      </c>
      <c r="BW1010" t="s">
        <v>152</v>
      </c>
      <c r="BX1010" t="s">
        <v>4453</v>
      </c>
    </row>
    <row r="1011" spans="1:110" x14ac:dyDescent="0.2">
      <c r="A1011" t="s">
        <v>111</v>
      </c>
      <c r="B1011" t="b">
        <v>1</v>
      </c>
      <c r="E1011">
        <v>1069</v>
      </c>
      <c r="F1011" t="str">
        <f>HYPERLINK("https://portal.dnb.de/opac.htm?method=simpleSearch&amp;cqlMode=true&amp;query=idn%3D1002924871", "Portal")</f>
        <v>Portal</v>
      </c>
      <c r="G1011" t="s">
        <v>112</v>
      </c>
      <c r="H1011" t="s">
        <v>4454</v>
      </c>
      <c r="I1011" t="s">
        <v>4455</v>
      </c>
      <c r="J1011" t="s">
        <v>4456</v>
      </c>
      <c r="K1011" t="s">
        <v>4456</v>
      </c>
      <c r="L1011" t="s">
        <v>4456</v>
      </c>
      <c r="N1011" t="s">
        <v>4457</v>
      </c>
      <c r="O1011" t="s">
        <v>117</v>
      </c>
      <c r="S1011" t="s">
        <v>121</v>
      </c>
      <c r="AI1011" t="s">
        <v>135</v>
      </c>
      <c r="AM1011" t="s">
        <v>196</v>
      </c>
      <c r="AS1011" t="s">
        <v>135</v>
      </c>
      <c r="BG1011">
        <v>110</v>
      </c>
      <c r="BK1011" t="s">
        <v>132</v>
      </c>
      <c r="BL1011" t="s">
        <v>132</v>
      </c>
      <c r="BM1011" t="s">
        <v>137</v>
      </c>
      <c r="BN1011">
        <v>0</v>
      </c>
    </row>
    <row r="1012" spans="1:110" x14ac:dyDescent="0.2">
      <c r="A1012" t="s">
        <v>111</v>
      </c>
      <c r="B1012" t="b">
        <v>1</v>
      </c>
      <c r="E1012">
        <v>1070</v>
      </c>
      <c r="F1012" t="str">
        <f>HYPERLINK("https://portal.dnb.de/opac.htm?method=simpleSearch&amp;cqlMode=true&amp;query=idn%3D998858927", "Portal")</f>
        <v>Portal</v>
      </c>
      <c r="G1012" t="s">
        <v>112</v>
      </c>
      <c r="H1012" t="s">
        <v>4458</v>
      </c>
      <c r="I1012" t="s">
        <v>4459</v>
      </c>
      <c r="J1012" t="s">
        <v>4460</v>
      </c>
      <c r="K1012" t="s">
        <v>4460</v>
      </c>
      <c r="L1012" t="s">
        <v>4460</v>
      </c>
      <c r="M1012" t="s">
        <v>4201</v>
      </c>
      <c r="N1012" t="s">
        <v>4461</v>
      </c>
      <c r="O1012" t="s">
        <v>117</v>
      </c>
      <c r="S1012" t="s">
        <v>146</v>
      </c>
      <c r="AI1012" t="s">
        <v>149</v>
      </c>
      <c r="AL1012" t="s">
        <v>132</v>
      </c>
      <c r="AM1012" t="s">
        <v>196</v>
      </c>
      <c r="AS1012" t="s">
        <v>135</v>
      </c>
      <c r="BG1012">
        <v>110</v>
      </c>
      <c r="BM1012" t="s">
        <v>137</v>
      </c>
      <c r="BN1012">
        <v>0</v>
      </c>
      <c r="BR1012" t="s">
        <v>132</v>
      </c>
    </row>
    <row r="1013" spans="1:110" x14ac:dyDescent="0.2">
      <c r="A1013" t="s">
        <v>111</v>
      </c>
      <c r="B1013" t="b">
        <v>1</v>
      </c>
      <c r="E1013">
        <v>1071</v>
      </c>
      <c r="F1013" t="str">
        <f>HYPERLINK("https://portal.dnb.de/opac.htm?method=simpleSearch&amp;cqlMode=true&amp;query=idn%3D1144311292", "Portal")</f>
        <v>Portal</v>
      </c>
      <c r="G1013" t="s">
        <v>415</v>
      </c>
      <c r="H1013" t="s">
        <v>4462</v>
      </c>
      <c r="I1013" t="s">
        <v>4463</v>
      </c>
      <c r="J1013" t="s">
        <v>4464</v>
      </c>
      <c r="K1013" t="s">
        <v>4464</v>
      </c>
      <c r="L1013" t="s">
        <v>4464</v>
      </c>
      <c r="N1013" t="s">
        <v>4465</v>
      </c>
      <c r="O1013" t="s">
        <v>117</v>
      </c>
      <c r="Q1013" t="s">
        <v>4466</v>
      </c>
      <c r="S1013" t="s">
        <v>121</v>
      </c>
      <c r="AI1013" t="s">
        <v>135</v>
      </c>
      <c r="AM1013" t="s">
        <v>150</v>
      </c>
      <c r="AS1013" t="s">
        <v>135</v>
      </c>
      <c r="BG1013">
        <v>110</v>
      </c>
      <c r="BM1013" t="s">
        <v>137</v>
      </c>
      <c r="BN1013">
        <v>0</v>
      </c>
      <c r="BS1013" t="s">
        <v>132</v>
      </c>
    </row>
    <row r="1014" spans="1:110" x14ac:dyDescent="0.2">
      <c r="A1014" t="s">
        <v>111</v>
      </c>
      <c r="B1014" t="b">
        <v>1</v>
      </c>
      <c r="E1014">
        <v>1159</v>
      </c>
      <c r="F1014" t="str">
        <f>HYPERLINK("https://portal.dnb.de/opac.htm?method=simpleSearch&amp;cqlMode=true&amp;query=idn%3D1066874646", "Portal")</f>
        <v>Portal</v>
      </c>
      <c r="G1014" t="s">
        <v>125</v>
      </c>
      <c r="H1014" t="s">
        <v>4467</v>
      </c>
      <c r="I1014" t="s">
        <v>4468</v>
      </c>
      <c r="J1014" t="s">
        <v>4469</v>
      </c>
      <c r="K1014" t="s">
        <v>4469</v>
      </c>
      <c r="L1014" t="s">
        <v>4469</v>
      </c>
      <c r="N1014" t="s">
        <v>4470</v>
      </c>
      <c r="O1014" t="s">
        <v>117</v>
      </c>
      <c r="S1014" t="s">
        <v>121</v>
      </c>
      <c r="AI1014" t="s">
        <v>792</v>
      </c>
      <c r="AM1014" t="s">
        <v>134</v>
      </c>
      <c r="AS1014" t="s">
        <v>135</v>
      </c>
      <c r="BG1014">
        <v>110</v>
      </c>
      <c r="BM1014" t="s">
        <v>137</v>
      </c>
      <c r="BN1014">
        <v>0</v>
      </c>
    </row>
    <row r="1015" spans="1:110" x14ac:dyDescent="0.2">
      <c r="A1015" t="s">
        <v>111</v>
      </c>
      <c r="B1015" t="b">
        <v>1</v>
      </c>
      <c r="C1015" t="s">
        <v>132</v>
      </c>
      <c r="E1015">
        <v>1160</v>
      </c>
      <c r="F1015" t="str">
        <f>HYPERLINK("https://portal.dnb.de/opac.htm?method=simpleSearch&amp;cqlMode=true&amp;query=idn%3D1066874336", "Portal")</f>
        <v>Portal</v>
      </c>
      <c r="G1015" t="s">
        <v>125</v>
      </c>
      <c r="H1015" t="s">
        <v>4471</v>
      </c>
      <c r="I1015" t="s">
        <v>4472</v>
      </c>
      <c r="J1015" t="s">
        <v>4473</v>
      </c>
      <c r="K1015" t="s">
        <v>4473</v>
      </c>
      <c r="L1015" t="s">
        <v>4473</v>
      </c>
      <c r="N1015" t="s">
        <v>4474</v>
      </c>
      <c r="O1015" t="s">
        <v>117</v>
      </c>
      <c r="S1015" t="s">
        <v>121</v>
      </c>
      <c r="AI1015" t="s">
        <v>646</v>
      </c>
      <c r="AK1015" t="s">
        <v>132</v>
      </c>
      <c r="AM1015" t="s">
        <v>150</v>
      </c>
      <c r="AS1015" t="s">
        <v>135</v>
      </c>
      <c r="BG1015">
        <v>110</v>
      </c>
      <c r="BM1015" t="s">
        <v>180</v>
      </c>
      <c r="BN1015">
        <v>0.5</v>
      </c>
      <c r="BY1015" t="s">
        <v>4475</v>
      </c>
      <c r="CT1015" t="s">
        <v>132</v>
      </c>
      <c r="DF1015">
        <v>0.5</v>
      </c>
    </row>
    <row r="1016" spans="1:110" x14ac:dyDescent="0.2">
      <c r="A1016" t="s">
        <v>111</v>
      </c>
      <c r="B1016" t="b">
        <v>1</v>
      </c>
      <c r="E1016">
        <v>1161</v>
      </c>
      <c r="F1016" t="str">
        <f>HYPERLINK("https://portal.dnb.de/opac.htm?method=simpleSearch&amp;cqlMode=true&amp;query=idn%3D1066869731", "Portal")</f>
        <v>Portal</v>
      </c>
      <c r="G1016" t="s">
        <v>125</v>
      </c>
      <c r="H1016" t="s">
        <v>4476</v>
      </c>
      <c r="I1016" t="s">
        <v>4477</v>
      </c>
      <c r="J1016" t="s">
        <v>4478</v>
      </c>
      <c r="K1016" t="s">
        <v>4478</v>
      </c>
      <c r="L1016" t="s">
        <v>4478</v>
      </c>
      <c r="N1016" t="s">
        <v>4479</v>
      </c>
      <c r="O1016" t="s">
        <v>117</v>
      </c>
      <c r="S1016" t="s">
        <v>121</v>
      </c>
      <c r="AI1016" t="s">
        <v>365</v>
      </c>
      <c r="AK1016" t="s">
        <v>132</v>
      </c>
      <c r="AM1016" t="s">
        <v>134</v>
      </c>
      <c r="AO1016" t="s">
        <v>132</v>
      </c>
      <c r="AS1016" t="s">
        <v>135</v>
      </c>
      <c r="AT1016" t="s">
        <v>132</v>
      </c>
      <c r="BG1016">
        <v>110</v>
      </c>
      <c r="BM1016" t="s">
        <v>137</v>
      </c>
      <c r="BN1016">
        <v>0</v>
      </c>
      <c r="BY1016" t="s">
        <v>198</v>
      </c>
    </row>
    <row r="1017" spans="1:110" x14ac:dyDescent="0.2">
      <c r="A1017" t="s">
        <v>111</v>
      </c>
      <c r="B1017" t="b">
        <v>1</v>
      </c>
      <c r="C1017" t="s">
        <v>132</v>
      </c>
      <c r="E1017">
        <v>1162</v>
      </c>
      <c r="F1017" t="str">
        <f>HYPERLINK("https://portal.dnb.de/opac.htm?method=simpleSearch&amp;cqlMode=true&amp;query=idn%3D1074848381", "Portal")</f>
        <v>Portal</v>
      </c>
      <c r="G1017" t="s">
        <v>125</v>
      </c>
      <c r="H1017" t="s">
        <v>4480</v>
      </c>
      <c r="I1017" t="s">
        <v>4481</v>
      </c>
      <c r="J1017" t="s">
        <v>4482</v>
      </c>
      <c r="K1017" t="s">
        <v>4482</v>
      </c>
      <c r="L1017" t="s">
        <v>4482</v>
      </c>
      <c r="N1017" t="s">
        <v>4483</v>
      </c>
      <c r="O1017" t="s">
        <v>117</v>
      </c>
      <c r="Q1017" t="s">
        <v>1495</v>
      </c>
      <c r="S1017" t="s">
        <v>121</v>
      </c>
      <c r="AI1017" t="s">
        <v>646</v>
      </c>
      <c r="AK1017" t="s">
        <v>132</v>
      </c>
      <c r="AM1017" t="s">
        <v>134</v>
      </c>
      <c r="AS1017" t="s">
        <v>135</v>
      </c>
      <c r="BG1017">
        <v>110</v>
      </c>
      <c r="BM1017" t="s">
        <v>180</v>
      </c>
      <c r="BN1017">
        <v>3.5</v>
      </c>
      <c r="BR1017" t="s">
        <v>132</v>
      </c>
      <c r="CA1017" t="s">
        <v>132</v>
      </c>
      <c r="CB1017" t="s">
        <v>132</v>
      </c>
      <c r="CD1017" t="s">
        <v>204</v>
      </c>
      <c r="CE1017">
        <v>1</v>
      </c>
      <c r="CM1017">
        <v>2.5</v>
      </c>
      <c r="CN1017" t="s">
        <v>4484</v>
      </c>
      <c r="CT1017" t="s">
        <v>132</v>
      </c>
      <c r="DF1017">
        <v>1</v>
      </c>
    </row>
    <row r="1018" spans="1:110" x14ac:dyDescent="0.2">
      <c r="A1018" t="s">
        <v>111</v>
      </c>
      <c r="B1018" t="b">
        <v>1</v>
      </c>
      <c r="E1018">
        <v>1163</v>
      </c>
      <c r="F1018" t="str">
        <f>HYPERLINK("https://portal.dnb.de/opac.htm?method=simpleSearch&amp;cqlMode=true&amp;query=idn%3D1066957142", "Portal")</f>
        <v>Portal</v>
      </c>
      <c r="G1018" t="s">
        <v>125</v>
      </c>
      <c r="H1018" t="s">
        <v>4485</v>
      </c>
      <c r="I1018" t="s">
        <v>4486</v>
      </c>
      <c r="J1018" t="s">
        <v>4487</v>
      </c>
      <c r="K1018" t="s">
        <v>4487</v>
      </c>
      <c r="L1018" t="s">
        <v>4487</v>
      </c>
      <c r="N1018" t="s">
        <v>4488</v>
      </c>
      <c r="O1018" t="s">
        <v>117</v>
      </c>
      <c r="S1018" t="s">
        <v>121</v>
      </c>
      <c r="AI1018" t="s">
        <v>646</v>
      </c>
      <c r="AM1018" t="s">
        <v>150</v>
      </c>
      <c r="AS1018" t="s">
        <v>135</v>
      </c>
      <c r="BG1018">
        <v>110</v>
      </c>
      <c r="BM1018" t="s">
        <v>137</v>
      </c>
      <c r="BN1018">
        <v>0</v>
      </c>
      <c r="BT1018" t="s">
        <v>562</v>
      </c>
      <c r="BU1018" t="s">
        <v>132</v>
      </c>
    </row>
    <row r="1019" spans="1:110" x14ac:dyDescent="0.2">
      <c r="A1019" t="s">
        <v>111</v>
      </c>
      <c r="B1019" t="b">
        <v>1</v>
      </c>
      <c r="C1019" t="s">
        <v>132</v>
      </c>
      <c r="F1019" t="str">
        <f>HYPERLINK("https://portal.dnb.de/opac.htm?method=simpleSearch&amp;cqlMode=true&amp;query=idn%3D1137966130", "Portal")</f>
        <v>Portal</v>
      </c>
      <c r="G1019" t="s">
        <v>319</v>
      </c>
      <c r="H1019" t="s">
        <v>4489</v>
      </c>
      <c r="I1019" t="s">
        <v>4490</v>
      </c>
      <c r="J1019" t="s">
        <v>4491</v>
      </c>
      <c r="K1019" t="s">
        <v>4491</v>
      </c>
      <c r="L1019" t="s">
        <v>4491</v>
      </c>
      <c r="N1019" t="s">
        <v>338</v>
      </c>
      <c r="O1019" t="s">
        <v>117</v>
      </c>
      <c r="Q1019" t="s">
        <v>4492</v>
      </c>
      <c r="S1019" t="s">
        <v>146</v>
      </c>
      <c r="AI1019" t="s">
        <v>133</v>
      </c>
      <c r="AK1019" t="s">
        <v>132</v>
      </c>
      <c r="AL1019" t="s">
        <v>132</v>
      </c>
      <c r="AM1019" t="s">
        <v>196</v>
      </c>
      <c r="AS1019" t="s">
        <v>135</v>
      </c>
      <c r="BG1019">
        <v>45</v>
      </c>
      <c r="BH1019" t="s">
        <v>4493</v>
      </c>
      <c r="BM1019" t="s">
        <v>180</v>
      </c>
      <c r="BN1019">
        <v>10</v>
      </c>
      <c r="BR1019" t="s">
        <v>132</v>
      </c>
      <c r="BV1019" t="s">
        <v>4494</v>
      </c>
      <c r="BY1019" t="s">
        <v>4495</v>
      </c>
      <c r="CA1019" t="s">
        <v>132</v>
      </c>
      <c r="CC1019" t="s">
        <v>132</v>
      </c>
      <c r="CM1019">
        <v>10</v>
      </c>
      <c r="CN1019" t="s">
        <v>4496</v>
      </c>
    </row>
    <row r="1020" spans="1:110" x14ac:dyDescent="0.2">
      <c r="A1020" t="s">
        <v>111</v>
      </c>
      <c r="B1020" t="b">
        <v>1</v>
      </c>
      <c r="E1020">
        <v>1165</v>
      </c>
      <c r="F1020" t="str">
        <f>HYPERLINK("https://portal.dnb.de/opac.htm?method=simpleSearch&amp;cqlMode=true&amp;query=idn%3D1066873208", "Portal")</f>
        <v>Portal</v>
      </c>
      <c r="G1020" t="s">
        <v>125</v>
      </c>
      <c r="H1020" t="s">
        <v>4497</v>
      </c>
      <c r="I1020" t="s">
        <v>4498</v>
      </c>
      <c r="J1020" t="s">
        <v>4499</v>
      </c>
      <c r="K1020" t="s">
        <v>4499</v>
      </c>
      <c r="L1020" t="s">
        <v>4499</v>
      </c>
      <c r="N1020" t="s">
        <v>4500</v>
      </c>
      <c r="O1020" t="s">
        <v>117</v>
      </c>
      <c r="S1020" t="s">
        <v>146</v>
      </c>
      <c r="AI1020" t="s">
        <v>646</v>
      </c>
      <c r="AK1020" t="s">
        <v>132</v>
      </c>
      <c r="AM1020" t="s">
        <v>150</v>
      </c>
      <c r="AQ1020" t="s">
        <v>132</v>
      </c>
      <c r="AS1020" t="s">
        <v>135</v>
      </c>
      <c r="BG1020">
        <v>110</v>
      </c>
      <c r="BM1020" t="s">
        <v>137</v>
      </c>
      <c r="BN1020">
        <v>0</v>
      </c>
      <c r="BR1020" t="s">
        <v>132</v>
      </c>
    </row>
    <row r="1021" spans="1:110" x14ac:dyDescent="0.2">
      <c r="A1021" t="s">
        <v>111</v>
      </c>
      <c r="B1021" t="b">
        <v>1</v>
      </c>
      <c r="E1021">
        <v>1167</v>
      </c>
      <c r="F1021" t="str">
        <f>HYPERLINK("https://portal.dnb.de/opac.htm?method=simpleSearch&amp;cqlMode=true&amp;query=idn%3D1066960178", "Portal")</f>
        <v>Portal</v>
      </c>
      <c r="G1021" t="s">
        <v>125</v>
      </c>
      <c r="H1021" t="s">
        <v>4501</v>
      </c>
      <c r="I1021" t="s">
        <v>4502</v>
      </c>
      <c r="J1021" t="s">
        <v>4503</v>
      </c>
      <c r="K1021" t="s">
        <v>4504</v>
      </c>
      <c r="L1021" t="s">
        <v>4504</v>
      </c>
      <c r="M1021" t="s">
        <v>1190</v>
      </c>
      <c r="N1021" t="s">
        <v>4505</v>
      </c>
      <c r="O1021" t="s">
        <v>117</v>
      </c>
      <c r="P1021" t="s">
        <v>118</v>
      </c>
      <c r="R1021" t="s">
        <v>223</v>
      </c>
      <c r="S1021" t="s">
        <v>470</v>
      </c>
      <c r="T1021" t="s">
        <v>130</v>
      </c>
      <c r="U1021" t="s">
        <v>123</v>
      </c>
      <c r="X1021" t="s">
        <v>168</v>
      </c>
      <c r="Y1021">
        <v>0</v>
      </c>
      <c r="AA1021" t="s">
        <v>4506</v>
      </c>
      <c r="AI1021" t="s">
        <v>149</v>
      </c>
      <c r="AL1021" t="s">
        <v>132</v>
      </c>
      <c r="AM1021" t="s">
        <v>196</v>
      </c>
      <c r="AS1021" t="s">
        <v>135</v>
      </c>
      <c r="BC1021" t="s">
        <v>1768</v>
      </c>
      <c r="BD1021" t="s">
        <v>132</v>
      </c>
      <c r="BG1021">
        <v>110</v>
      </c>
      <c r="BM1021" t="s">
        <v>137</v>
      </c>
      <c r="BN1021">
        <v>0</v>
      </c>
    </row>
    <row r="1022" spans="1:110" x14ac:dyDescent="0.2">
      <c r="A1022" t="s">
        <v>111</v>
      </c>
      <c r="B1022" t="b">
        <v>1</v>
      </c>
      <c r="E1022">
        <v>1168</v>
      </c>
      <c r="F1022" t="str">
        <f>HYPERLINK("https://portal.dnb.de/opac.htm?method=simpleSearch&amp;cqlMode=true&amp;query=idn%3D1066963290", "Portal")</f>
        <v>Portal</v>
      </c>
      <c r="G1022" t="s">
        <v>125</v>
      </c>
      <c r="H1022" t="s">
        <v>4507</v>
      </c>
      <c r="I1022" t="s">
        <v>4508</v>
      </c>
      <c r="J1022" t="s">
        <v>4509</v>
      </c>
      <c r="K1022" t="s">
        <v>4509</v>
      </c>
      <c r="L1022" t="s">
        <v>4509</v>
      </c>
      <c r="N1022" t="s">
        <v>4510</v>
      </c>
      <c r="O1022" t="s">
        <v>117</v>
      </c>
      <c r="S1022" t="s">
        <v>121</v>
      </c>
      <c r="AI1022" t="s">
        <v>646</v>
      </c>
      <c r="AL1022" t="s">
        <v>132</v>
      </c>
      <c r="AM1022" t="s">
        <v>134</v>
      </c>
      <c r="AS1022" t="s">
        <v>135</v>
      </c>
      <c r="BG1022">
        <v>110</v>
      </c>
      <c r="BM1022" t="s">
        <v>137</v>
      </c>
      <c r="BN1022">
        <v>0</v>
      </c>
      <c r="BP1022" t="s">
        <v>181</v>
      </c>
    </row>
    <row r="1023" spans="1:110" x14ac:dyDescent="0.2">
      <c r="A1023" t="s">
        <v>111</v>
      </c>
      <c r="B1023" t="b">
        <v>1</v>
      </c>
      <c r="E1023">
        <v>1169</v>
      </c>
      <c r="F1023" t="str">
        <f>HYPERLINK("https://portal.dnb.de/opac.htm?method=simpleSearch&amp;cqlMode=true&amp;query=idn%3D1066963274", "Portal")</f>
        <v>Portal</v>
      </c>
      <c r="G1023" t="s">
        <v>125</v>
      </c>
      <c r="H1023" t="s">
        <v>4511</v>
      </c>
      <c r="I1023" t="s">
        <v>4512</v>
      </c>
      <c r="J1023" t="s">
        <v>4513</v>
      </c>
      <c r="K1023" t="s">
        <v>4513</v>
      </c>
      <c r="L1023" t="s">
        <v>4513</v>
      </c>
      <c r="N1023" t="s">
        <v>4514</v>
      </c>
      <c r="O1023" t="s">
        <v>117</v>
      </c>
      <c r="S1023" t="s">
        <v>121</v>
      </c>
      <c r="AI1023" t="s">
        <v>325</v>
      </c>
      <c r="AK1023" t="s">
        <v>132</v>
      </c>
      <c r="AM1023" t="s">
        <v>134</v>
      </c>
      <c r="AS1023" t="s">
        <v>135</v>
      </c>
      <c r="AT1023" t="s">
        <v>132</v>
      </c>
      <c r="BG1023">
        <v>110</v>
      </c>
      <c r="BM1023" t="s">
        <v>137</v>
      </c>
      <c r="BN1023">
        <v>0</v>
      </c>
    </row>
    <row r="1024" spans="1:110" x14ac:dyDescent="0.2">
      <c r="A1024" t="s">
        <v>111</v>
      </c>
      <c r="B1024" t="b">
        <v>1</v>
      </c>
      <c r="E1024">
        <v>1173</v>
      </c>
      <c r="F1024" t="str">
        <f>HYPERLINK("https://portal.dnb.de/opac.htm?method=simpleSearch&amp;cqlMode=true&amp;query=idn%3D1003783562", "Portal")</f>
        <v>Portal</v>
      </c>
      <c r="G1024" t="s">
        <v>112</v>
      </c>
      <c r="H1024" t="s">
        <v>4515</v>
      </c>
      <c r="I1024" t="s">
        <v>4516</v>
      </c>
      <c r="J1024" t="s">
        <v>4517</v>
      </c>
      <c r="K1024" t="s">
        <v>4517</v>
      </c>
      <c r="L1024" t="s">
        <v>4517</v>
      </c>
      <c r="N1024" t="s">
        <v>4518</v>
      </c>
      <c r="O1024" t="s">
        <v>117</v>
      </c>
      <c r="S1024" t="s">
        <v>121</v>
      </c>
      <c r="AI1024" t="s">
        <v>135</v>
      </c>
      <c r="AM1024" t="s">
        <v>134</v>
      </c>
      <c r="AS1024" t="s">
        <v>135</v>
      </c>
      <c r="BG1024">
        <v>110</v>
      </c>
      <c r="BK1024" t="s">
        <v>132</v>
      </c>
      <c r="BL1024" t="s">
        <v>132</v>
      </c>
      <c r="BM1024" t="s">
        <v>137</v>
      </c>
      <c r="BN1024">
        <v>0</v>
      </c>
    </row>
    <row r="1025" spans="1:91" x14ac:dyDescent="0.2">
      <c r="A1025" t="s">
        <v>111</v>
      </c>
      <c r="B1025" t="b">
        <v>1</v>
      </c>
      <c r="E1025">
        <v>1174</v>
      </c>
      <c r="F1025" t="str">
        <f>HYPERLINK("https://portal.dnb.de/opac.htm?method=simpleSearch&amp;cqlMode=true&amp;query=idn%3D996935924", "Portal")</f>
        <v>Portal</v>
      </c>
      <c r="G1025" t="s">
        <v>112</v>
      </c>
      <c r="H1025" t="s">
        <v>4519</v>
      </c>
      <c r="I1025" t="s">
        <v>4520</v>
      </c>
      <c r="J1025" t="s">
        <v>4521</v>
      </c>
      <c r="K1025" t="s">
        <v>4521</v>
      </c>
      <c r="L1025" t="s">
        <v>4521</v>
      </c>
      <c r="N1025" t="s">
        <v>4522</v>
      </c>
      <c r="O1025" t="s">
        <v>117</v>
      </c>
      <c r="S1025" t="s">
        <v>121</v>
      </c>
      <c r="AI1025" t="s">
        <v>133</v>
      </c>
      <c r="AL1025" t="s">
        <v>132</v>
      </c>
      <c r="AM1025" t="s">
        <v>196</v>
      </c>
      <c r="AS1025" t="s">
        <v>135</v>
      </c>
      <c r="BG1025">
        <v>110</v>
      </c>
      <c r="BK1025" t="s">
        <v>132</v>
      </c>
      <c r="BM1025" t="s">
        <v>137</v>
      </c>
      <c r="BN1025">
        <v>0</v>
      </c>
      <c r="BP1025" t="s">
        <v>181</v>
      </c>
    </row>
    <row r="1026" spans="1:91" x14ac:dyDescent="0.2">
      <c r="A1026" t="s">
        <v>111</v>
      </c>
      <c r="B1026" t="b">
        <v>1</v>
      </c>
      <c r="F1026" t="str">
        <f>HYPERLINK("https://portal.dnb.de/opac.htm?method=simpleSearch&amp;cqlMode=true&amp;query=idn%3D126787435X", "Portal")</f>
        <v>Portal</v>
      </c>
      <c r="G1026" t="s">
        <v>319</v>
      </c>
      <c r="H1026" t="s">
        <v>4523</v>
      </c>
      <c r="I1026" t="s">
        <v>4524</v>
      </c>
      <c r="J1026" t="s">
        <v>4525</v>
      </c>
      <c r="K1026" t="s">
        <v>4525</v>
      </c>
      <c r="L1026" t="s">
        <v>4525</v>
      </c>
      <c r="N1026" t="s">
        <v>338</v>
      </c>
      <c r="O1026" t="s">
        <v>117</v>
      </c>
      <c r="S1026" t="s">
        <v>121</v>
      </c>
      <c r="AI1026" t="s">
        <v>149</v>
      </c>
      <c r="AL1026" t="s">
        <v>132</v>
      </c>
      <c r="AM1026" t="s">
        <v>196</v>
      </c>
      <c r="AS1026" t="s">
        <v>135</v>
      </c>
      <c r="BE1026">
        <v>0</v>
      </c>
      <c r="BF1026" t="s">
        <v>132</v>
      </c>
      <c r="BG1026">
        <v>110</v>
      </c>
      <c r="BK1026" t="s">
        <v>132</v>
      </c>
      <c r="BM1026" t="s">
        <v>137</v>
      </c>
      <c r="BN1026">
        <v>0</v>
      </c>
      <c r="BP1026" t="s">
        <v>181</v>
      </c>
    </row>
    <row r="1027" spans="1:91" x14ac:dyDescent="0.2">
      <c r="A1027" t="s">
        <v>111</v>
      </c>
      <c r="B1027" t="b">
        <v>1</v>
      </c>
      <c r="E1027">
        <v>1170</v>
      </c>
      <c r="F1027" t="str">
        <f>HYPERLINK("https://portal.dnb.de/opac.htm?method=simpleSearch&amp;cqlMode=true&amp;query=idn%3D1066858403", "Portal")</f>
        <v>Portal</v>
      </c>
      <c r="G1027" t="s">
        <v>125</v>
      </c>
      <c r="H1027" t="s">
        <v>4526</v>
      </c>
      <c r="I1027" t="s">
        <v>4527</v>
      </c>
      <c r="J1027" t="s">
        <v>4528</v>
      </c>
      <c r="K1027" t="s">
        <v>4528</v>
      </c>
      <c r="L1027" t="s">
        <v>4528</v>
      </c>
      <c r="N1027" t="s">
        <v>4529</v>
      </c>
      <c r="O1027" t="s">
        <v>117</v>
      </c>
      <c r="S1027" t="s">
        <v>121</v>
      </c>
      <c r="AI1027" t="s">
        <v>325</v>
      </c>
      <c r="AK1027" t="s">
        <v>132</v>
      </c>
      <c r="AM1027" t="s">
        <v>134</v>
      </c>
      <c r="AS1027" t="s">
        <v>135</v>
      </c>
      <c r="AT1027" t="s">
        <v>132</v>
      </c>
      <c r="BG1027">
        <v>110</v>
      </c>
      <c r="BM1027" t="s">
        <v>137</v>
      </c>
      <c r="BN1027">
        <v>0</v>
      </c>
    </row>
    <row r="1028" spans="1:91" x14ac:dyDescent="0.2">
      <c r="A1028" t="s">
        <v>111</v>
      </c>
      <c r="B1028" t="b">
        <v>0</v>
      </c>
      <c r="E1028">
        <v>1171</v>
      </c>
      <c r="F1028" t="str">
        <f>HYPERLINK("https://portal.dnb.de/opac.htm?method=simpleSearch&amp;cqlMode=true&amp;query=idn%3D1066961549", "Portal")</f>
        <v>Portal</v>
      </c>
      <c r="H1028" t="s">
        <v>4530</v>
      </c>
      <c r="I1028" t="s">
        <v>4531</v>
      </c>
      <c r="L1028" t="s">
        <v>4532</v>
      </c>
      <c r="M1028" t="s">
        <v>4201</v>
      </c>
      <c r="AD1028" t="s">
        <v>489</v>
      </c>
      <c r="BN1028">
        <v>0</v>
      </c>
    </row>
    <row r="1029" spans="1:91" x14ac:dyDescent="0.2">
      <c r="A1029" t="s">
        <v>111</v>
      </c>
      <c r="B1029" t="b">
        <v>0</v>
      </c>
      <c r="E1029">
        <v>1178</v>
      </c>
      <c r="F1029" t="str">
        <f>HYPERLINK("https://portal.dnb.de/opac.htm?method=simpleSearch&amp;cqlMode=true&amp;query=idn%3D120970370X", "Portal")</f>
        <v>Portal</v>
      </c>
      <c r="H1029" t="s">
        <v>4533</v>
      </c>
      <c r="I1029" t="s">
        <v>4534</v>
      </c>
      <c r="L1029" t="s">
        <v>4535</v>
      </c>
      <c r="BN1029">
        <v>0</v>
      </c>
    </row>
    <row r="1030" spans="1:91" x14ac:dyDescent="0.2">
      <c r="A1030" t="s">
        <v>111</v>
      </c>
      <c r="B1030" t="b">
        <v>0</v>
      </c>
      <c r="E1030">
        <v>1179</v>
      </c>
      <c r="F1030" t="str">
        <f>HYPERLINK("https://portal.dnb.de/opac.htm?method=simpleSearch&amp;cqlMode=true&amp;query=idn%3D1209695812", "Portal")</f>
        <v>Portal</v>
      </c>
      <c r="H1030" t="s">
        <v>4536</v>
      </c>
      <c r="I1030" t="s">
        <v>4537</v>
      </c>
      <c r="L1030" t="s">
        <v>4538</v>
      </c>
      <c r="BN1030">
        <v>0</v>
      </c>
    </row>
    <row r="1031" spans="1:91" x14ac:dyDescent="0.2">
      <c r="A1031" t="s">
        <v>111</v>
      </c>
      <c r="B1031" t="b">
        <v>1</v>
      </c>
      <c r="E1031">
        <v>1172</v>
      </c>
      <c r="F1031" t="str">
        <f>HYPERLINK("https://portal.dnb.de/opac.htm?method=simpleSearch&amp;cqlMode=true&amp;query=idn%3D106679863X", "Portal")</f>
        <v>Portal</v>
      </c>
      <c r="G1031" t="s">
        <v>125</v>
      </c>
      <c r="H1031" t="s">
        <v>4539</v>
      </c>
      <c r="I1031" t="s">
        <v>4540</v>
      </c>
      <c r="J1031" t="s">
        <v>4541</v>
      </c>
      <c r="K1031" t="s">
        <v>4541</v>
      </c>
      <c r="L1031" t="s">
        <v>4541</v>
      </c>
      <c r="N1031" t="s">
        <v>4542</v>
      </c>
      <c r="O1031" t="s">
        <v>117</v>
      </c>
      <c r="S1031" t="s">
        <v>121</v>
      </c>
      <c r="AI1031" t="s">
        <v>133</v>
      </c>
      <c r="AL1031" t="s">
        <v>132</v>
      </c>
      <c r="AM1031" t="s">
        <v>134</v>
      </c>
      <c r="AS1031" t="s">
        <v>135</v>
      </c>
      <c r="AX1031" t="s">
        <v>132</v>
      </c>
      <c r="BE1031">
        <v>0</v>
      </c>
      <c r="BF1031" t="s">
        <v>132</v>
      </c>
      <c r="BG1031">
        <v>110</v>
      </c>
      <c r="BM1031" t="s">
        <v>137</v>
      </c>
      <c r="BN1031">
        <v>0</v>
      </c>
      <c r="BP1031" t="s">
        <v>727</v>
      </c>
    </row>
    <row r="1032" spans="1:91" x14ac:dyDescent="0.2">
      <c r="A1032" t="s">
        <v>111</v>
      </c>
      <c r="B1032" t="b">
        <v>1</v>
      </c>
      <c r="E1032">
        <v>1180</v>
      </c>
      <c r="F1032" t="str">
        <f>HYPERLINK("https://portal.dnb.de/opac.htm?method=simpleSearch&amp;cqlMode=true&amp;query=idn%3D999030736", "Portal")</f>
        <v>Portal</v>
      </c>
      <c r="G1032" t="s">
        <v>112</v>
      </c>
      <c r="H1032" t="s">
        <v>4543</v>
      </c>
      <c r="I1032" t="s">
        <v>4544</v>
      </c>
      <c r="J1032" t="s">
        <v>4545</v>
      </c>
      <c r="K1032" t="s">
        <v>4545</v>
      </c>
      <c r="L1032" t="s">
        <v>4545</v>
      </c>
      <c r="N1032" t="s">
        <v>4546</v>
      </c>
      <c r="O1032" t="s">
        <v>117</v>
      </c>
      <c r="S1032" t="s">
        <v>121</v>
      </c>
      <c r="AI1032" t="s">
        <v>792</v>
      </c>
      <c r="AM1032" t="s">
        <v>134</v>
      </c>
      <c r="AS1032" t="s">
        <v>135</v>
      </c>
      <c r="BG1032">
        <v>110</v>
      </c>
      <c r="BK1032" t="s">
        <v>132</v>
      </c>
      <c r="BL1032" t="s">
        <v>132</v>
      </c>
      <c r="BM1032" t="s">
        <v>137</v>
      </c>
      <c r="BN1032">
        <v>0</v>
      </c>
    </row>
    <row r="1033" spans="1:91" x14ac:dyDescent="0.2">
      <c r="A1033" t="s">
        <v>111</v>
      </c>
      <c r="B1033" t="b">
        <v>1</v>
      </c>
      <c r="C1033" t="s">
        <v>132</v>
      </c>
      <c r="F1033" t="str">
        <f>HYPERLINK("https://portal.dnb.de/opac.htm?method=simpleSearch&amp;cqlMode=true&amp;query=idn%3D1138060933", "Portal")</f>
        <v>Portal</v>
      </c>
      <c r="G1033" t="s">
        <v>319</v>
      </c>
      <c r="H1033" t="s">
        <v>4547</v>
      </c>
      <c r="I1033" t="s">
        <v>4548</v>
      </c>
      <c r="J1033" t="s">
        <v>4549</v>
      </c>
      <c r="K1033" t="s">
        <v>4549</v>
      </c>
      <c r="L1033" t="s">
        <v>4549</v>
      </c>
      <c r="N1033" t="s">
        <v>338</v>
      </c>
      <c r="O1033" t="s">
        <v>117</v>
      </c>
      <c r="Q1033" t="s">
        <v>4550</v>
      </c>
      <c r="S1033" t="s">
        <v>121</v>
      </c>
      <c r="AI1033" t="s">
        <v>325</v>
      </c>
      <c r="AK1033" t="s">
        <v>132</v>
      </c>
      <c r="AM1033" t="s">
        <v>134</v>
      </c>
      <c r="AS1033" t="s">
        <v>135</v>
      </c>
      <c r="AT1033" t="s">
        <v>132</v>
      </c>
      <c r="BG1033">
        <v>110</v>
      </c>
      <c r="BM1033" t="s">
        <v>180</v>
      </c>
      <c r="BN1033">
        <v>1</v>
      </c>
      <c r="CD1033" t="s">
        <v>184</v>
      </c>
      <c r="CM1033">
        <v>1</v>
      </c>
    </row>
    <row r="1034" spans="1:91" x14ac:dyDescent="0.2">
      <c r="A1034" t="s">
        <v>111</v>
      </c>
      <c r="B1034" t="b">
        <v>1</v>
      </c>
      <c r="C1034" t="s">
        <v>132</v>
      </c>
      <c r="E1034">
        <v>1182</v>
      </c>
      <c r="F1034" t="str">
        <f>HYPERLINK("https://portal.dnb.de/opac.htm?method=simpleSearch&amp;cqlMode=true&amp;query=idn%3D1066964297", "Portal")</f>
        <v>Portal</v>
      </c>
      <c r="G1034" t="s">
        <v>125</v>
      </c>
      <c r="H1034" t="s">
        <v>4551</v>
      </c>
      <c r="I1034" t="s">
        <v>4552</v>
      </c>
      <c r="J1034" t="s">
        <v>4553</v>
      </c>
      <c r="K1034" t="s">
        <v>4553</v>
      </c>
      <c r="L1034" t="s">
        <v>4553</v>
      </c>
      <c r="N1034" t="s">
        <v>4554</v>
      </c>
      <c r="O1034" t="s">
        <v>117</v>
      </c>
      <c r="S1034" t="s">
        <v>121</v>
      </c>
      <c r="AI1034" t="s">
        <v>325</v>
      </c>
      <c r="AK1034" t="s">
        <v>132</v>
      </c>
      <c r="AM1034" t="s">
        <v>134</v>
      </c>
      <c r="AS1034" t="s">
        <v>135</v>
      </c>
      <c r="AT1034" t="s">
        <v>132</v>
      </c>
      <c r="BG1034">
        <v>110</v>
      </c>
      <c r="BM1034" t="s">
        <v>180</v>
      </c>
      <c r="BN1034">
        <v>1</v>
      </c>
      <c r="CD1034" t="s">
        <v>204</v>
      </c>
      <c r="CM1034">
        <v>1</v>
      </c>
    </row>
    <row r="1035" spans="1:91" x14ac:dyDescent="0.2">
      <c r="A1035" t="s">
        <v>111</v>
      </c>
      <c r="B1035" t="b">
        <v>1</v>
      </c>
      <c r="F1035" t="str">
        <f>HYPERLINK("https://portal.dnb.de/opac.htm?method=simpleSearch&amp;cqlMode=true&amp;query=idn%3D1138311448", "Portal")</f>
        <v>Portal</v>
      </c>
      <c r="G1035" t="s">
        <v>319</v>
      </c>
      <c r="H1035" t="s">
        <v>4555</v>
      </c>
      <c r="I1035" t="s">
        <v>4556</v>
      </c>
      <c r="J1035" t="s">
        <v>4557</v>
      </c>
      <c r="K1035" t="s">
        <v>4557</v>
      </c>
      <c r="L1035" t="s">
        <v>4557</v>
      </c>
      <c r="N1035" t="s">
        <v>323</v>
      </c>
      <c r="O1035" t="s">
        <v>117</v>
      </c>
      <c r="S1035" t="s">
        <v>121</v>
      </c>
      <c r="AI1035" t="s">
        <v>365</v>
      </c>
      <c r="AK1035" t="s">
        <v>132</v>
      </c>
      <c r="AM1035" t="s">
        <v>134</v>
      </c>
      <c r="AS1035" t="s">
        <v>135</v>
      </c>
      <c r="BG1035">
        <v>110</v>
      </c>
      <c r="BM1035" t="s">
        <v>137</v>
      </c>
      <c r="BN1035">
        <v>0</v>
      </c>
    </row>
    <row r="1036" spans="1:91" x14ac:dyDescent="0.2">
      <c r="A1036" t="s">
        <v>111</v>
      </c>
      <c r="B1036" t="b">
        <v>1</v>
      </c>
      <c r="E1036">
        <v>1184</v>
      </c>
      <c r="F1036" t="str">
        <f>HYPERLINK("https://portal.dnb.de/opac.htm?method=simpleSearch&amp;cqlMode=true&amp;query=idn%3D106695710X", "Portal")</f>
        <v>Portal</v>
      </c>
      <c r="G1036" t="s">
        <v>125</v>
      </c>
      <c r="H1036" t="s">
        <v>4558</v>
      </c>
      <c r="I1036" t="s">
        <v>4559</v>
      </c>
      <c r="J1036" t="s">
        <v>4560</v>
      </c>
      <c r="K1036" t="s">
        <v>4560</v>
      </c>
      <c r="L1036" t="s">
        <v>4560</v>
      </c>
      <c r="N1036" t="s">
        <v>4561</v>
      </c>
      <c r="O1036" t="s">
        <v>117</v>
      </c>
      <c r="S1036" t="s">
        <v>121</v>
      </c>
      <c r="AI1036" t="s">
        <v>646</v>
      </c>
      <c r="AK1036" t="s">
        <v>132</v>
      </c>
      <c r="AM1036" t="s">
        <v>134</v>
      </c>
      <c r="AS1036" t="s">
        <v>135</v>
      </c>
      <c r="BG1036">
        <v>110</v>
      </c>
      <c r="BM1036" t="s">
        <v>137</v>
      </c>
      <c r="BN1036">
        <v>0</v>
      </c>
      <c r="BR1036" t="s">
        <v>132</v>
      </c>
    </row>
    <row r="1037" spans="1:91" x14ac:dyDescent="0.2">
      <c r="A1037" t="s">
        <v>111</v>
      </c>
      <c r="B1037" t="b">
        <v>1</v>
      </c>
      <c r="E1037">
        <v>1191</v>
      </c>
      <c r="F1037" t="str">
        <f>HYPERLINK("https://portal.dnb.de/opac.htm?method=simpleSearch&amp;cqlMode=true&amp;query=idn%3D1066964122", "Portal")</f>
        <v>Portal</v>
      </c>
      <c r="G1037" t="s">
        <v>125</v>
      </c>
      <c r="H1037" t="s">
        <v>4562</v>
      </c>
      <c r="I1037" t="s">
        <v>4563</v>
      </c>
      <c r="J1037" t="s">
        <v>4564</v>
      </c>
      <c r="K1037" t="s">
        <v>4564</v>
      </c>
      <c r="L1037" t="s">
        <v>4564</v>
      </c>
      <c r="N1037" t="s">
        <v>4565</v>
      </c>
      <c r="O1037" t="s">
        <v>117</v>
      </c>
      <c r="S1037" t="s">
        <v>121</v>
      </c>
      <c r="AI1037" t="s">
        <v>149</v>
      </c>
      <c r="AL1037" t="s">
        <v>132</v>
      </c>
      <c r="AM1037" t="s">
        <v>196</v>
      </c>
      <c r="AS1037" t="s">
        <v>135</v>
      </c>
      <c r="BG1037">
        <v>110</v>
      </c>
      <c r="BM1037" t="s">
        <v>137</v>
      </c>
      <c r="BN1037">
        <v>0</v>
      </c>
      <c r="BS1037" t="s">
        <v>562</v>
      </c>
      <c r="BU1037" t="s">
        <v>132</v>
      </c>
      <c r="BY1037" t="s">
        <v>3838</v>
      </c>
    </row>
    <row r="1038" spans="1:91" x14ac:dyDescent="0.2">
      <c r="A1038" t="s">
        <v>111</v>
      </c>
      <c r="B1038" t="b">
        <v>1</v>
      </c>
      <c r="E1038">
        <v>1192</v>
      </c>
      <c r="F1038" t="str">
        <f>HYPERLINK("https://portal.dnb.de/opac.htm?method=simpleSearch&amp;cqlMode=true&amp;query=idn%3D1003676618", "Portal")</f>
        <v>Portal</v>
      </c>
      <c r="G1038" t="s">
        <v>112</v>
      </c>
      <c r="H1038" t="s">
        <v>4566</v>
      </c>
      <c r="I1038" t="s">
        <v>4567</v>
      </c>
      <c r="J1038" t="s">
        <v>4568</v>
      </c>
      <c r="K1038" t="s">
        <v>4568</v>
      </c>
      <c r="L1038" t="s">
        <v>4568</v>
      </c>
      <c r="N1038" t="s">
        <v>4569</v>
      </c>
      <c r="O1038" t="s">
        <v>117</v>
      </c>
      <c r="S1038" t="s">
        <v>121</v>
      </c>
      <c r="AI1038" t="s">
        <v>135</v>
      </c>
      <c r="AL1038" t="s">
        <v>132</v>
      </c>
      <c r="AM1038" t="s">
        <v>134</v>
      </c>
      <c r="AS1038" t="s">
        <v>135</v>
      </c>
      <c r="BG1038">
        <v>110</v>
      </c>
      <c r="BM1038" t="s">
        <v>137</v>
      </c>
      <c r="BN1038">
        <v>0</v>
      </c>
    </row>
    <row r="1039" spans="1:91" x14ac:dyDescent="0.2">
      <c r="A1039" t="s">
        <v>111</v>
      </c>
      <c r="B1039" t="b">
        <v>1</v>
      </c>
      <c r="E1039">
        <v>1193</v>
      </c>
      <c r="F1039" t="str">
        <f>HYPERLINK("https://portal.dnb.de/opac.htm?method=simpleSearch&amp;cqlMode=true&amp;query=idn%3D1066957037", "Portal")</f>
        <v>Portal</v>
      </c>
      <c r="G1039" t="s">
        <v>125</v>
      </c>
      <c r="H1039" t="s">
        <v>4570</v>
      </c>
      <c r="I1039" t="s">
        <v>4571</v>
      </c>
      <c r="J1039" t="s">
        <v>4572</v>
      </c>
      <c r="K1039" t="s">
        <v>4572</v>
      </c>
      <c r="L1039" t="s">
        <v>4572</v>
      </c>
      <c r="N1039" t="s">
        <v>4573</v>
      </c>
      <c r="O1039" t="s">
        <v>117</v>
      </c>
      <c r="S1039" t="s">
        <v>121</v>
      </c>
      <c r="AI1039" t="s">
        <v>135</v>
      </c>
      <c r="AK1039" t="s">
        <v>132</v>
      </c>
      <c r="AM1039" t="s">
        <v>134</v>
      </c>
      <c r="AS1039" t="s">
        <v>135</v>
      </c>
      <c r="BG1039">
        <v>110</v>
      </c>
      <c r="BM1039" t="s">
        <v>137</v>
      </c>
      <c r="BN1039">
        <v>0</v>
      </c>
    </row>
    <row r="1040" spans="1:91" x14ac:dyDescent="0.2">
      <c r="A1040" t="s">
        <v>111</v>
      </c>
      <c r="B1040" t="b">
        <v>1</v>
      </c>
      <c r="F1040" t="str">
        <f>HYPERLINK("https://portal.dnb.de/opac.htm?method=simpleSearch&amp;cqlMode=true&amp;query=idn%3D1268682446", "Portal")</f>
        <v>Portal</v>
      </c>
      <c r="G1040" t="s">
        <v>415</v>
      </c>
      <c r="H1040" t="s">
        <v>4574</v>
      </c>
      <c r="I1040" t="s">
        <v>4575</v>
      </c>
      <c r="J1040" t="s">
        <v>4576</v>
      </c>
      <c r="K1040" t="s">
        <v>4576</v>
      </c>
      <c r="L1040" t="s">
        <v>4576</v>
      </c>
      <c r="N1040" t="s">
        <v>4577</v>
      </c>
      <c r="O1040" t="s">
        <v>117</v>
      </c>
      <c r="S1040" t="s">
        <v>121</v>
      </c>
      <c r="AI1040" t="s">
        <v>135</v>
      </c>
      <c r="AM1040" t="s">
        <v>134</v>
      </c>
      <c r="AS1040" t="s">
        <v>135</v>
      </c>
      <c r="BG1040">
        <v>110</v>
      </c>
      <c r="BM1040" t="s">
        <v>137</v>
      </c>
      <c r="BN1040">
        <v>0</v>
      </c>
    </row>
    <row r="1041" spans="1:77" x14ac:dyDescent="0.2">
      <c r="A1041" t="s">
        <v>111</v>
      </c>
      <c r="B1041" t="b">
        <v>1</v>
      </c>
      <c r="E1041">
        <v>1194</v>
      </c>
      <c r="F1041" t="str">
        <f>HYPERLINK("https://portal.dnb.de/opac.htm?method=simpleSearch&amp;cqlMode=true&amp;query=idn%3D1001795830", "Portal")</f>
        <v>Portal</v>
      </c>
      <c r="G1041" t="s">
        <v>112</v>
      </c>
      <c r="H1041" t="s">
        <v>4578</v>
      </c>
      <c r="I1041" t="s">
        <v>4579</v>
      </c>
      <c r="J1041" t="s">
        <v>4580</v>
      </c>
      <c r="K1041" t="s">
        <v>4580</v>
      </c>
      <c r="L1041" t="s">
        <v>4580</v>
      </c>
      <c r="N1041" t="s">
        <v>4581</v>
      </c>
      <c r="O1041" t="s">
        <v>117</v>
      </c>
      <c r="S1041" t="s">
        <v>121</v>
      </c>
      <c r="AI1041" t="s">
        <v>1684</v>
      </c>
      <c r="AS1041" t="s">
        <v>135</v>
      </c>
      <c r="BG1041" t="s">
        <v>1223</v>
      </c>
      <c r="BK1041" t="s">
        <v>132</v>
      </c>
      <c r="BL1041" t="s">
        <v>132</v>
      </c>
      <c r="BM1041" t="s">
        <v>137</v>
      </c>
      <c r="BN1041">
        <v>0</v>
      </c>
      <c r="BY1041" t="s">
        <v>4582</v>
      </c>
    </row>
    <row r="1042" spans="1:77" x14ac:dyDescent="0.2">
      <c r="A1042" t="s">
        <v>111</v>
      </c>
      <c r="B1042" t="b">
        <v>1</v>
      </c>
      <c r="E1042">
        <v>1195</v>
      </c>
      <c r="F1042" t="str">
        <f>HYPERLINK("https://portal.dnb.de/opac.htm?method=simpleSearch&amp;cqlMode=true&amp;query=idn%3D1066937397", "Portal")</f>
        <v>Portal</v>
      </c>
      <c r="G1042" t="s">
        <v>125</v>
      </c>
      <c r="H1042" t="s">
        <v>4583</v>
      </c>
      <c r="I1042" t="s">
        <v>4584</v>
      </c>
      <c r="J1042" t="s">
        <v>4585</v>
      </c>
      <c r="K1042" t="s">
        <v>4585</v>
      </c>
      <c r="L1042" t="s">
        <v>4585</v>
      </c>
      <c r="M1042" t="s">
        <v>4201</v>
      </c>
      <c r="N1042" t="s">
        <v>4586</v>
      </c>
      <c r="O1042" t="s">
        <v>117</v>
      </c>
      <c r="S1042" t="s">
        <v>146</v>
      </c>
      <c r="AI1042" t="s">
        <v>149</v>
      </c>
      <c r="AM1042" t="s">
        <v>150</v>
      </c>
      <c r="AS1042" t="s">
        <v>135</v>
      </c>
      <c r="BG1042">
        <v>60</v>
      </c>
      <c r="BM1042" t="s">
        <v>137</v>
      </c>
      <c r="BN1042">
        <v>0</v>
      </c>
      <c r="BP1042" t="s">
        <v>727</v>
      </c>
      <c r="BV1042" t="s">
        <v>647</v>
      </c>
    </row>
    <row r="1043" spans="1:77" x14ac:dyDescent="0.2">
      <c r="A1043" t="s">
        <v>111</v>
      </c>
      <c r="B1043" t="b">
        <v>0</v>
      </c>
      <c r="E1043">
        <v>1196</v>
      </c>
      <c r="F1043" t="str">
        <f>HYPERLINK("https://portal.dnb.de/opac.htm?method=simpleSearch&amp;cqlMode=true&amp;query=idn%3D106695982X", "Portal")</f>
        <v>Portal</v>
      </c>
      <c r="H1043" t="s">
        <v>4587</v>
      </c>
      <c r="I1043" t="s">
        <v>4588</v>
      </c>
      <c r="L1043" t="s">
        <v>4589</v>
      </c>
      <c r="AD1043" t="s">
        <v>489</v>
      </c>
      <c r="BN1043">
        <v>0</v>
      </c>
    </row>
    <row r="1044" spans="1:77" x14ac:dyDescent="0.2">
      <c r="A1044" t="s">
        <v>111</v>
      </c>
      <c r="B1044" t="b">
        <v>1</v>
      </c>
      <c r="E1044">
        <v>1197</v>
      </c>
      <c r="F1044" t="str">
        <f>HYPERLINK("https://portal.dnb.de/opac.htm?method=simpleSearch&amp;cqlMode=true&amp;query=idn%3D994870507", "Portal")</f>
        <v>Portal</v>
      </c>
      <c r="G1044" t="s">
        <v>112</v>
      </c>
      <c r="H1044" t="s">
        <v>4590</v>
      </c>
      <c r="I1044" t="s">
        <v>4591</v>
      </c>
      <c r="J1044" t="s">
        <v>4592</v>
      </c>
      <c r="K1044" t="s">
        <v>4592</v>
      </c>
      <c r="L1044" t="s">
        <v>4592</v>
      </c>
      <c r="N1044" t="s">
        <v>4593</v>
      </c>
      <c r="O1044" t="s">
        <v>117</v>
      </c>
      <c r="S1044" t="s">
        <v>121</v>
      </c>
      <c r="AI1044" t="s">
        <v>792</v>
      </c>
      <c r="AM1044" t="s">
        <v>134</v>
      </c>
      <c r="AS1044" t="s">
        <v>135</v>
      </c>
      <c r="BG1044">
        <v>110</v>
      </c>
      <c r="BM1044" t="s">
        <v>137</v>
      </c>
      <c r="BN1044">
        <v>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1"/>
  <sheetViews>
    <sheetView topLeftCell="A2" workbookViewId="0">
      <selection activeCell="A31" sqref="A31:XFD31"/>
    </sheetView>
  </sheetViews>
  <sheetFormatPr baseColWidth="10" defaultColWidth="11" defaultRowHeight="11.4" x14ac:dyDescent="0.2"/>
  <cols>
    <col min="1" max="2" width="13.59765625" style="67" customWidth="1"/>
    <col min="3" max="3" width="155.59765625" style="67" customWidth="1"/>
    <col min="4" max="6" width="11" style="67" customWidth="1"/>
    <col min="7" max="16384" width="11" style="67"/>
  </cols>
  <sheetData>
    <row r="2" spans="1:3" ht="14.25" customHeight="1" x14ac:dyDescent="0.2">
      <c r="A2" s="66" t="s">
        <v>4594</v>
      </c>
      <c r="B2" s="60"/>
      <c r="C2" s="60"/>
    </row>
    <row r="3" spans="1:3" x14ac:dyDescent="0.2">
      <c r="B3" s="60"/>
      <c r="C3" s="60" t="s">
        <v>4595</v>
      </c>
    </row>
    <row r="4" spans="1:3" x14ac:dyDescent="0.2">
      <c r="A4" s="68" t="s">
        <v>4596</v>
      </c>
      <c r="B4" s="60"/>
      <c r="C4" s="60"/>
    </row>
    <row r="5" spans="1:3" x14ac:dyDescent="0.2">
      <c r="B5" s="60"/>
      <c r="C5" s="60"/>
    </row>
    <row r="6" spans="1:3" x14ac:dyDescent="0.2">
      <c r="A6" s="67" t="s">
        <v>4597</v>
      </c>
      <c r="B6" s="60"/>
      <c r="C6" s="60"/>
    </row>
    <row r="7" spans="1:3" x14ac:dyDescent="0.2">
      <c r="A7" s="67" t="s">
        <v>4598</v>
      </c>
      <c r="B7" s="60"/>
      <c r="C7" s="60"/>
    </row>
    <row r="8" spans="1:3" x14ac:dyDescent="0.2">
      <c r="B8" s="60"/>
      <c r="C8" s="60"/>
    </row>
    <row r="9" spans="1:3" x14ac:dyDescent="0.2">
      <c r="A9" s="67" t="s">
        <v>4599</v>
      </c>
      <c r="B9" s="60"/>
      <c r="C9" s="60"/>
    </row>
    <row r="10" spans="1:3" x14ac:dyDescent="0.2">
      <c r="A10" s="67" t="s">
        <v>4600</v>
      </c>
      <c r="B10" s="60"/>
      <c r="C10" s="60"/>
    </row>
    <row r="16" spans="1:3" ht="12.75" customHeight="1" x14ac:dyDescent="0.2">
      <c r="A16" s="69" t="s">
        <v>4601</v>
      </c>
    </row>
    <row r="18" spans="1:3" x14ac:dyDescent="0.2">
      <c r="A18" s="67" t="s">
        <v>4602</v>
      </c>
    </row>
    <row r="20" spans="1:3" x14ac:dyDescent="0.2">
      <c r="A20" s="70" t="s">
        <v>4603</v>
      </c>
    </row>
    <row r="21" spans="1:3" s="71" customFormat="1" x14ac:dyDescent="0.2">
      <c r="A21" s="71" t="s">
        <v>4604</v>
      </c>
    </row>
    <row r="23" spans="1:3" x14ac:dyDescent="0.2">
      <c r="A23" s="67" t="s">
        <v>4605</v>
      </c>
      <c r="B23" s="67" t="s">
        <v>4606</v>
      </c>
      <c r="C23" s="67" t="s">
        <v>4607</v>
      </c>
    </row>
    <row r="25" spans="1:3" x14ac:dyDescent="0.2">
      <c r="A25" s="72">
        <v>44595</v>
      </c>
      <c r="B25" s="67" t="s">
        <v>4608</v>
      </c>
      <c r="C25" s="67" t="s">
        <v>4609</v>
      </c>
    </row>
    <row r="26" spans="1:3" x14ac:dyDescent="0.2">
      <c r="A26" s="72"/>
      <c r="C26" s="67" t="s">
        <v>4610</v>
      </c>
    </row>
    <row r="27" spans="1:3" x14ac:dyDescent="0.2">
      <c r="A27" s="72"/>
      <c r="C27" s="67" t="s">
        <v>4611</v>
      </c>
    </row>
    <row r="28" spans="1:3" x14ac:dyDescent="0.2">
      <c r="A28" s="72"/>
      <c r="C28" s="67" t="s">
        <v>4612</v>
      </c>
    </row>
    <row r="29" spans="1:3" x14ac:dyDescent="0.2">
      <c r="C29" s="67" t="s">
        <v>4613</v>
      </c>
    </row>
    <row r="30" spans="1:3" ht="33.75" customHeight="1" x14ac:dyDescent="0.2">
      <c r="C30" s="73" t="s">
        <v>4614</v>
      </c>
    </row>
    <row r="31" spans="1:3" ht="33.75" customHeight="1" x14ac:dyDescent="0.2">
      <c r="A31" s="72">
        <v>44734</v>
      </c>
      <c r="B31" s="67" t="s">
        <v>4608</v>
      </c>
      <c r="C31" s="73" t="s">
        <v>4615</v>
      </c>
    </row>
  </sheetData>
  <pageMargins left="0.7" right="0.7" top="0.78740157499999996" bottom="0.78740157499999996"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topLeftCell="A4" workbookViewId="0">
      <selection activeCell="B8" sqref="B8:B19"/>
    </sheetView>
  </sheetViews>
  <sheetFormatPr baseColWidth="10" defaultColWidth="10.8984375" defaultRowHeight="11.4" x14ac:dyDescent="0.2"/>
  <cols>
    <col min="1" max="1" width="17.5" style="60" bestFit="1" customWidth="1"/>
    <col min="2" max="2" width="75.19921875" style="60" bestFit="1" customWidth="1"/>
    <col min="3" max="5" width="10.8984375" style="60" customWidth="1"/>
    <col min="6" max="16384" width="10.8984375" style="60"/>
  </cols>
  <sheetData>
    <row r="1" spans="1:2" s="59" customFormat="1" x14ac:dyDescent="0.2">
      <c r="A1" s="74" t="s">
        <v>4616</v>
      </c>
      <c r="B1" s="59" t="s">
        <v>4617</v>
      </c>
    </row>
    <row r="3" spans="1:2" x14ac:dyDescent="0.2">
      <c r="A3" s="57" t="s">
        <v>4618</v>
      </c>
    </row>
    <row r="4" spans="1:2" x14ac:dyDescent="0.2">
      <c r="A4" s="60" t="s">
        <v>4619</v>
      </c>
      <c r="B4" s="60" t="s">
        <v>4620</v>
      </c>
    </row>
    <row r="5" spans="1:2" x14ac:dyDescent="0.2">
      <c r="A5" s="60" t="s">
        <v>4621</v>
      </c>
      <c r="B5" s="60" t="s">
        <v>4622</v>
      </c>
    </row>
    <row r="7" spans="1:2" x14ac:dyDescent="0.2">
      <c r="A7" s="57" t="s">
        <v>4623</v>
      </c>
    </row>
    <row r="8" spans="1:2" x14ac:dyDescent="0.2">
      <c r="A8" s="60" t="s">
        <v>135</v>
      </c>
      <c r="B8" t="s">
        <v>257</v>
      </c>
    </row>
    <row r="9" spans="1:2" x14ac:dyDescent="0.2">
      <c r="A9" s="60" t="s">
        <v>1684</v>
      </c>
      <c r="B9" t="s">
        <v>374</v>
      </c>
    </row>
    <row r="10" spans="1:2" x14ac:dyDescent="0.2">
      <c r="A10" s="60" t="s">
        <v>325</v>
      </c>
      <c r="B10" t="s">
        <v>480</v>
      </c>
    </row>
    <row r="11" spans="1:2" x14ac:dyDescent="0.2">
      <c r="A11" s="60" t="s">
        <v>2592</v>
      </c>
      <c r="B11" t="s">
        <v>262</v>
      </c>
    </row>
    <row r="12" spans="1:2" x14ac:dyDescent="0.2">
      <c r="A12" s="60" t="s">
        <v>149</v>
      </c>
      <c r="B12" s="60" t="s">
        <v>4624</v>
      </c>
    </row>
    <row r="13" spans="1:2" x14ac:dyDescent="0.2">
      <c r="A13" s="60" t="s">
        <v>133</v>
      </c>
      <c r="B13" t="s">
        <v>120</v>
      </c>
    </row>
    <row r="14" spans="1:2" x14ac:dyDescent="0.2">
      <c r="A14" s="60" t="s">
        <v>365</v>
      </c>
      <c r="B14" t="s">
        <v>190</v>
      </c>
    </row>
    <row r="15" spans="1:2" x14ac:dyDescent="0.2">
      <c r="A15" s="60" t="s">
        <v>646</v>
      </c>
      <c r="B15" t="s">
        <v>157</v>
      </c>
    </row>
    <row r="16" spans="1:2" x14ac:dyDescent="0.2">
      <c r="A16" s="60" t="s">
        <v>792</v>
      </c>
      <c r="B16" t="s">
        <v>163</v>
      </c>
    </row>
    <row r="17" spans="1:2" x14ac:dyDescent="0.2">
      <c r="A17" s="60" t="s">
        <v>720</v>
      </c>
      <c r="B17" t="s">
        <v>4625</v>
      </c>
    </row>
    <row r="18" spans="1:2" x14ac:dyDescent="0.2">
      <c r="A18" s="60" t="s">
        <v>1638</v>
      </c>
      <c r="B18" t="s">
        <v>4626</v>
      </c>
    </row>
    <row r="19" spans="1:2" x14ac:dyDescent="0.2">
      <c r="A19" s="60" t="s">
        <v>4627</v>
      </c>
      <c r="B19" s="60" t="s">
        <v>4628</v>
      </c>
    </row>
    <row r="21" spans="1:2" x14ac:dyDescent="0.2">
      <c r="A21" s="57" t="s">
        <v>4629</v>
      </c>
    </row>
    <row r="22" spans="1:2" x14ac:dyDescent="0.2">
      <c r="A22" s="60" t="s">
        <v>196</v>
      </c>
      <c r="B22" s="60" t="s">
        <v>4630</v>
      </c>
    </row>
    <row r="23" spans="1:2" x14ac:dyDescent="0.2">
      <c r="A23" s="60" t="s">
        <v>179</v>
      </c>
      <c r="B23" s="60" t="s">
        <v>4631</v>
      </c>
    </row>
    <row r="24" spans="1:2" x14ac:dyDescent="0.2">
      <c r="A24" s="60" t="s">
        <v>150</v>
      </c>
      <c r="B24" s="60" t="s">
        <v>203</v>
      </c>
    </row>
    <row r="25" spans="1:2" x14ac:dyDescent="0.2">
      <c r="A25" s="60" t="s">
        <v>134</v>
      </c>
      <c r="B25" s="60" t="s">
        <v>4632</v>
      </c>
    </row>
    <row r="27" spans="1:2" x14ac:dyDescent="0.2">
      <c r="A27" s="57" t="s">
        <v>4633</v>
      </c>
    </row>
    <row r="28" spans="1:2" x14ac:dyDescent="0.2">
      <c r="A28" s="60" t="s">
        <v>3277</v>
      </c>
      <c r="B28" s="60" t="s">
        <v>4634</v>
      </c>
    </row>
    <row r="29" spans="1:2" x14ac:dyDescent="0.2">
      <c r="A29" s="60" t="s">
        <v>1630</v>
      </c>
      <c r="B29" s="60" t="s">
        <v>4635</v>
      </c>
    </row>
    <row r="30" spans="1:2" x14ac:dyDescent="0.2">
      <c r="A30" s="60" t="s">
        <v>4636</v>
      </c>
      <c r="B30" s="60" t="s">
        <v>4637</v>
      </c>
    </row>
    <row r="31" spans="1:2" x14ac:dyDescent="0.2">
      <c r="A31" s="60" t="s">
        <v>136</v>
      </c>
      <c r="B31" s="60" t="s">
        <v>4638</v>
      </c>
    </row>
    <row r="33" spans="1:2" x14ac:dyDescent="0.2">
      <c r="A33" s="57" t="s">
        <v>4639</v>
      </c>
    </row>
    <row r="34" spans="1:2" x14ac:dyDescent="0.2">
      <c r="A34" s="60" t="s">
        <v>1223</v>
      </c>
      <c r="B34" s="60" t="s">
        <v>4640</v>
      </c>
    </row>
    <row r="35" spans="1:2" ht="45" customHeight="1" x14ac:dyDescent="0.2">
      <c r="A35" s="60" t="s">
        <v>4641</v>
      </c>
      <c r="B35" s="61" t="s">
        <v>4642</v>
      </c>
    </row>
    <row r="37" spans="1:2" ht="22.5" customHeight="1" x14ac:dyDescent="0.2">
      <c r="A37" s="56" t="s">
        <v>4643</v>
      </c>
    </row>
    <row r="38" spans="1:2" x14ac:dyDescent="0.2">
      <c r="A38" s="60" t="s">
        <v>204</v>
      </c>
      <c r="B38" s="60" t="s">
        <v>4644</v>
      </c>
    </row>
    <row r="39" spans="1:2" x14ac:dyDescent="0.2">
      <c r="A39" s="60" t="s">
        <v>150</v>
      </c>
      <c r="B39" s="60" t="s">
        <v>4645</v>
      </c>
    </row>
    <row r="40" spans="1:2" x14ac:dyDescent="0.2">
      <c r="A40" s="60" t="s">
        <v>1195</v>
      </c>
      <c r="B40" s="60" t="s">
        <v>4646</v>
      </c>
    </row>
    <row r="41" spans="1:2" x14ac:dyDescent="0.2">
      <c r="A41" s="60" t="s">
        <v>4647</v>
      </c>
      <c r="B41" s="60" t="s">
        <v>4648</v>
      </c>
    </row>
    <row r="42" spans="1:2" x14ac:dyDescent="0.2">
      <c r="A42" s="60" t="s">
        <v>657</v>
      </c>
      <c r="B42" s="60" t="s">
        <v>4649</v>
      </c>
    </row>
    <row r="43" spans="1:2" x14ac:dyDescent="0.2">
      <c r="A43" s="60" t="s">
        <v>4650</v>
      </c>
      <c r="B43" s="60" t="s">
        <v>4651</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5"/>
  <sheetViews>
    <sheetView topLeftCell="A61" workbookViewId="0">
      <selection activeCell="C72" sqref="C72"/>
    </sheetView>
  </sheetViews>
  <sheetFormatPr baseColWidth="10" defaultColWidth="11" defaultRowHeight="11.4" x14ac:dyDescent="0.2"/>
  <cols>
    <col min="1" max="1" width="16.69921875" style="61" customWidth="1"/>
    <col min="2" max="2" width="23.69921875" style="61" bestFit="1" customWidth="1"/>
    <col min="3" max="5" width="11" style="61" customWidth="1"/>
    <col min="6" max="16384" width="11" style="61"/>
  </cols>
  <sheetData>
    <row r="1" spans="1:3" ht="33.75" customHeight="1" x14ac:dyDescent="0.2">
      <c r="A1" s="76" t="s">
        <v>4652</v>
      </c>
      <c r="B1" s="77"/>
    </row>
    <row r="2" spans="1:3" ht="22.5" customHeight="1" x14ac:dyDescent="0.2">
      <c r="A2" s="61" t="s">
        <v>4653</v>
      </c>
      <c r="B2" s="62"/>
      <c r="C2" s="61" t="e">
        <f>Basis!#REF!</f>
        <v>#REF!</v>
      </c>
    </row>
    <row r="3" spans="1:3" ht="22.5" customHeight="1" x14ac:dyDescent="0.2">
      <c r="A3" s="61" t="s">
        <v>4654</v>
      </c>
      <c r="B3" s="62"/>
      <c r="C3" s="61" t="e">
        <f>Basis!#REF!</f>
        <v>#REF!</v>
      </c>
    </row>
    <row r="4" spans="1:3" ht="33.75" customHeight="1" x14ac:dyDescent="0.2">
      <c r="A4" s="61" t="s">
        <v>4655</v>
      </c>
      <c r="B4" s="62"/>
      <c r="C4" s="61" t="e">
        <f>Basis!#REF!</f>
        <v>#REF!</v>
      </c>
    </row>
    <row r="5" spans="1:3" ht="22.5" customHeight="1" x14ac:dyDescent="0.2">
      <c r="A5" s="61" t="s">
        <v>4656</v>
      </c>
      <c r="B5" s="62"/>
      <c r="C5" s="61" t="e">
        <f>Basis!#REF!</f>
        <v>#REF!</v>
      </c>
    </row>
    <row r="6" spans="1:3" x14ac:dyDescent="0.2">
      <c r="A6" s="61" t="s">
        <v>18</v>
      </c>
      <c r="B6" s="62" t="s">
        <v>121</v>
      </c>
      <c r="C6" s="61" t="e">
        <f>Basis!#REF!</f>
        <v>#REF!</v>
      </c>
    </row>
    <row r="7" spans="1:3" x14ac:dyDescent="0.2">
      <c r="B7" s="62" t="s">
        <v>146</v>
      </c>
      <c r="C7" s="61" t="e">
        <f>Basis!#REF!</f>
        <v>#REF!</v>
      </c>
    </row>
    <row r="8" spans="1:3" x14ac:dyDescent="0.2">
      <c r="B8" s="62" t="s">
        <v>470</v>
      </c>
      <c r="C8" s="61" t="e">
        <f>Basis!#REF!</f>
        <v>#REF!</v>
      </c>
    </row>
    <row r="9" spans="1:3" x14ac:dyDescent="0.2">
      <c r="B9" s="62" t="s">
        <v>1193</v>
      </c>
      <c r="C9" s="61" t="e">
        <f>Basis!#REF!</f>
        <v>#REF!</v>
      </c>
    </row>
    <row r="10" spans="1:3" x14ac:dyDescent="0.2">
      <c r="A10" s="61" t="s">
        <v>4657</v>
      </c>
      <c r="B10" s="62"/>
      <c r="C10" s="61" t="e">
        <f>Basis!#REF!</f>
        <v>#REF!</v>
      </c>
    </row>
    <row r="11" spans="1:3" x14ac:dyDescent="0.2">
      <c r="A11" s="61" t="s">
        <v>4658</v>
      </c>
      <c r="B11" s="62"/>
      <c r="C11" s="61" t="e">
        <f>Basis!#REF!</f>
        <v>#REF!</v>
      </c>
    </row>
    <row r="12" spans="1:3" ht="22.5" customHeight="1" x14ac:dyDescent="0.2">
      <c r="A12" s="61" t="s">
        <v>32</v>
      </c>
      <c r="B12" s="62"/>
      <c r="C12" s="61" t="e">
        <f>Basis!#REF!</f>
        <v>#REF!</v>
      </c>
    </row>
    <row r="13" spans="1:3" ht="22.5" customHeight="1" x14ac:dyDescent="0.2">
      <c r="A13" s="61" t="s">
        <v>33</v>
      </c>
      <c r="B13" s="62"/>
      <c r="C13" s="61" t="e">
        <f>Basis!#REF!</f>
        <v>#REF!</v>
      </c>
    </row>
    <row r="14" spans="1:3" x14ac:dyDescent="0.2">
      <c r="A14" s="61" t="s">
        <v>4623</v>
      </c>
      <c r="B14" s="75" t="s">
        <v>257</v>
      </c>
      <c r="C14" s="61" t="e">
        <f>Basis!#REF!</f>
        <v>#REF!</v>
      </c>
    </row>
    <row r="15" spans="1:3" x14ac:dyDescent="0.2">
      <c r="B15" s="75" t="s">
        <v>374</v>
      </c>
      <c r="C15" s="61" t="e">
        <f>Basis!#REF!</f>
        <v>#REF!</v>
      </c>
    </row>
    <row r="16" spans="1:3" x14ac:dyDescent="0.2">
      <c r="B16" s="75" t="s">
        <v>480</v>
      </c>
      <c r="C16" s="61" t="e">
        <f>Basis!#REF!</f>
        <v>#REF!</v>
      </c>
    </row>
    <row r="17" spans="1:3" x14ac:dyDescent="0.2">
      <c r="B17" s="75" t="s">
        <v>262</v>
      </c>
      <c r="C17" s="61" t="e">
        <f>Basis!#REF!</f>
        <v>#REF!</v>
      </c>
    </row>
    <row r="18" spans="1:3" x14ac:dyDescent="0.2">
      <c r="B18" s="63" t="s">
        <v>4624</v>
      </c>
      <c r="C18" s="61" t="e">
        <f>Basis!#REF!</f>
        <v>#REF!</v>
      </c>
    </row>
    <row r="19" spans="1:3" x14ac:dyDescent="0.2">
      <c r="B19" s="75" t="s">
        <v>120</v>
      </c>
      <c r="C19" s="61" t="e">
        <f>Basis!#REF!</f>
        <v>#REF!</v>
      </c>
    </row>
    <row r="20" spans="1:3" x14ac:dyDescent="0.2">
      <c r="B20" s="75" t="s">
        <v>190</v>
      </c>
      <c r="C20" s="61" t="e">
        <f>Basis!#REF!</f>
        <v>#REF!</v>
      </c>
    </row>
    <row r="21" spans="1:3" x14ac:dyDescent="0.2">
      <c r="B21" s="75" t="s">
        <v>157</v>
      </c>
      <c r="C21" s="64" t="e">
        <f>Basis!#REF!</f>
        <v>#REF!</v>
      </c>
    </row>
    <row r="22" spans="1:3" x14ac:dyDescent="0.2">
      <c r="B22" s="75" t="s">
        <v>163</v>
      </c>
      <c r="C22" s="64" t="e">
        <f>Basis!#REF!</f>
        <v>#REF!</v>
      </c>
    </row>
    <row r="23" spans="1:3" x14ac:dyDescent="0.2">
      <c r="B23" s="75" t="s">
        <v>4625</v>
      </c>
      <c r="C23" s="64" t="e">
        <f>Basis!#REF!</f>
        <v>#REF!</v>
      </c>
    </row>
    <row r="24" spans="1:3" x14ac:dyDescent="0.2">
      <c r="B24" s="75" t="s">
        <v>4626</v>
      </c>
      <c r="C24" s="61" t="e">
        <f>Basis!#REF!</f>
        <v>#REF!</v>
      </c>
    </row>
    <row r="25" spans="1:3" x14ac:dyDescent="0.2">
      <c r="B25" s="63" t="s">
        <v>4628</v>
      </c>
      <c r="C25" s="61" t="e">
        <f>Basis!#REF!</f>
        <v>#REF!</v>
      </c>
    </row>
    <row r="26" spans="1:3" x14ac:dyDescent="0.2">
      <c r="B26" s="63" t="s">
        <v>4659</v>
      </c>
    </row>
    <row r="27" spans="1:3" ht="22.5" customHeight="1" x14ac:dyDescent="0.2">
      <c r="A27" s="61" t="s">
        <v>4660</v>
      </c>
      <c r="B27" s="62"/>
      <c r="C27" s="61" t="e">
        <f>Basis!#REF!</f>
        <v>#REF!</v>
      </c>
    </row>
    <row r="28" spans="1:3" ht="22.5" customHeight="1" x14ac:dyDescent="0.2">
      <c r="A28" s="61" t="s">
        <v>4661</v>
      </c>
      <c r="B28" s="62"/>
      <c r="C28" s="61" t="e">
        <f>Basis!#REF!</f>
        <v>#REF!</v>
      </c>
    </row>
    <row r="29" spans="1:3" ht="33.75" customHeight="1" x14ac:dyDescent="0.2">
      <c r="A29" s="61" t="s">
        <v>4662</v>
      </c>
      <c r="B29" s="62"/>
      <c r="C29" s="61" t="e">
        <f>Basis!#REF!</f>
        <v>#REF!</v>
      </c>
    </row>
    <row r="30" spans="1:3" ht="22.5" customHeight="1" x14ac:dyDescent="0.2">
      <c r="A30" s="61" t="s">
        <v>4663</v>
      </c>
      <c r="B30" s="62"/>
      <c r="C30" s="61" t="e">
        <f>Basis!#REF!</f>
        <v>#REF!</v>
      </c>
    </row>
    <row r="31" spans="1:3" ht="22.5" customHeight="1" x14ac:dyDescent="0.2">
      <c r="A31" s="61" t="s">
        <v>4664</v>
      </c>
      <c r="B31" s="62"/>
      <c r="C31" s="61" t="e">
        <f>Basis!#REF!</f>
        <v>#REF!</v>
      </c>
    </row>
    <row r="32" spans="1:3" ht="33.75" customHeight="1" x14ac:dyDescent="0.2">
      <c r="A32" s="61" t="s">
        <v>4665</v>
      </c>
      <c r="B32" s="62"/>
      <c r="C32" s="61" t="e">
        <f>Basis!#REF!</f>
        <v>#REF!</v>
      </c>
    </row>
    <row r="33" spans="1:3" ht="22.5" customHeight="1" x14ac:dyDescent="0.2">
      <c r="A33" s="61" t="s">
        <v>4666</v>
      </c>
      <c r="B33" s="62"/>
      <c r="C33" s="61" t="e">
        <f>Basis!#REF!</f>
        <v>#REF!</v>
      </c>
    </row>
    <row r="34" spans="1:3" ht="22.5" customHeight="1" x14ac:dyDescent="0.2">
      <c r="A34" s="61" t="s">
        <v>4667</v>
      </c>
      <c r="B34" s="62"/>
      <c r="C34" s="61" t="e">
        <f>Basis!#REF!</f>
        <v>#REF!</v>
      </c>
    </row>
    <row r="35" spans="1:3" x14ac:dyDescent="0.2">
      <c r="A35" s="61" t="s">
        <v>4668</v>
      </c>
      <c r="B35" s="62"/>
      <c r="C35" s="61" t="e">
        <f>Basis!#REF!</f>
        <v>#REF!</v>
      </c>
    </row>
    <row r="36" spans="1:3" x14ac:dyDescent="0.2">
      <c r="A36" s="61" t="s">
        <v>4669</v>
      </c>
      <c r="B36" s="62" t="s">
        <v>4670</v>
      </c>
      <c r="C36" s="61" t="e">
        <f>Basis!#REF!</f>
        <v>#REF!</v>
      </c>
    </row>
    <row r="37" spans="1:3" x14ac:dyDescent="0.2">
      <c r="B37" s="62" t="s">
        <v>4671</v>
      </c>
      <c r="C37" s="64" t="e">
        <f>Basis!#REF!</f>
        <v>#REF!</v>
      </c>
    </row>
    <row r="38" spans="1:3" ht="22.5" customHeight="1" x14ac:dyDescent="0.2">
      <c r="A38" s="61" t="s">
        <v>4672</v>
      </c>
      <c r="B38" s="62"/>
      <c r="C38" s="61" t="e">
        <f>Basis!#REF!</f>
        <v>#REF!</v>
      </c>
    </row>
    <row r="39" spans="1:3" x14ac:dyDescent="0.2">
      <c r="A39" s="61" t="s">
        <v>4673</v>
      </c>
      <c r="B39" s="62"/>
      <c r="C39" s="61" t="e">
        <f>Basis!#REF!</f>
        <v>#REF!</v>
      </c>
    </row>
    <row r="40" spans="1:3" x14ac:dyDescent="0.2">
      <c r="A40" s="61" t="s">
        <v>47</v>
      </c>
      <c r="B40" s="62"/>
      <c r="C40" s="61" t="e">
        <f>Basis!#REF!</f>
        <v>#REF!</v>
      </c>
    </row>
    <row r="41" spans="1:3" ht="22.5" customHeight="1" x14ac:dyDescent="0.2">
      <c r="A41" s="61" t="s">
        <v>4674</v>
      </c>
      <c r="B41" s="62"/>
      <c r="C41" s="61" t="e">
        <f>Basis!#REF!</f>
        <v>#REF!</v>
      </c>
    </row>
    <row r="42" spans="1:3" ht="22.5" customHeight="1" x14ac:dyDescent="0.2">
      <c r="A42" s="61" t="s">
        <v>4675</v>
      </c>
      <c r="B42" s="62"/>
      <c r="C42" s="61" t="e">
        <f>Basis!#REF!</f>
        <v>#REF!</v>
      </c>
    </row>
    <row r="43" spans="1:3" ht="22.5" customHeight="1" x14ac:dyDescent="0.2">
      <c r="A43" s="61" t="s">
        <v>4676</v>
      </c>
      <c r="B43" s="62"/>
      <c r="C43" s="61" t="e">
        <f>Basis!#REF!</f>
        <v>#REF!</v>
      </c>
    </row>
    <row r="44" spans="1:3" ht="22.5" customHeight="1" x14ac:dyDescent="0.2">
      <c r="A44" s="61" t="s">
        <v>4677</v>
      </c>
      <c r="B44" s="62"/>
      <c r="C44" s="61" t="e">
        <f>Basis!#REF!</f>
        <v>#REF!</v>
      </c>
    </row>
    <row r="45" spans="1:3" ht="22.5" customHeight="1" x14ac:dyDescent="0.2">
      <c r="A45" s="61" t="s">
        <v>52</v>
      </c>
      <c r="B45" s="62"/>
    </row>
    <row r="46" spans="1:3" x14ac:dyDescent="0.2">
      <c r="A46" s="61" t="s">
        <v>4678</v>
      </c>
      <c r="B46" s="62"/>
      <c r="C46" s="61" t="e">
        <f>Basis!#REF!</f>
        <v>#REF!</v>
      </c>
    </row>
    <row r="47" spans="1:3" ht="45" customHeight="1" x14ac:dyDescent="0.2">
      <c r="A47" s="61" t="s">
        <v>4679</v>
      </c>
      <c r="B47" s="62"/>
      <c r="C47" s="61" t="e">
        <f>Basis!#REF!</f>
        <v>#REF!</v>
      </c>
    </row>
    <row r="48" spans="1:3" ht="22.5" customHeight="1" x14ac:dyDescent="0.2">
      <c r="A48" s="61" t="s">
        <v>4680</v>
      </c>
      <c r="B48" s="62"/>
      <c r="C48" s="61" t="e">
        <f>Basis!#REF!</f>
        <v>#REF!</v>
      </c>
    </row>
    <row r="49" spans="1:3" ht="33.75" customHeight="1" x14ac:dyDescent="0.2">
      <c r="A49" s="61" t="s">
        <v>4681</v>
      </c>
      <c r="B49" s="62"/>
      <c r="C49" s="61" t="e">
        <f>Basis!#REF!</f>
        <v>#REF!</v>
      </c>
    </row>
    <row r="50" spans="1:3" ht="33.75" customHeight="1" x14ac:dyDescent="0.2">
      <c r="A50" s="61" t="s">
        <v>4682</v>
      </c>
      <c r="B50" s="62"/>
    </row>
    <row r="51" spans="1:3" ht="22.5" customHeight="1" x14ac:dyDescent="0.2">
      <c r="A51" s="61" t="s">
        <v>4683</v>
      </c>
      <c r="B51" s="62">
        <v>0</v>
      </c>
      <c r="C51" s="61" t="e">
        <f>Basis!#REF!</f>
        <v>#REF!</v>
      </c>
    </row>
    <row r="52" spans="1:3" x14ac:dyDescent="0.2">
      <c r="B52" s="62">
        <v>45</v>
      </c>
      <c r="C52" s="61" t="e">
        <f>Basis!#REF!</f>
        <v>#REF!</v>
      </c>
    </row>
    <row r="53" spans="1:3" x14ac:dyDescent="0.2">
      <c r="B53" s="62" t="s">
        <v>4684</v>
      </c>
      <c r="C53" s="61" t="e">
        <f>Basis!#REF!</f>
        <v>#REF!</v>
      </c>
    </row>
    <row r="54" spans="1:3" x14ac:dyDescent="0.2">
      <c r="B54" s="62">
        <v>60</v>
      </c>
      <c r="C54" s="61" t="e">
        <f>Basis!#REF!</f>
        <v>#REF!</v>
      </c>
    </row>
    <row r="55" spans="1:3" x14ac:dyDescent="0.2">
      <c r="B55" s="62" t="s">
        <v>4685</v>
      </c>
      <c r="C55" s="61" t="e">
        <f>Basis!#REF!</f>
        <v>#REF!</v>
      </c>
    </row>
    <row r="56" spans="1:3" x14ac:dyDescent="0.2">
      <c r="B56" s="62">
        <v>80</v>
      </c>
      <c r="C56" s="61" t="e">
        <f>Basis!#REF!</f>
        <v>#REF!</v>
      </c>
    </row>
    <row r="57" spans="1:3" x14ac:dyDescent="0.2">
      <c r="B57" s="62" t="s">
        <v>4686</v>
      </c>
      <c r="C57" s="61" t="e">
        <f>Basis!#REF!</f>
        <v>#REF!</v>
      </c>
    </row>
    <row r="58" spans="1:3" x14ac:dyDescent="0.2">
      <c r="B58" s="62">
        <v>110</v>
      </c>
      <c r="C58" s="61" t="e">
        <f>Basis!#REF!</f>
        <v>#REF!</v>
      </c>
    </row>
    <row r="59" spans="1:3" x14ac:dyDescent="0.2">
      <c r="B59" s="62" t="s">
        <v>793</v>
      </c>
      <c r="C59" s="61" t="e">
        <f>Basis!#REF!</f>
        <v>#REF!</v>
      </c>
    </row>
    <row r="60" spans="1:3" x14ac:dyDescent="0.2">
      <c r="B60" s="62" t="s">
        <v>1223</v>
      </c>
      <c r="C60" s="61" t="e">
        <f>Basis!#REF!</f>
        <v>#REF!</v>
      </c>
    </row>
    <row r="61" spans="1:3" x14ac:dyDescent="0.2">
      <c r="B61" s="62">
        <v>180</v>
      </c>
      <c r="C61" s="61" t="e">
        <f>Basis!#REF!</f>
        <v>#REF!</v>
      </c>
    </row>
    <row r="62" spans="1:3" x14ac:dyDescent="0.2">
      <c r="B62" s="62" t="s">
        <v>4687</v>
      </c>
      <c r="C62" s="61" t="e">
        <f>Basis!#REF!</f>
        <v>#REF!</v>
      </c>
    </row>
    <row r="63" spans="1:3" x14ac:dyDescent="0.2">
      <c r="A63" s="61" t="s">
        <v>4688</v>
      </c>
      <c r="B63" s="62"/>
      <c r="C63" s="61" t="e">
        <f>Basis!#REF!</f>
        <v>#REF!</v>
      </c>
    </row>
    <row r="64" spans="1:3" ht="33.75" customHeight="1" x14ac:dyDescent="0.2">
      <c r="A64" s="61" t="s">
        <v>4689</v>
      </c>
      <c r="B64" s="62"/>
      <c r="C64" s="61" t="e">
        <f>Basis!#REF!</f>
        <v>#REF!</v>
      </c>
    </row>
    <row r="65" spans="1:4" x14ac:dyDescent="0.2">
      <c r="A65" s="61" t="s">
        <v>4690</v>
      </c>
      <c r="B65" s="62"/>
      <c r="C65" s="61" t="e">
        <f>Basis!#REF!</f>
        <v>#REF!</v>
      </c>
    </row>
    <row r="66" spans="1:4" ht="22.5" customHeight="1" x14ac:dyDescent="0.2">
      <c r="A66" s="61" t="s">
        <v>4691</v>
      </c>
      <c r="B66" s="62"/>
      <c r="C66" s="61" t="e">
        <f>Basis!#REF!</f>
        <v>#REF!</v>
      </c>
    </row>
    <row r="67" spans="1:4" ht="33.75" customHeight="1" x14ac:dyDescent="0.2">
      <c r="A67" s="61" t="s">
        <v>63</v>
      </c>
      <c r="B67" s="62"/>
      <c r="C67" s="61" t="e">
        <f>Basis!#REF!</f>
        <v>#REF!</v>
      </c>
    </row>
    <row r="68" spans="1:4" ht="22.5" customHeight="1" x14ac:dyDescent="0.2">
      <c r="A68" s="61" t="s">
        <v>4692</v>
      </c>
      <c r="B68" s="62" t="s">
        <v>4693</v>
      </c>
      <c r="C68" s="61" t="e">
        <f>Basis!#REF!</f>
        <v>#REF!</v>
      </c>
    </row>
    <row r="69" spans="1:4" x14ac:dyDescent="0.2">
      <c r="B69" s="62" t="s">
        <v>4694</v>
      </c>
      <c r="C69" s="61" t="e">
        <f>Basis!#REF!</f>
        <v>#REF!</v>
      </c>
    </row>
    <row r="70" spans="1:4" x14ac:dyDescent="0.2">
      <c r="B70" s="62" t="s">
        <v>4695</v>
      </c>
      <c r="C70" s="61" t="e">
        <f>Basis!#REF!</f>
        <v>#REF!</v>
      </c>
    </row>
    <row r="71" spans="1:4" x14ac:dyDescent="0.2">
      <c r="B71" s="62" t="s">
        <v>4696</v>
      </c>
      <c r="C71" s="61" t="e">
        <f>Basis!#REF!</f>
        <v>#REF!</v>
      </c>
    </row>
    <row r="72" spans="1:4" x14ac:dyDescent="0.2">
      <c r="B72" s="62" t="s">
        <v>1961</v>
      </c>
      <c r="C72" s="61" t="e">
        <f>Basis!#REF!</f>
        <v>#REF!</v>
      </c>
    </row>
    <row r="73" spans="1:4" ht="33.75" customHeight="1" x14ac:dyDescent="0.2">
      <c r="A73" s="61" t="s">
        <v>4697</v>
      </c>
      <c r="B73" s="62"/>
      <c r="C73" s="65" t="e">
        <f>Basis!#REF!</f>
        <v>#REF!</v>
      </c>
    </row>
    <row r="74" spans="1:4" ht="22.5" customHeight="1" x14ac:dyDescent="0.2">
      <c r="A74" s="61" t="s">
        <v>4698</v>
      </c>
      <c r="B74" s="62"/>
      <c r="C74" s="61" t="e">
        <f>Basis!#REF!</f>
        <v>#REF!</v>
      </c>
    </row>
    <row r="75" spans="1:4" x14ac:dyDescent="0.2">
      <c r="A75" s="61" t="s">
        <v>67</v>
      </c>
      <c r="B75" s="62"/>
      <c r="C75" s="61" t="e">
        <f>Basis!#REF!</f>
        <v>#REF!</v>
      </c>
    </row>
    <row r="76" spans="1:4" x14ac:dyDescent="0.2">
      <c r="A76" s="61" t="s">
        <v>68</v>
      </c>
      <c r="B76" s="62"/>
      <c r="C76" s="61" t="e">
        <f>Basis!#REF!</f>
        <v>#REF!</v>
      </c>
    </row>
    <row r="77" spans="1:4" x14ac:dyDescent="0.2">
      <c r="A77" s="61" t="s">
        <v>147</v>
      </c>
      <c r="B77" s="62"/>
      <c r="C77" s="61" t="e">
        <f>Basis!#REF!</f>
        <v>#REF!</v>
      </c>
    </row>
    <row r="78" spans="1:4" x14ac:dyDescent="0.2">
      <c r="A78" s="61" t="s">
        <v>70</v>
      </c>
      <c r="B78" s="62"/>
      <c r="C78" s="61" t="e">
        <f>Basis!#REF!</f>
        <v>#REF!</v>
      </c>
    </row>
    <row r="79" spans="1:4" x14ac:dyDescent="0.2">
      <c r="A79" s="61" t="s">
        <v>4699</v>
      </c>
      <c r="B79" s="62"/>
      <c r="C79" s="61" t="e">
        <f>Basis!#REF!</f>
        <v>#REF!</v>
      </c>
      <c r="D79" s="61" t="e">
        <f>C79-Basis!#REF!</f>
        <v>#REF!</v>
      </c>
    </row>
    <row r="80" spans="1:4" x14ac:dyDescent="0.2">
      <c r="A80" s="61" t="s">
        <v>72</v>
      </c>
      <c r="B80" s="62"/>
      <c r="C80" s="61" t="e">
        <f>Basis!#REF!</f>
        <v>#REF!</v>
      </c>
    </row>
    <row r="81" spans="1:3" ht="22.5" customHeight="1" x14ac:dyDescent="0.2">
      <c r="A81" s="61" t="s">
        <v>73</v>
      </c>
      <c r="B81" s="62"/>
      <c r="C81" s="61" t="e">
        <f>Basis!#REF!</f>
        <v>#REF!</v>
      </c>
    </row>
    <row r="82" spans="1:3" ht="22.5" customHeight="1" x14ac:dyDescent="0.2">
      <c r="A82" s="61" t="s">
        <v>74</v>
      </c>
      <c r="B82" s="62" t="s">
        <v>4693</v>
      </c>
      <c r="C82" s="61" t="e">
        <f>Basis!#REF!</f>
        <v>#REF!</v>
      </c>
    </row>
    <row r="83" spans="1:3" x14ac:dyDescent="0.2">
      <c r="B83" s="62" t="s">
        <v>4700</v>
      </c>
      <c r="C83" s="61" t="e">
        <f>Basis!#REF!</f>
        <v>#REF!</v>
      </c>
    </row>
    <row r="84" spans="1:3" x14ac:dyDescent="0.2">
      <c r="B84" s="62" t="s">
        <v>4701</v>
      </c>
      <c r="C84" s="61" t="e">
        <f>Basis!#REF!</f>
        <v>#REF!</v>
      </c>
    </row>
    <row r="85" spans="1:3" ht="22.5" customHeight="1" x14ac:dyDescent="0.2">
      <c r="A85" s="61" t="s">
        <v>76</v>
      </c>
      <c r="B85" s="62"/>
    </row>
  </sheetData>
  <mergeCells count="1">
    <mergeCell ref="A1:B1"/>
  </mergeCells>
  <pageMargins left="0.7" right="0.7" top="0.78740157499999996" bottom="0.78740157499999996"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F73"/>
  <sheetViews>
    <sheetView topLeftCell="A13" zoomScaleNormal="100" workbookViewId="0">
      <selection activeCell="E20" sqref="E20:E23"/>
    </sheetView>
  </sheetViews>
  <sheetFormatPr baseColWidth="10" defaultRowHeight="11.4" x14ac:dyDescent="0.2"/>
  <cols>
    <col min="2" max="2" width="62.19921875" style="58" customWidth="1"/>
    <col min="3" max="3" width="44.59765625" style="58" customWidth="1"/>
    <col min="4" max="4" width="34.3984375" style="58" customWidth="1"/>
    <col min="6" max="6" width="36.19921875" style="58" customWidth="1"/>
  </cols>
  <sheetData>
    <row r="1" spans="1:1" ht="14.25" customHeight="1" x14ac:dyDescent="0.25">
      <c r="A1" s="1" t="s">
        <v>4702</v>
      </c>
    </row>
    <row r="6" spans="1:1" x14ac:dyDescent="0.2">
      <c r="A6" t="s">
        <v>4703</v>
      </c>
    </row>
    <row r="7" spans="1:1" x14ac:dyDescent="0.2">
      <c r="A7" t="s">
        <v>4704</v>
      </c>
    </row>
    <row r="9" spans="1:1" x14ac:dyDescent="0.2">
      <c r="A9" s="2" t="s">
        <v>4705</v>
      </c>
    </row>
    <row r="13" spans="1:1" x14ac:dyDescent="0.2">
      <c r="A13" t="s">
        <v>4706</v>
      </c>
    </row>
    <row r="14" spans="1:1" x14ac:dyDescent="0.2">
      <c r="A14" t="s">
        <v>4707</v>
      </c>
    </row>
    <row r="15" spans="1:1" x14ac:dyDescent="0.2">
      <c r="A15" t="s">
        <v>4708</v>
      </c>
    </row>
    <row r="18" spans="1:6" x14ac:dyDescent="0.2">
      <c r="A18" t="s">
        <v>4709</v>
      </c>
    </row>
    <row r="19" spans="1:6" x14ac:dyDescent="0.2">
      <c r="A19" s="40" t="s">
        <v>4710</v>
      </c>
      <c r="B19" s="40" t="s">
        <v>4711</v>
      </c>
      <c r="C19" s="52" t="s">
        <v>20</v>
      </c>
      <c r="D19" s="40" t="s">
        <v>22</v>
      </c>
      <c r="E19" s="40" t="s">
        <v>18</v>
      </c>
      <c r="F19" s="40" t="s">
        <v>4712</v>
      </c>
    </row>
    <row r="20" spans="1:6" x14ac:dyDescent="0.2">
      <c r="A20" s="43"/>
      <c r="B20" s="43" t="s">
        <v>257</v>
      </c>
      <c r="C20" s="43" t="s">
        <v>203</v>
      </c>
      <c r="D20" s="43" t="s">
        <v>68</v>
      </c>
      <c r="E20" s="43" t="s">
        <v>121</v>
      </c>
      <c r="F20" s="43" t="s">
        <v>122</v>
      </c>
    </row>
    <row r="21" spans="1:6" x14ac:dyDescent="0.2">
      <c r="A21" s="43"/>
      <c r="B21" s="43" t="s">
        <v>374</v>
      </c>
      <c r="C21" s="43" t="s">
        <v>123</v>
      </c>
      <c r="D21" s="43" t="s">
        <v>252</v>
      </c>
      <c r="E21" s="43" t="s">
        <v>146</v>
      </c>
      <c r="F21" s="43" t="s">
        <v>130</v>
      </c>
    </row>
    <row r="22" spans="1:6" x14ac:dyDescent="0.2">
      <c r="A22" s="43"/>
      <c r="B22" s="43" t="s">
        <v>190</v>
      </c>
      <c r="C22" s="43" t="s">
        <v>420</v>
      </c>
      <c r="D22" s="43" t="s">
        <v>229</v>
      </c>
      <c r="E22" s="43" t="s">
        <v>470</v>
      </c>
      <c r="F22" s="43" t="s">
        <v>834</v>
      </c>
    </row>
    <row r="23" spans="1:6" x14ac:dyDescent="0.2">
      <c r="A23" s="43"/>
      <c r="B23" s="43" t="s">
        <v>120</v>
      </c>
      <c r="C23" t="s">
        <v>719</v>
      </c>
      <c r="D23" s="43" t="s">
        <v>421</v>
      </c>
      <c r="E23" s="43" t="s">
        <v>1193</v>
      </c>
    </row>
    <row r="24" spans="1:6" x14ac:dyDescent="0.2">
      <c r="A24" s="43"/>
      <c r="B24" s="43" t="s">
        <v>480</v>
      </c>
      <c r="C24" s="43" t="s">
        <v>458</v>
      </c>
      <c r="D24" s="43" t="s">
        <v>4713</v>
      </c>
    </row>
    <row r="25" spans="1:6" x14ac:dyDescent="0.2">
      <c r="A25" s="43"/>
      <c r="B25" s="43" t="s">
        <v>262</v>
      </c>
      <c r="C25" s="43" t="s">
        <v>2660</v>
      </c>
      <c r="D25" s="43" t="s">
        <v>147</v>
      </c>
    </row>
    <row r="26" spans="1:6" x14ac:dyDescent="0.2">
      <c r="A26" s="43"/>
      <c r="B26" s="43" t="s">
        <v>163</v>
      </c>
      <c r="C26" s="43" t="s">
        <v>4714</v>
      </c>
      <c r="D26" s="43" t="s">
        <v>67</v>
      </c>
    </row>
    <row r="27" spans="1:6" x14ac:dyDescent="0.2">
      <c r="A27" s="43"/>
      <c r="B27" s="43" t="s">
        <v>157</v>
      </c>
      <c r="C27" s="55" t="s">
        <v>4715</v>
      </c>
      <c r="D27" s="43" t="s">
        <v>4716</v>
      </c>
    </row>
    <row r="28" spans="1:6" x14ac:dyDescent="0.2">
      <c r="A28" s="43"/>
      <c r="B28" s="43" t="s">
        <v>4717</v>
      </c>
      <c r="C28" s="43" t="s">
        <v>1575</v>
      </c>
      <c r="D28" s="53" t="s">
        <v>1959</v>
      </c>
    </row>
    <row r="29" spans="1:6" x14ac:dyDescent="0.2">
      <c r="A29" s="51"/>
      <c r="B29" s="51" t="s">
        <v>1463</v>
      </c>
      <c r="C29" s="55" t="s">
        <v>4718</v>
      </c>
    </row>
    <row r="30" spans="1:6" s="43" customFormat="1" x14ac:dyDescent="0.2">
      <c r="B30" s="43" t="s">
        <v>4719</v>
      </c>
      <c r="C30" s="43" t="s">
        <v>4720</v>
      </c>
    </row>
    <row r="31" spans="1:6" x14ac:dyDescent="0.2">
      <c r="A31" s="43"/>
      <c r="B31" s="43" t="s">
        <v>4721</v>
      </c>
      <c r="C31" s="43" t="s">
        <v>4722</v>
      </c>
    </row>
    <row r="32" spans="1:6" x14ac:dyDescent="0.2">
      <c r="A32" s="43"/>
      <c r="B32" s="43" t="s">
        <v>1620</v>
      </c>
      <c r="C32" s="43" t="s">
        <v>4723</v>
      </c>
    </row>
    <row r="33" spans="1:4" x14ac:dyDescent="0.2">
      <c r="C33" s="43" t="s">
        <v>275</v>
      </c>
    </row>
    <row r="34" spans="1:4" x14ac:dyDescent="0.2">
      <c r="C34" s="55" t="s">
        <v>4724</v>
      </c>
    </row>
    <row r="35" spans="1:4" x14ac:dyDescent="0.2">
      <c r="C35" s="43" t="s">
        <v>4725</v>
      </c>
    </row>
    <row r="36" spans="1:4" x14ac:dyDescent="0.2">
      <c r="A36" t="s">
        <v>4726</v>
      </c>
      <c r="C36" s="43" t="s">
        <v>4727</v>
      </c>
    </row>
    <row r="37" spans="1:4" x14ac:dyDescent="0.2">
      <c r="A37" s="40" t="s">
        <v>4728</v>
      </c>
      <c r="B37" s="40" t="s">
        <v>4729</v>
      </c>
      <c r="C37" s="43" t="s">
        <v>4730</v>
      </c>
    </row>
    <row r="38" spans="1:4" x14ac:dyDescent="0.2">
      <c r="A38" s="54"/>
      <c r="B38" s="54" t="s">
        <v>4731</v>
      </c>
      <c r="C38" s="40" t="s">
        <v>4732</v>
      </c>
    </row>
    <row r="39" spans="1:4" x14ac:dyDescent="0.2">
      <c r="A39" s="43"/>
      <c r="B39" s="43" t="s">
        <v>4733</v>
      </c>
      <c r="C39" s="43" t="s">
        <v>3133</v>
      </c>
    </row>
    <row r="40" spans="1:4" x14ac:dyDescent="0.2">
      <c r="A40" s="43"/>
      <c r="B40" s="43" t="s">
        <v>4734</v>
      </c>
      <c r="C40" s="43" t="s">
        <v>3246</v>
      </c>
    </row>
    <row r="41" spans="1:4" x14ac:dyDescent="0.2">
      <c r="A41" s="43"/>
      <c r="B41" s="43" t="s">
        <v>4735</v>
      </c>
      <c r="C41" s="43"/>
    </row>
    <row r="42" spans="1:4" x14ac:dyDescent="0.2">
      <c r="A42" s="43"/>
      <c r="B42" s="43" t="s">
        <v>4736</v>
      </c>
      <c r="C42" s="43"/>
    </row>
    <row r="43" spans="1:4" x14ac:dyDescent="0.2">
      <c r="A43" s="43"/>
      <c r="B43" s="43" t="s">
        <v>4737</v>
      </c>
    </row>
    <row r="44" spans="1:4" x14ac:dyDescent="0.2">
      <c r="A44" s="43"/>
      <c r="B44" s="43" t="s">
        <v>4738</v>
      </c>
    </row>
    <row r="45" spans="1:4" x14ac:dyDescent="0.2">
      <c r="A45" s="43"/>
      <c r="B45" s="43" t="s">
        <v>4739</v>
      </c>
    </row>
    <row r="46" spans="1:4" x14ac:dyDescent="0.2">
      <c r="A46" s="43"/>
      <c r="B46" s="43" t="s">
        <v>3080</v>
      </c>
      <c r="D46" s="43" t="s">
        <v>302</v>
      </c>
    </row>
    <row r="47" spans="1:4" x14ac:dyDescent="0.2">
      <c r="A47" s="43"/>
      <c r="B47" s="43"/>
      <c r="D47" s="43" t="s">
        <v>168</v>
      </c>
    </row>
    <row r="48" spans="1:4" x14ac:dyDescent="0.2">
      <c r="A48" s="43"/>
      <c r="B48" s="43" t="s">
        <v>4740</v>
      </c>
      <c r="D48" s="43" t="s">
        <v>124</v>
      </c>
    </row>
    <row r="49" spans="1:6" x14ac:dyDescent="0.2">
      <c r="A49" s="43"/>
      <c r="B49" s="43" t="s">
        <v>4741</v>
      </c>
      <c r="D49" t="s">
        <v>230</v>
      </c>
    </row>
    <row r="50" spans="1:6" x14ac:dyDescent="0.2">
      <c r="A50" s="43"/>
      <c r="B50" s="43" t="s">
        <v>4742</v>
      </c>
      <c r="D50" t="s">
        <v>118</v>
      </c>
    </row>
    <row r="52" spans="1:6" x14ac:dyDescent="0.2">
      <c r="A52" t="s">
        <v>4743</v>
      </c>
    </row>
    <row r="53" spans="1:6" x14ac:dyDescent="0.2">
      <c r="A53" s="40" t="s">
        <v>4744</v>
      </c>
      <c r="B53" s="40" t="s">
        <v>4745</v>
      </c>
    </row>
    <row r="54" spans="1:6" ht="12.75" customHeight="1" x14ac:dyDescent="0.2">
      <c r="A54" s="44">
        <v>0</v>
      </c>
      <c r="B54" s="45" t="s">
        <v>4746</v>
      </c>
      <c r="D54" s="41"/>
      <c r="E54" s="41"/>
      <c r="F54" s="41"/>
    </row>
    <row r="55" spans="1:6" ht="12.75" customHeight="1" x14ac:dyDescent="0.2">
      <c r="A55" s="44">
        <v>1</v>
      </c>
      <c r="B55" s="45" t="s">
        <v>4747</v>
      </c>
      <c r="D55" s="41"/>
      <c r="E55" s="41"/>
      <c r="F55" s="41"/>
    </row>
    <row r="56" spans="1:6" ht="27.75" customHeight="1" x14ac:dyDescent="0.2">
      <c r="A56" s="44">
        <v>2</v>
      </c>
      <c r="B56" s="45" t="s">
        <v>4748</v>
      </c>
      <c r="D56" s="41"/>
      <c r="E56" s="41"/>
      <c r="F56" s="41"/>
    </row>
    <row r="57" spans="1:6" ht="24.75" customHeight="1" x14ac:dyDescent="0.2">
      <c r="A57" s="46">
        <v>3</v>
      </c>
      <c r="B57" s="45" t="s">
        <v>4749</v>
      </c>
      <c r="D57" s="41"/>
      <c r="E57" s="41"/>
      <c r="F57" s="41"/>
    </row>
    <row r="60" spans="1:6" x14ac:dyDescent="0.2">
      <c r="A60" s="47"/>
      <c r="B60" s="48"/>
    </row>
    <row r="61" spans="1:6" x14ac:dyDescent="0.2">
      <c r="A61" s="43"/>
      <c r="B61" s="49"/>
    </row>
    <row r="62" spans="1:6" x14ac:dyDescent="0.2">
      <c r="A62" s="43"/>
      <c r="B62" s="49"/>
    </row>
    <row r="63" spans="1:6" ht="12.75" customHeight="1" x14ac:dyDescent="0.2">
      <c r="A63" s="43"/>
      <c r="B63" s="43"/>
      <c r="C63" s="42"/>
    </row>
    <row r="64" spans="1:6" ht="12.75" customHeight="1" x14ac:dyDescent="0.2">
      <c r="A64" s="43"/>
      <c r="B64" s="49"/>
      <c r="C64" s="42"/>
    </row>
    <row r="65" spans="3:3" ht="12.75" customHeight="1" x14ac:dyDescent="0.2">
      <c r="C65" s="42"/>
    </row>
    <row r="66" spans="3:3" ht="12.75" customHeight="1" x14ac:dyDescent="0.2">
      <c r="C66" s="42"/>
    </row>
    <row r="69" spans="3:3" x14ac:dyDescent="0.2">
      <c r="C69" s="40"/>
    </row>
    <row r="70" spans="3:3" x14ac:dyDescent="0.2">
      <c r="C70" s="50"/>
    </row>
    <row r="71" spans="3:3" x14ac:dyDescent="0.2">
      <c r="C71" s="50"/>
    </row>
    <row r="72" spans="3:3" x14ac:dyDescent="0.2">
      <c r="C72" s="50"/>
    </row>
    <row r="73" spans="3:3" x14ac:dyDescent="0.2">
      <c r="C73" s="50"/>
    </row>
  </sheetData>
  <pageMargins left="0.70866141732283472" right="0.70866141732283472" top="0.78740157480314965" bottom="0.78740157480314965" header="0.31496062992125978" footer="0.31496062992125978"/>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M41"/>
  <sheetViews>
    <sheetView workbookViewId="0">
      <selection activeCell="E8" sqref="E8"/>
    </sheetView>
  </sheetViews>
  <sheetFormatPr baseColWidth="10" defaultRowHeight="11.4" x14ac:dyDescent="0.2"/>
  <cols>
    <col min="1" max="1" width="16" style="58" customWidth="1"/>
    <col min="2" max="3" width="11" style="12" customWidth="1"/>
    <col min="4" max="4" width="12.19921875" style="12" customWidth="1"/>
    <col min="5" max="5" width="11" style="12" customWidth="1"/>
    <col min="6" max="6" width="28.09765625" style="15" customWidth="1"/>
    <col min="7" max="7" width="4.69921875" style="58" customWidth="1"/>
    <col min="13" max="13" width="2.5" style="58" customWidth="1"/>
  </cols>
  <sheetData>
    <row r="1" spans="1:4" ht="14.25" customHeight="1" x14ac:dyDescent="0.25">
      <c r="A1" s="1" t="s">
        <v>4702</v>
      </c>
    </row>
    <row r="3" spans="1:4" x14ac:dyDescent="0.2">
      <c r="A3" s="30"/>
      <c r="B3" s="31"/>
      <c r="C3" s="31"/>
      <c r="D3" s="32"/>
    </row>
    <row r="4" spans="1:4" x14ac:dyDescent="0.2">
      <c r="A4" s="43"/>
      <c r="B4" s="10"/>
      <c r="C4" s="9"/>
      <c r="D4" s="8"/>
    </row>
    <row r="5" spans="1:4" x14ac:dyDescent="0.2">
      <c r="B5" s="14"/>
      <c r="D5" s="15"/>
    </row>
    <row r="6" spans="1:4" x14ac:dyDescent="0.2">
      <c r="A6" s="33"/>
      <c r="B6" s="31"/>
      <c r="C6" s="34"/>
      <c r="D6" s="35"/>
    </row>
    <row r="7" spans="1:4" x14ac:dyDescent="0.2">
      <c r="A7" s="3"/>
      <c r="B7" s="17"/>
      <c r="C7" s="27"/>
      <c r="D7" s="24"/>
    </row>
    <row r="8" spans="1:4" x14ac:dyDescent="0.2">
      <c r="A8" s="3"/>
      <c r="B8" s="17"/>
      <c r="C8" s="27"/>
      <c r="D8" s="25"/>
    </row>
    <row r="9" spans="1:4" x14ac:dyDescent="0.2">
      <c r="A9" s="3"/>
      <c r="B9" s="17"/>
      <c r="C9" s="27"/>
      <c r="D9" s="25"/>
    </row>
    <row r="10" spans="1:4" x14ac:dyDescent="0.2">
      <c r="A10" s="4"/>
      <c r="B10" s="18"/>
      <c r="C10" s="28"/>
      <c r="D10" s="26"/>
    </row>
    <row r="11" spans="1:4" x14ac:dyDescent="0.2">
      <c r="B11" s="19"/>
      <c r="C11" s="29"/>
      <c r="D11" s="15"/>
    </row>
    <row r="12" spans="1:4" x14ac:dyDescent="0.2">
      <c r="A12" s="30"/>
      <c r="B12" s="36"/>
      <c r="C12" s="37"/>
      <c r="D12" s="35"/>
    </row>
    <row r="13" spans="1:4" x14ac:dyDescent="0.2">
      <c r="A13" s="3"/>
      <c r="B13" s="20"/>
      <c r="C13" s="27"/>
      <c r="D13" s="24"/>
    </row>
    <row r="14" spans="1:4" x14ac:dyDescent="0.2">
      <c r="A14" s="3"/>
      <c r="B14" s="17"/>
      <c r="C14" s="27"/>
      <c r="D14" s="25"/>
    </row>
    <row r="15" spans="1:4" x14ac:dyDescent="0.2">
      <c r="A15" s="4"/>
      <c r="B15" s="18"/>
      <c r="C15" s="28"/>
      <c r="D15" s="26"/>
    </row>
    <row r="16" spans="1:4" x14ac:dyDescent="0.2">
      <c r="B16" s="19"/>
      <c r="C16" s="19"/>
      <c r="D16" s="15"/>
    </row>
    <row r="17" spans="1:4" x14ac:dyDescent="0.2">
      <c r="A17" s="30"/>
      <c r="B17" s="36"/>
      <c r="C17" s="38"/>
      <c r="D17" s="35"/>
    </row>
    <row r="18" spans="1:4" ht="12.75" customHeight="1" x14ac:dyDescent="0.2">
      <c r="A18" s="5"/>
      <c r="B18" s="21"/>
      <c r="C18" s="20"/>
      <c r="D18" s="24"/>
    </row>
    <row r="19" spans="1:4" ht="12.75" customHeight="1" x14ac:dyDescent="0.2">
      <c r="A19" s="6"/>
      <c r="B19" s="22"/>
      <c r="C19" s="17"/>
      <c r="D19" s="25"/>
    </row>
    <row r="20" spans="1:4" ht="12.75" customHeight="1" x14ac:dyDescent="0.2">
      <c r="A20" s="6"/>
      <c r="B20" s="22"/>
      <c r="C20" s="17"/>
      <c r="D20" s="25"/>
    </row>
    <row r="21" spans="1:4" ht="12.75" customHeight="1" x14ac:dyDescent="0.2">
      <c r="A21" s="6"/>
      <c r="B21" s="22"/>
      <c r="C21" s="17"/>
      <c r="D21" s="25"/>
    </row>
    <row r="22" spans="1:4" ht="12.75" customHeight="1" x14ac:dyDescent="0.2">
      <c r="A22" s="6"/>
      <c r="B22" s="22"/>
      <c r="C22" s="17"/>
      <c r="D22" s="25"/>
    </row>
    <row r="23" spans="1:4" ht="12.75" customHeight="1" x14ac:dyDescent="0.2">
      <c r="A23" s="6"/>
      <c r="B23" s="22"/>
      <c r="C23" s="17"/>
      <c r="D23" s="25"/>
    </row>
    <row r="24" spans="1:4" ht="12.75" customHeight="1" x14ac:dyDescent="0.2">
      <c r="A24" s="6"/>
      <c r="B24" s="22"/>
      <c r="C24" s="17"/>
      <c r="D24" s="25"/>
    </row>
    <row r="25" spans="1:4" ht="12.75" customHeight="1" x14ac:dyDescent="0.2">
      <c r="A25" s="6"/>
      <c r="B25" s="22"/>
      <c r="C25" s="17"/>
      <c r="D25" s="25"/>
    </row>
    <row r="26" spans="1:4" ht="12.75" customHeight="1" x14ac:dyDescent="0.2">
      <c r="A26" s="7"/>
      <c r="B26" s="23"/>
      <c r="C26" s="18"/>
      <c r="D26" s="26"/>
    </row>
    <row r="27" spans="1:4" x14ac:dyDescent="0.2">
      <c r="B27" s="19"/>
      <c r="C27" s="19"/>
      <c r="D27" s="15"/>
    </row>
    <row r="28" spans="1:4" x14ac:dyDescent="0.2">
      <c r="A28" s="39"/>
      <c r="B28" s="36"/>
      <c r="C28" s="38"/>
      <c r="D28" s="35"/>
    </row>
    <row r="29" spans="1:4" ht="12.75" customHeight="1" x14ac:dyDescent="0.2">
      <c r="A29" s="5"/>
      <c r="B29" s="21"/>
      <c r="C29" s="20"/>
      <c r="D29" s="24"/>
    </row>
    <row r="30" spans="1:4" ht="12.75" customHeight="1" x14ac:dyDescent="0.2">
      <c r="A30" s="6"/>
      <c r="B30" s="22"/>
      <c r="C30" s="17"/>
      <c r="D30" s="25"/>
    </row>
    <row r="31" spans="1:4" ht="12.75" customHeight="1" x14ac:dyDescent="0.2">
      <c r="A31" s="6"/>
      <c r="B31" s="22"/>
      <c r="C31" s="17"/>
      <c r="D31" s="25"/>
    </row>
    <row r="32" spans="1:4" ht="12.75" customHeight="1" x14ac:dyDescent="0.2">
      <c r="A32" s="6"/>
      <c r="B32" s="22"/>
      <c r="C32" s="17"/>
      <c r="D32" s="25"/>
    </row>
    <row r="33" spans="1:4" ht="12.75" customHeight="1" x14ac:dyDescent="0.2">
      <c r="A33" s="6"/>
      <c r="B33" s="22"/>
      <c r="C33" s="17"/>
      <c r="D33" s="25"/>
    </row>
    <row r="34" spans="1:4" ht="12.75" customHeight="1" x14ac:dyDescent="0.2">
      <c r="A34" s="6"/>
      <c r="B34" s="22"/>
      <c r="C34" s="17"/>
      <c r="D34" s="25"/>
    </row>
    <row r="35" spans="1:4" ht="12.75" customHeight="1" x14ac:dyDescent="0.2">
      <c r="A35" s="6"/>
      <c r="B35" s="22"/>
      <c r="C35" s="17"/>
      <c r="D35" s="25"/>
    </row>
    <row r="36" spans="1:4" ht="12.75" customHeight="1" x14ac:dyDescent="0.2">
      <c r="A36" s="6"/>
      <c r="B36" s="22"/>
      <c r="C36" s="17"/>
      <c r="D36" s="25"/>
    </row>
    <row r="37" spans="1:4" ht="12.75" customHeight="1" x14ac:dyDescent="0.2">
      <c r="A37" s="7"/>
      <c r="B37" s="13"/>
      <c r="C37" s="11"/>
      <c r="D37" s="26"/>
    </row>
    <row r="40" spans="1:4" x14ac:dyDescent="0.2">
      <c r="B40" s="16"/>
    </row>
    <row r="41" spans="1:4" x14ac:dyDescent="0.2">
      <c r="B41" s="16"/>
    </row>
  </sheetData>
  <pageMargins left="0.70866141732283472" right="0.70866141732283472" top="0.78740157480314965" bottom="0.78740157480314965" header="0.31496062992125978" footer="0.31496062992125978"/>
  <pageSetup paperSize="9" scale="67"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Basis</vt:lpstr>
      <vt:lpstr>Infos zu dieser Mappe</vt:lpstr>
      <vt:lpstr>Legende_Thomschke</vt:lpstr>
      <vt:lpstr>Datentransfer</vt:lpstr>
      <vt:lpstr>Legende</vt:lpstr>
      <vt:lpstr>Zusammenfassung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Schuhmann, Katharina</dc:creator>
  <cp:lastModifiedBy>Wendler, André</cp:lastModifiedBy>
  <cp:lastPrinted>2022-06-14T10:14:52Z</cp:lastPrinted>
  <dcterms:created xsi:type="dcterms:W3CDTF">2015-02-11T08:00:51Z</dcterms:created>
  <dcterms:modified xsi:type="dcterms:W3CDTF">2022-11-26T09:54:02Z</dcterms:modified>
</cp:coreProperties>
</file>