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Schreibmeister. Wendler+Rüdiger" sheetId="5" state="visible" r:id="rId5"/>
    <sheet name="Legende" sheetId="6" state="visible" r:id="rId6"/>
    <sheet name="Zusammenfassung" sheetId="7" state="visible" r:id="rId7"/>
  </sheets>
  <definedNames>
    <definedName name="_xlnm._FilterDatabase" localSheetId="4" hidden="1">'Schreibmeister. Wendler+Rüdiger'!$A$1:$BL$200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14">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5" fillId="0" borderId="0"/>
    <xf numFmtId="9" fontId="5" fillId="0" borderId="0"/>
    <xf numFmtId="0" fontId="9" fillId="0" borderId="0"/>
  </cellStyleXfs>
  <cellXfs count="11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2" fillId="0" borderId="0" applyAlignment="1" pivotButton="0" quotePrefix="0" xfId="0">
      <alignment horizontal="left" vertical="top"/>
    </xf>
    <xf numFmtId="0" fontId="0" fillId="0" borderId="0" pivotButton="0" quotePrefix="0" xfId="0"/>
    <xf numFmtId="0" fontId="1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9" fillId="0" borderId="0" applyAlignment="1" pivotButton="0" quotePrefix="0" xfId="0">
      <alignment horizontal="left" vertical="top"/>
    </xf>
    <xf numFmtId="0" fontId="8" fillId="0" borderId="0" applyAlignment="1" pivotButton="0" quotePrefix="0" xfId="2">
      <alignment horizontal="left" vertical="top"/>
    </xf>
    <xf numFmtId="0" fontId="3" fillId="2" borderId="11" applyAlignment="1" pivotButton="0" quotePrefix="0" xfId="0">
      <alignment horizontal="center" vertical="top" wrapText="1"/>
    </xf>
    <xf numFmtId="0" fontId="3" fillId="2" borderId="11" applyAlignment="1" pivotButton="0" quotePrefix="0" xfId="0">
      <alignment horizontal="center" vertical="top"/>
    </xf>
    <xf numFmtId="0" fontId="3" fillId="2" borderId="1" applyAlignment="1" pivotButton="0" quotePrefix="0" xfId="0">
      <alignment vertical="top" wrapText="1"/>
    </xf>
    <xf numFmtId="0" fontId="0" fillId="0" borderId="0" applyAlignment="1" pivotButton="0" quotePrefix="0" xfId="0">
      <alignment vertical="top"/>
    </xf>
    <xf numFmtId="165" fontId="0" fillId="0" borderId="0" applyAlignment="1" pivotButton="0" quotePrefix="0" xfId="0">
      <alignmen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5" applyAlignment="1" pivotButton="0" quotePrefix="0" xfId="0">
      <alignment horizontal="left" vertical="top" wrapText="1"/>
    </xf>
    <xf numFmtId="0" fontId="0" fillId="0" borderId="0" applyAlignment="1" pivotButton="0" quotePrefix="0" xfId="0">
      <alignment horizontal="righ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1"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9" applyAlignment="1" pivotButton="0" quotePrefix="0" xfId="0">
      <alignment horizontal="left" vertical="top"/>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13" fillId="0" borderId="0" applyAlignment="1" pivotButton="0" quotePrefix="0" xfId="0">
      <alignment horizontal="center" vertical="top" wrapText="1"/>
    </xf>
    <xf numFmtId="0" fontId="0" fillId="0" borderId="13" applyAlignment="1" pivotButton="0" quotePrefix="0" xfId="0">
      <alignment horizontal="left" vertical="top" wrapText="1"/>
    </xf>
    <xf numFmtId="0" fontId="0" fillId="0" borderId="13" applyAlignment="1" pivotButton="0" quotePrefix="0" xfId="0">
      <alignment horizontal="left" vertical="top"/>
    </xf>
    <xf numFmtId="0" fontId="13"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0" fillId="0" borderId="0" applyAlignment="1" pivotButton="0" quotePrefix="0" xfId="0">
      <alignment vertical="top"/>
    </xf>
    <xf numFmtId="0" fontId="11"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5" borderId="1" applyAlignment="1" pivotButton="0" quotePrefix="0" xfId="0">
      <alignment horizontal="left" vertical="top"/>
    </xf>
    <xf numFmtId="0" fontId="0" fillId="0" borderId="0" applyAlignment="1" pivotButton="0" quotePrefix="0" xfId="0">
      <alignment horizontal="left" vertical="top" wrapText="1"/>
    </xf>
    <xf numFmtId="0" fontId="0" fillId="0" borderId="1" applyAlignment="1" pivotButton="0" quotePrefix="0" xfId="0">
      <alignment horizontal="left" vertical="top" wrapText="1"/>
    </xf>
    <xf numFmtId="0" fontId="2" fillId="0" borderId="0" applyAlignment="1" pivotButton="0" quotePrefix="0" xfId="0">
      <alignment horizontal="left" vertical="top" wrapText="1"/>
    </xf>
    <xf numFmtId="0" fontId="0" fillId="0" borderId="13" pivotButton="0" quotePrefix="0" xfId="0"/>
    <xf numFmtId="0" fontId="0" fillId="0" borderId="0" applyAlignment="1" pivotButton="0" quotePrefix="0" xfId="0">
      <alignment wrapText="1"/>
    </xf>
    <xf numFmtId="0" fontId="2" fillId="0" borderId="13" applyAlignment="1" pivotButton="0" quotePrefix="0" xfId="0">
      <alignment horizontal="left" vertical="top" wrapText="1"/>
    </xf>
    <xf numFmtId="0" fontId="0" fillId="0" borderId="13" pivotButton="0" quotePrefix="0" xfId="0"/>
  </cellXfs>
  <cellStyles count="3">
    <cellStyle name="Standard" xfId="0" builtinId="0"/>
    <cellStyle name="Prozent" xfId="1" builtinId="5"/>
    <cellStyle name="Link" xfId="2" builtinId="8"/>
  </cellStyles>
  <dxfs count="17">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 ref="C83" authorId="0" shapeId="0">
      <text>
        <t>Thomschke, Friedrun:
hier sind zwei mit ÖW=60° dabei</t>
      </text>
    </comment>
  </commentList>
</comments>
</file>

<file path=xl/comments/comment2.xml><?xml version="1.0" encoding="utf-8"?>
<comments xmlns="http://schemas.openxmlformats.org/spreadsheetml/2006/main">
  <authors>
    <author>Thomschke, Friedrun</author>
    <author>DNB</author>
  </authors>
  <commentList>
    <comment ref="H1" authorId="0" shapeId="0">
      <text>
        <t>Thomschke, Friedrun:
Grün unterlegte Zellen bedeuten, dass es sich bei der Signatur um ein Schreibmeisterbuch handelt. Die Markierung basiert auf der von B. Rüdiger erstellten Excelliste. Diese Bücher sollen digitalisiert werden.</t>
      </text>
    </commen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U37" authorId="0" shapeId="0">
      <text>
        <t>Thomschke, Friedrun:
sehr außergewöhnliches Format!</t>
      </text>
    </comment>
    <comment ref="E63" authorId="0" shapeId="0">
      <text>
        <t>Thomschke, Friedrun:
war zusätzlich in der Tabelle von A. Wendler</t>
      </text>
    </comment>
    <comment ref="H78" authorId="0" shapeId="0">
      <text>
        <t>Thomschke, Friedrun:
bis zu dieser Signatur die Großformate in Reihe 49 angeschaut, dann nur noch selektiv nach QF oder kritischen/beschädigten Bänden geschaut</t>
      </text>
    </comment>
    <comment ref="E146" authorId="0" shapeId="0">
      <text>
        <t>Thomschke, Friedrun:
liegt bei ÜF, R75/8/6</t>
      </text>
    </comment>
    <comment ref="AU146" authorId="0" shapeId="0">
      <text>
        <t>Thomschke, Friedrun:
bessere Planlage bei 110° anstelle möglichen 180°</t>
      </text>
    </comment>
    <comment ref="E147" authorId="0" shapeId="0">
      <text>
        <t>Thomschke, Friedrun:
war nicht in Excelliste (nur in B. Rüdigers Liste)</t>
      </text>
    </comment>
    <comment ref="E167" authorId="0" shapeId="0">
      <text>
        <t>Thomschke, Friedrun:
liegt bei ÜF</t>
      </text>
    </comment>
    <comment ref="AU174" authorId="1" shapeId="0">
      <text>
        <t xml:space="preserve">Thomschke:
aus konservatorischen Gründen
</t>
      </text>
    </comment>
    <comment ref="E183" authorId="0" shapeId="0">
      <text>
        <t>Thomschke, Friedrun:
steht bei ÜF</t>
      </text>
    </comment>
    <comment ref="E193" authorId="0" shapeId="0">
      <text>
        <t>Thomschke, Friedrun:
war nicht in Excelliste, taucht aber sowohl in Rüdiger als auch Wendler-Liste auf</t>
      </text>
    </comment>
    <comment ref="H194" authorId="0" shapeId="0">
      <text>
        <t>Thomschke, Friedrun:
Blau markierte Bücher tauchen zusätzlich in der Wender-Liste auf</t>
      </text>
    </comment>
    <comment ref="E199" authorId="0" shapeId="0">
      <text>
        <t>Thomschke, Friedrun:
ist Hss. --&gt; für Projekt nicht relevant</t>
      </text>
    </comment>
    <comment ref="E200" authorId="0" shapeId="0">
      <text>
        <t>Thomschke, Friedrun:
Buch ist in Russland --&gt; für Projekt nicht relevant</t>
      </text>
    </comment>
    <comment ref="AU202" authorId="0" shapeId="0">
      <text>
        <t>Thomschke, Friedrun:
Öffnungswinkel "0" bedeutet, das Buch ist nicht digitalisierbar</t>
      </text>
    </comment>
  </commentList>
</comments>
</file>

<file path=xl/tables/table1.xml><?xml version="1.0" encoding="utf-8"?>
<table xmlns="http://schemas.openxmlformats.org/spreadsheetml/2006/main" id="1" name="Basistabelle" displayName="Basistabelle" ref="A1:DL206" headerRowCount="1">
  <autoFilter ref="A1:DL206"/>
  <tableColumns count="116">
    <tableColumn id="1" name="Gruppe"/>
    <tableColumn id="2" name="digi"/>
    <tableColumn id="3" name="Restaurierung"/>
    <tableColumn id="4" name="Whitelist"/>
    <tableColumn id="5" name="Lfd Nr."/>
    <tableColumn id="6" name="Link zum Portal"/>
    <tableColumn id="7" name="bbg"/>
    <tableColumn id="8" name="Link zum Portal"/>
    <tableColumn id="9" name="AKZ"/>
    <tableColumn id="10" name="IDN"/>
    <tableColumn id="11" name="signatur_a"/>
    <tableColumn id="12" name="signatur_g"/>
    <tableColumn id="13" name="signatur_a"/>
    <tableColumn id="14" name="titel"/>
    <tableColumn id="15" name="stuecktitel"/>
    <tableColumn id="16" name="Signatur"/>
    <tableColumn id="17" name="wert"/>
    <tableColumn id="18" name="steht bei_x000a_/ Anm._x000a_zur_x000a_Signatur"/>
    <tableColumn id="19" name="titel"/>
    <tableColumn id="20" name="stuecktitel"/>
    <tableColumn id="21" name="Provenienzmerkmal"/>
    <tableColumn id="22" name="wert"/>
    <tableColumn id="23" name="Material"/>
    <tableColumn id="24" name="Format"/>
    <tableColumn id="25" name="Öffnungswinkel"/>
    <tableColumn id="26" name="Einschränkungen"/>
    <tableColumn id="27" name="Glasplatte "/>
    <tableColumn id="28" name="Verpackung"/>
    <tableColumn id="29" name="Verpackung austauschen "/>
    <tableColumn id="30" name="Schadensklasse"/>
    <tableColumn id="31" name="notwendige Reparatur(en) vor der Digitalisierung, notwendige Reparatur(en) vor der Digitalisierung"/>
    <tableColumn id="32" name="Bemerkungen"/>
    <tableColumn id="33" name="Fragen/ Hinweise_x000a_an DBSM"/>
    <tableColumn id="34" name="Fragen an M. Steinberg"/>
    <tableColumn id="35" name="nicht_x000a_am Stand-ort"/>
    <tableColumn id="36" name="Größe ÜF_x000a_(BxH)"/>
    <tableColumn id="37" name="Breite_x000a_(nur Ausreißer)"/>
    <tableColumn id="38" name="Dicke_x000a_(&gt;12 cm)"/>
    <tableColumn id="39" name="12° Format_x000a_(&lt;15 cm)"/>
    <tableColumn id="40" name="Einband-_x000a_art"/>
    <tableColumn id="41" name="Einband-_x000a_art Kommentar"/>
    <tableColumn id="42" name="Einband über-_x000a_formt (ganz od. teilweise)"/>
    <tableColumn id="43" name="Buch bereits restau-riert"/>
    <tableColumn id="44" name="hohler/_x000a_fester Rücken (mit Einlage/_x000a_Vergoldung?)"/>
    <tableColumn id="45" name="Steh-_x000a_kanten_x000a_(bei Perg.)"/>
    <tableColumn id="46" name="Leder pudert ab/roter Zerfall (extrem)"/>
    <tableColumn id="47" name="Einband stark defor-miert"/>
    <tableColumn id="48" name="Be-schläge (bes. auftra-gend)"/>
    <tableColumn id="49" name="Buch-schließe steif"/>
    <tableColumn id="50" name="Buch-block Pa./Perg."/>
    <tableColumn id="51" name="saures Füll-material"/>
    <tableColumn id="52" name="Register-marken"/>
    <tableColumn id="53" name="seitliche Heftung"/>
    <tableColumn id="54" name="Buch-block sehr wellig"/>
    <tableColumn id="55" name="Buch-block neigt zum &quot;Bauch&quot;"/>
    <tableColumn id="56" name="ge-schloss-ene Lagen"/>
    <tableColumn id="57" name="Falttafeln"/>
    <tableColumn id="58" name="Größe Buch+_x000a_Falttafeln (BxH)"/>
    <tableColumn id="59" name="Original-grafik"/>
    <tableColumn id="60" name="Kolorier-ung / Buch-malerei / Initialen / Rubri-kation"/>
    <tableColumn id="61" name="berühr-ungsfreie Digit."/>
    <tableColumn id="62" name="Schrift weit bis in den Falz (Bund-steg in mm) Text-verlust"/>
    <tableColumn id="63" name="nicht digitali-sierbar wegen Bund-steg (vorraus-sichtlich)"/>
    <tableColumn id="64" name="max. Öffnungs-winkel"/>
    <tableColumn id="65" name="max. Öffnungs-winkel Kommentar"/>
    <tableColumn id="66" name="Digit. mit Begleit-ung"/>
    <tableColumn id="67" name="Digit. mit Begleit-ung Kommentar"/>
    <tableColumn id="68" name="Rest.-Bericht einge-klebt"/>
    <tableColumn id="69" name="Blatt mit Notizen zum Buch eingeklebt "/>
    <tableColumn id="70" name="Rest._x000a_not-wendig (ja/nein) (vor/nach der Digit.)"/>
    <tableColumn id="71" name="Rest.-_x000a_Aufwand gesamt_x000a_(in Std.)"/>
    <tableColumn id="72" name="Rest._x000a_erfolgt"/>
    <tableColumn id="73" name="Kassette"/>
    <tableColumn id="74" name="Schuber"/>
    <tableColumn id="75" name="Buch-schuh"/>
    <tableColumn id="76" name="Mappe "/>
    <tableColumn id="77" name="Um-schlag"/>
    <tableColumn id="78" name="SB neu"/>
    <tableColumn id="79" name="Anmerkungen (allg.)"/>
    <tableColumn id="80" name="für Testphase_x000a_vorsehen"/>
    <tableColumn id="81" name="für Testphase_x000a_vorsehen Kommentar"/>
    <tableColumn id="82" name="Schutzbehältnis empfohlen"/>
    <tableColumn id="83" name="Foto für Erheb. Rest. angefertigt (ab August)"/>
    <tableColumn id="84" name="feuchte-empfind-liches Leder"/>
    <tableColumn id="85" name="Material am Rücken/_x000a_Einband lose / eingeris-sen (auch Titelschild)"/>
    <tableColumn id="86" name="Narben spaltet sich ab"/>
    <tableColumn id="87" name="Gelenk(e) _x000a_an/durch-gebro-chen"/>
    <tableColumn id="88" name="Bünde gebro-chen (Anzahl)"/>
    <tableColumn id="89" name="Rücken lose/_x000a_halb lose"/>
    <tableColumn id="90" name="Be-schläge locker"/>
    <tableColumn id="91" name="Buch_x000a_schließe fragil"/>
    <tableColumn id="92" name="Deckel spaltet sich / Fehlstelle im Deckel"/>
    <tableColumn id="93" name="Deckel gebro-chen"/>
    <tableColumn id="94" name="Deckel lose / halb lose"/>
    <tableColumn id="95" name="Kapital fragil/_x000a_lose"/>
    <tableColumn id="96" name="Rest.-Aufwand Einband_x000a_(in Std.)"/>
    <tableColumn id="97" name="Anmerkungen für die Restaurierung am Einband"/>
    <tableColumn id="98" name="Ver-schmutz-ung (Vorsatz / Ränder /_x000a_ges. BB)"/>
    <tableColumn id="99" name="mikro-bieller Befall"/>
    <tableColumn id="100" name="Farb-schicht pudert"/>
    <tableColumn id="101" name="Buch-block / Seiten verblockt"/>
    <tableColumn id="102" name="erste / letzte Lage oder Seiten lose"/>
    <tableColumn id="103" name="(halb-) lose Seiten im BB"/>
    <tableColumn id="104" name="Heftung zerstört"/>
    <tableColumn id="105" name="Risse / Fehl-stellen im Vorsatz"/>
    <tableColumn id="106" name="Risse im Text-bereich / an exponier-ter Stelle (z.B. Ecke)"/>
    <tableColumn id="107" name="Risse am Rand"/>
    <tableColumn id="108" name="Fehl-stellen im BB_x000a_(groß) "/>
    <tableColumn id="109" name="Insekten-fraß (stark)"/>
    <tableColumn id="110" name="Falten / Knicke"/>
    <tableColumn id="111" name="saures /_x000a_brüchiges Papier"/>
    <tableColumn id="112" name="Tinten-/ Farbfraß (akut)"/>
    <tableColumn id="113" name="Register-marken fragil"/>
    <tableColumn id="114" name="Klebe-_x000a_streifen ablösen"/>
    <tableColumn id="115" name="Rest.-Aufwand Buchblock_x000a_(in Std.)"/>
    <tableColumn id="116"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L206"/>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Link zum Portal</t>
        </is>
      </c>
      <c r="I1" t="inlineStr">
        <is>
          <t>AKZ</t>
        </is>
      </c>
      <c r="J1" t="inlineStr">
        <is>
          <t>IDN</t>
        </is>
      </c>
      <c r="K1" t="inlineStr">
        <is>
          <t>signatur_a</t>
        </is>
      </c>
      <c r="L1" t="inlineStr">
        <is>
          <t>signatur_g</t>
        </is>
      </c>
      <c r="M1" t="inlineStr">
        <is>
          <t>signatur_a</t>
        </is>
      </c>
      <c r="N1" t="inlineStr">
        <is>
          <t>titel</t>
        </is>
      </c>
      <c r="O1" t="inlineStr">
        <is>
          <t>stuecktitel</t>
        </is>
      </c>
      <c r="P1" t="inlineStr">
        <is>
          <t>Signatur</t>
        </is>
      </c>
      <c r="Q1" t="inlineStr">
        <is>
          <t>wert</t>
        </is>
      </c>
      <c r="R1" t="inlineStr">
        <is>
          <t>steht bei
/ Anm.
zur
Signatur</t>
        </is>
      </c>
      <c r="S1" t="inlineStr">
        <is>
          <t>titel</t>
        </is>
      </c>
      <c r="T1" t="inlineStr">
        <is>
          <t>stuecktitel</t>
        </is>
      </c>
      <c r="U1" t="inlineStr">
        <is>
          <t>Provenienzmerkmal</t>
        </is>
      </c>
      <c r="V1" t="inlineStr">
        <is>
          <t>wert</t>
        </is>
      </c>
      <c r="W1" t="inlineStr">
        <is>
          <t>Material</t>
        </is>
      </c>
      <c r="X1" t="inlineStr">
        <is>
          <t>Format</t>
        </is>
      </c>
      <c r="Y1" t="inlineStr">
        <is>
          <t>Öffnungswinkel</t>
        </is>
      </c>
      <c r="Z1" t="inlineStr">
        <is>
          <t>Einschränkungen</t>
        </is>
      </c>
      <c r="AA1" t="inlineStr">
        <is>
          <t xml:space="preserve">Glasplatte </t>
        </is>
      </c>
      <c r="AB1" t="inlineStr">
        <is>
          <t>Verpackung</t>
        </is>
      </c>
      <c r="AC1" t="inlineStr">
        <is>
          <t xml:space="preserve">Verpackung austauschen </t>
        </is>
      </c>
      <c r="AD1" t="inlineStr">
        <is>
          <t>Schadensklasse</t>
        </is>
      </c>
      <c r="AE1" t="inlineStr">
        <is>
          <t>notwendige Reparatur(en) vor der Digitalisierung, notwendige Reparatur(en) vor der Digitalisierung</t>
        </is>
      </c>
      <c r="AF1" t="inlineStr">
        <is>
          <t>Bemerkungen</t>
        </is>
      </c>
      <c r="AG1" t="inlineStr">
        <is>
          <t>Fragen/ Hinweise
an DBSM</t>
        </is>
      </c>
      <c r="AH1" t="inlineStr">
        <is>
          <t>Fragen an M. Steinberg</t>
        </is>
      </c>
      <c r="AI1" t="inlineStr">
        <is>
          <t>nicht
am Stand-ort</t>
        </is>
      </c>
      <c r="AJ1" t="inlineStr">
        <is>
          <t>Größe ÜF
(BxH)</t>
        </is>
      </c>
      <c r="AK1" t="inlineStr">
        <is>
          <t>Breite
(nur Ausreißer)</t>
        </is>
      </c>
      <c r="AL1" t="inlineStr">
        <is>
          <t>Dicke
(&gt;12 cm)</t>
        </is>
      </c>
      <c r="AM1" t="inlineStr">
        <is>
          <t>12° Format
(&lt;15 cm)</t>
        </is>
      </c>
      <c r="AN1" t="inlineStr">
        <is>
          <t>Einband-
art</t>
        </is>
      </c>
      <c r="AO1" t="inlineStr">
        <is>
          <t>Einband-
art Kommentar</t>
        </is>
      </c>
      <c r="AP1" t="inlineStr">
        <is>
          <t>Einband über-
formt (ganz od. teilweise)</t>
        </is>
      </c>
      <c r="AQ1" t="inlineStr">
        <is>
          <t>Buch bereits restau-riert</t>
        </is>
      </c>
      <c r="AR1" t="inlineStr">
        <is>
          <t>hohler/
fester Rücken (mit Einlage/
Vergoldung?)</t>
        </is>
      </c>
      <c r="AS1" t="inlineStr">
        <is>
          <t>Steh-
kanten
(bei Perg.)</t>
        </is>
      </c>
      <c r="AT1" t="inlineStr">
        <is>
          <t>Leder pudert ab/roter Zerfall (extrem)</t>
        </is>
      </c>
      <c r="AU1" t="inlineStr">
        <is>
          <t>Einband stark defor-miert</t>
        </is>
      </c>
      <c r="AV1" t="inlineStr">
        <is>
          <t>Be-schläge (bes. auftra-gend)</t>
        </is>
      </c>
      <c r="AW1" t="inlineStr">
        <is>
          <t>Buch-schließe steif</t>
        </is>
      </c>
      <c r="AX1" t="inlineStr">
        <is>
          <t>Buch-block Pa./Perg.</t>
        </is>
      </c>
      <c r="AY1" t="inlineStr">
        <is>
          <t>saures Füll-material</t>
        </is>
      </c>
      <c r="AZ1" t="inlineStr">
        <is>
          <t>Register-marken</t>
        </is>
      </c>
      <c r="BA1" t="inlineStr">
        <is>
          <t>seitliche Heftung</t>
        </is>
      </c>
      <c r="BB1" t="inlineStr">
        <is>
          <t>Buch-block sehr wellig</t>
        </is>
      </c>
      <c r="BC1" t="inlineStr">
        <is>
          <t>Buch-block neigt zum "Bauch"</t>
        </is>
      </c>
      <c r="BD1" t="inlineStr">
        <is>
          <t>ge-schloss-ene Lagen</t>
        </is>
      </c>
      <c r="BE1" t="inlineStr">
        <is>
          <t>Falttafeln</t>
        </is>
      </c>
      <c r="BF1" t="inlineStr">
        <is>
          <t>Größe Buch+
Falttafeln (BxH)</t>
        </is>
      </c>
      <c r="BG1" t="inlineStr">
        <is>
          <t>Original-grafik</t>
        </is>
      </c>
      <c r="BH1" t="inlineStr">
        <is>
          <t>Kolorier-ung / Buch-malerei / Initialen / Rubri-kation</t>
        </is>
      </c>
      <c r="BI1" t="inlineStr">
        <is>
          <t>berühr-ungsfreie Digit.</t>
        </is>
      </c>
      <c r="BJ1" t="inlineStr">
        <is>
          <t>Schrift weit bis in den Falz (Bund-steg in mm) Text-verlust</t>
        </is>
      </c>
      <c r="BK1" t="inlineStr">
        <is>
          <t>nicht digitali-sierbar wegen Bund-steg (vorraus-sichtlich)</t>
        </is>
      </c>
      <c r="BL1" t="inlineStr">
        <is>
          <t>max. Öffnungs-winkel</t>
        </is>
      </c>
      <c r="BM1" t="inlineStr">
        <is>
          <t>max. Öffnungs-winkel Kommentar</t>
        </is>
      </c>
      <c r="BN1" t="inlineStr">
        <is>
          <t>Digit. mit Begleit-ung</t>
        </is>
      </c>
      <c r="BO1" t="inlineStr">
        <is>
          <t>Digit. mit Begleit-ung Kommentar</t>
        </is>
      </c>
      <c r="BP1" t="inlineStr">
        <is>
          <t>Rest.-Bericht einge-klebt</t>
        </is>
      </c>
      <c r="BQ1" t="inlineStr">
        <is>
          <t xml:space="preserve">Blatt mit Notizen zum Buch eingeklebt </t>
        </is>
      </c>
      <c r="BR1" t="inlineStr">
        <is>
          <t>Rest.
not-wendig (ja/nein) (vor/nach der Digit.)</t>
        </is>
      </c>
      <c r="BS1" t="inlineStr">
        <is>
          <t>Rest.-
Aufwand gesamt
(in Std.)</t>
        </is>
      </c>
      <c r="BT1" t="inlineStr">
        <is>
          <t>Rest.
erfolgt</t>
        </is>
      </c>
      <c r="BU1" t="inlineStr">
        <is>
          <t>Kassette</t>
        </is>
      </c>
      <c r="BV1" t="inlineStr">
        <is>
          <t>Schuber</t>
        </is>
      </c>
      <c r="BW1" t="inlineStr">
        <is>
          <t>Buch-schuh</t>
        </is>
      </c>
      <c r="BX1" t="inlineStr">
        <is>
          <t xml:space="preserve">Mappe </t>
        </is>
      </c>
      <c r="BY1" t="inlineStr">
        <is>
          <t>Um-schlag</t>
        </is>
      </c>
      <c r="BZ1" t="inlineStr">
        <is>
          <t>SB neu</t>
        </is>
      </c>
      <c r="CA1" t="inlineStr">
        <is>
          <t>Anmerkungen (allg.)</t>
        </is>
      </c>
      <c r="CB1" t="inlineStr">
        <is>
          <t>für Testphase
vorsehen</t>
        </is>
      </c>
      <c r="CC1" t="inlineStr">
        <is>
          <t>für Testphase
vorsehen Kommentar</t>
        </is>
      </c>
      <c r="CD1" t="inlineStr">
        <is>
          <t>Schutzbehältnis empfohlen</t>
        </is>
      </c>
      <c r="CE1" t="inlineStr">
        <is>
          <t>Foto für Erheb. Rest. angefertigt (ab August)</t>
        </is>
      </c>
      <c r="CF1" t="inlineStr">
        <is>
          <t>feuchte-empfind-liches Leder</t>
        </is>
      </c>
      <c r="CG1" t="inlineStr">
        <is>
          <t>Material am Rücken/
Einband lose / eingeris-sen (auch Titelschild)</t>
        </is>
      </c>
      <c r="CH1" t="inlineStr">
        <is>
          <t>Narben spaltet sich ab</t>
        </is>
      </c>
      <c r="CI1" t="inlineStr">
        <is>
          <t>Gelenk(e) 
an/durch-gebro-chen</t>
        </is>
      </c>
      <c r="CJ1" t="inlineStr">
        <is>
          <t>Bünde gebro-chen (Anzahl)</t>
        </is>
      </c>
      <c r="CK1" t="inlineStr">
        <is>
          <t>Rücken lose/
halb lose</t>
        </is>
      </c>
      <c r="CL1" t="inlineStr">
        <is>
          <t>Be-schläge locker</t>
        </is>
      </c>
      <c r="CM1" t="inlineStr">
        <is>
          <t>Buch
schließe fragil</t>
        </is>
      </c>
      <c r="CN1" t="inlineStr">
        <is>
          <t>Deckel spaltet sich / Fehlstelle im Deckel</t>
        </is>
      </c>
      <c r="CO1" t="inlineStr">
        <is>
          <t>Deckel gebro-chen</t>
        </is>
      </c>
      <c r="CP1" t="inlineStr">
        <is>
          <t>Deckel lose / halb lose</t>
        </is>
      </c>
      <c r="CQ1" t="inlineStr">
        <is>
          <t>Kapital fragil/
lose</t>
        </is>
      </c>
      <c r="CR1" t="inlineStr">
        <is>
          <t>Rest.-Aufwand Einband
(in Std.)</t>
        </is>
      </c>
      <c r="CS1" t="inlineStr">
        <is>
          <t>Anmerkungen für die Restaurierung am Einband</t>
        </is>
      </c>
      <c r="CT1" t="inlineStr">
        <is>
          <t>Ver-schmutz-ung (Vorsatz / Ränder /
ges. BB)</t>
        </is>
      </c>
      <c r="CU1" t="inlineStr">
        <is>
          <t>mikro-bieller Befall</t>
        </is>
      </c>
      <c r="CV1" t="inlineStr">
        <is>
          <t>Farb-schicht pudert</t>
        </is>
      </c>
      <c r="CW1" t="inlineStr">
        <is>
          <t>Buch-block / Seiten verblockt</t>
        </is>
      </c>
      <c r="CX1" t="inlineStr">
        <is>
          <t>erste / letzte Lage oder Seiten lose</t>
        </is>
      </c>
      <c r="CY1" t="inlineStr">
        <is>
          <t>(halb-) lose Seiten im BB</t>
        </is>
      </c>
      <c r="CZ1" t="inlineStr">
        <is>
          <t>Heftung zerstört</t>
        </is>
      </c>
      <c r="DA1" t="inlineStr">
        <is>
          <t>Risse / Fehl-stellen im Vorsatz</t>
        </is>
      </c>
      <c r="DB1" t="inlineStr">
        <is>
          <t>Risse im Text-bereich / an exponier-ter Stelle (z.B. Ecke)</t>
        </is>
      </c>
      <c r="DC1" t="inlineStr">
        <is>
          <t>Risse am Rand</t>
        </is>
      </c>
      <c r="DD1" t="inlineStr">
        <is>
          <t xml:space="preserve">Fehl-stellen im BB
(groß) </t>
        </is>
      </c>
      <c r="DE1" t="inlineStr">
        <is>
          <t>Insekten-fraß (stark)</t>
        </is>
      </c>
      <c r="DF1" t="inlineStr">
        <is>
          <t>Falten / Knicke</t>
        </is>
      </c>
      <c r="DG1" t="inlineStr">
        <is>
          <t>saures /
brüchiges Papier</t>
        </is>
      </c>
      <c r="DH1" t="inlineStr">
        <is>
          <t>Tinten-/ Farbfraß (akut)</t>
        </is>
      </c>
      <c r="DI1" t="inlineStr">
        <is>
          <t>Register-marken fragil</t>
        </is>
      </c>
      <c r="DJ1" t="inlineStr">
        <is>
          <t>Klebe-
streifen ablösen</t>
        </is>
      </c>
      <c r="DK1" t="inlineStr">
        <is>
          <t>Rest.-Aufwand Buchblock
(in Std.)</t>
        </is>
      </c>
      <c r="DL1" t="inlineStr">
        <is>
          <t>Anmerkungen für die Restaurierung am Buchblock</t>
        </is>
      </c>
    </row>
    <row r="2">
      <c r="A2" t="inlineStr">
        <is>
          <t>Schreibmeister</t>
        </is>
      </c>
      <c r="B2" t="b">
        <v>0</v>
      </c>
      <c r="C2" t="inlineStr"/>
      <c r="D2" t="inlineStr"/>
      <c r="E2" t="inlineStr"/>
      <c r="F2">
        <f>HYPERLINK("https://portal.dnb.de/opac.htm?method=simpleSearch&amp;cqlMode=true&amp;query=idn%3D", "Portal")</f>
        <v/>
      </c>
      <c r="G2" t="inlineStr"/>
      <c r="H2">
        <f>HYPERLINK("https://portal.dnb.de/opac.htm?method=simpleSearch&amp;cqlMode=true&amp;query=idn%3D", "Portal")</f>
        <v/>
      </c>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c r="DH2" t="inlineStr"/>
      <c r="DI2" t="inlineStr"/>
      <c r="DJ2" t="inlineStr"/>
      <c r="DK2" t="inlineStr"/>
      <c r="DL2" t="inlineStr"/>
    </row>
    <row r="3">
      <c r="A3" t="inlineStr">
        <is>
          <t>Schreibmeister</t>
        </is>
      </c>
      <c r="B3" t="b">
        <v>0</v>
      </c>
      <c r="C3" t="inlineStr"/>
      <c r="D3" t="inlineStr"/>
      <c r="E3" t="inlineStr"/>
      <c r="F3">
        <f>HYPERLINK("https://portal.dnb.de/opac.htm?method=simpleSearch&amp;cqlMode=true&amp;query=idn%3D", "Portal")</f>
        <v/>
      </c>
      <c r="G3" t="inlineStr"/>
      <c r="H3">
        <f>HYPERLINK("https://portal.dnb.de/opac.htm?method=simpleSearch&amp;cqlMode=true&amp;query=idn%3D", "Portal")</f>
        <v/>
      </c>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c r="DH3" t="inlineStr"/>
      <c r="DI3" t="inlineStr"/>
      <c r="DJ3" t="inlineStr"/>
      <c r="DK3" t="inlineStr"/>
      <c r="DL3" t="inlineStr"/>
    </row>
    <row r="4">
      <c r="A4" t="inlineStr">
        <is>
          <t>Schreibmeister</t>
        </is>
      </c>
      <c r="B4" t="b">
        <v>0</v>
      </c>
      <c r="C4" t="inlineStr"/>
      <c r="D4" t="inlineStr"/>
      <c r="E4" t="inlineStr"/>
      <c r="F4">
        <f>HYPERLINK("https://portal.dnb.de/opac.htm?method=simpleSearch&amp;cqlMode=true&amp;query=idn%3D", "Portal")</f>
        <v/>
      </c>
      <c r="G4" t="inlineStr"/>
      <c r="H4">
        <f>HYPERLINK("https://portal.dnb.de/opac.htm?method=simpleSearch&amp;cqlMode=true&amp;query=idn%3D", "Portal")</f>
        <v/>
      </c>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c r="DH4" t="inlineStr"/>
      <c r="DI4" t="inlineStr"/>
      <c r="DJ4" t="inlineStr"/>
      <c r="DK4" t="inlineStr"/>
      <c r="DL4" t="inlineStr"/>
    </row>
    <row r="5">
      <c r="A5" t="inlineStr">
        <is>
          <t>Schreibmeister</t>
        </is>
      </c>
      <c r="B5" t="b">
        <v>0</v>
      </c>
      <c r="C5" t="inlineStr"/>
      <c r="D5" t="inlineStr"/>
      <c r="E5" t="inlineStr"/>
      <c r="F5">
        <f>HYPERLINK("https://portal.dnb.de/opac.htm?method=simpleSearch&amp;cqlMode=true&amp;query=idn%3D", "Portal")</f>
        <v/>
      </c>
      <c r="G5" t="inlineStr"/>
      <c r="H5">
        <f>HYPERLINK("https://portal.dnb.de/opac.htm?method=simpleSearch&amp;cqlMode=true&amp;query=idn%3D", "Portal")</f>
        <v/>
      </c>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c r="DH5" t="inlineStr"/>
      <c r="DI5" t="inlineStr"/>
      <c r="DJ5" t="inlineStr"/>
      <c r="DK5" t="inlineStr"/>
      <c r="DL5" t="inlineStr"/>
    </row>
    <row r="6">
      <c r="A6" t="inlineStr">
        <is>
          <t>Schreibmeister</t>
        </is>
      </c>
      <c r="B6" t="b">
        <v>0</v>
      </c>
      <c r="C6" t="inlineStr"/>
      <c r="D6" t="inlineStr"/>
      <c r="E6" t="inlineStr"/>
      <c r="F6">
        <f>HYPERLINK("https://portal.dnb.de/opac.htm?method=simpleSearch&amp;cqlMode=true&amp;query=idn%3D", "Portal")</f>
        <v/>
      </c>
      <c r="G6" t="inlineStr"/>
      <c r="H6">
        <f>HYPERLINK("https://portal.dnb.de/opac.htm?method=simpleSearch&amp;cqlMode=true&amp;query=idn%3D", "Portal")</f>
        <v/>
      </c>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c r="DH6" t="inlineStr"/>
      <c r="DI6" t="inlineStr"/>
      <c r="DJ6" t="inlineStr"/>
      <c r="DK6" t="inlineStr"/>
      <c r="DL6" t="inlineStr"/>
    </row>
    <row r="7">
      <c r="A7" t="inlineStr">
        <is>
          <t>Schreibmeister</t>
        </is>
      </c>
      <c r="B7" t="b">
        <v>0</v>
      </c>
      <c r="C7" t="inlineStr"/>
      <c r="D7" t="inlineStr"/>
      <c r="E7" t="inlineStr"/>
      <c r="F7">
        <f>HYPERLINK("https://portal.dnb.de/opac.htm?method=simpleSearch&amp;cqlMode=true&amp;query=idn%3D", "Portal")</f>
        <v/>
      </c>
      <c r="G7" t="inlineStr"/>
      <c r="H7">
        <f>HYPERLINK("https://portal.dnb.de/opac.htm?method=simpleSearch&amp;cqlMode=true&amp;query=idn%3D", "Portal")</f>
        <v/>
      </c>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c r="DH7" t="inlineStr"/>
      <c r="DI7" t="inlineStr"/>
      <c r="DJ7" t="inlineStr"/>
      <c r="DK7" t="inlineStr"/>
      <c r="DL7" t="inlineStr"/>
    </row>
    <row r="8">
      <c r="A8" t="inlineStr">
        <is>
          <t>Schreibmeister</t>
        </is>
      </c>
      <c r="B8" t="b">
        <v>1</v>
      </c>
      <c r="C8" t="inlineStr"/>
      <c r="D8" t="inlineStr"/>
      <c r="E8" t="n">
        <v>1</v>
      </c>
      <c r="F8">
        <f>HYPERLINK("https://portal.dnb.de/opac.htm?method=simpleSearch&amp;cqlMode=true&amp;query=idn%3D999824015", "Portal")</f>
        <v/>
      </c>
      <c r="G8" t="inlineStr">
        <is>
          <t>Aal</t>
        </is>
      </c>
      <c r="H8">
        <f>HYPERLINK("https://portal.dnb.de/opac.htm?method=simpleSearch&amp;cqlMode=true&amp;query=idn%3D999824015", "Portal")</f>
        <v/>
      </c>
      <c r="I8" t="inlineStr">
        <is>
          <t>L-1796-169506053</t>
        </is>
      </c>
      <c r="J8" t="inlineStr">
        <is>
          <t>999824015</t>
        </is>
      </c>
      <c r="K8" t="inlineStr">
        <is>
          <t>Bö B I 42/4°</t>
        </is>
      </c>
      <c r="L8" t="inlineStr">
        <is>
          <t>Bö B I 42/4°</t>
        </is>
      </c>
      <c r="M8" t="inlineStr">
        <is>
          <t>Bö B I 42/4°</t>
        </is>
      </c>
      <c r="N8" t="inlineStr">
        <is>
          <t xml:space="preserve">Lʹ @Arte di scrivere tratta dal Dizionario dʹarti e mestieri dellʹEnciclopedia metodica : </t>
        </is>
      </c>
      <c r="O8" t="inlineStr">
        <is>
          <t xml:space="preserve"> : </t>
        </is>
      </c>
      <c r="P8" t="inlineStr">
        <is>
          <t>Bö B I 42/4°</t>
        </is>
      </c>
      <c r="Q8" t="inlineStr"/>
      <c r="R8" t="inlineStr"/>
      <c r="S8" t="inlineStr">
        <is>
          <t xml:space="preserve">Lʹ @Arte di scrivere tratta dal Dizionario dʹarti e mestieri dellʹEnciclopedia metodica : </t>
        </is>
      </c>
      <c r="T8" t="inlineStr">
        <is>
          <t xml:space="preserve"> : </t>
        </is>
      </c>
      <c r="U8" t="inlineStr">
        <is>
          <t>X</t>
        </is>
      </c>
      <c r="V8" t="inlineStr"/>
      <c r="W8" t="inlineStr">
        <is>
          <t>Halbpergamentband</t>
        </is>
      </c>
      <c r="X8" t="inlineStr">
        <is>
          <t>bis 25 cm</t>
        </is>
      </c>
      <c r="Y8" t="inlineStr">
        <is>
          <t>80° bis 110°, einseitig digitalisierbar?</t>
        </is>
      </c>
      <c r="Z8" t="inlineStr">
        <is>
          <t>fester Rücken mit Schmuckprägung, gefaltete Blätter</t>
        </is>
      </c>
      <c r="AA8" t="inlineStr"/>
      <c r="AB8" t="inlineStr"/>
      <c r="AC8" t="inlineStr">
        <is>
          <t>Signaturfahne austauschen</t>
        </is>
      </c>
      <c r="AD8" t="n">
        <v>0</v>
      </c>
      <c r="AE8" t="inlineStr"/>
      <c r="AF8" t="inlineStr"/>
      <c r="AG8" t="inlineStr"/>
      <c r="AH8" t="inlineStr"/>
      <c r="AI8" t="inlineStr"/>
      <c r="AJ8" t="inlineStr"/>
      <c r="AK8" t="inlineStr"/>
      <c r="AL8" t="inlineStr"/>
      <c r="AM8" t="inlineStr"/>
      <c r="AN8" t="inlineStr">
        <is>
          <t>HPg</t>
        </is>
      </c>
      <c r="AO8" t="inlineStr"/>
      <c r="AP8" t="inlineStr"/>
      <c r="AQ8" t="inlineStr"/>
      <c r="AR8" t="inlineStr">
        <is>
          <t>h/E</t>
        </is>
      </c>
      <c r="AS8" t="inlineStr"/>
      <c r="AT8" t="inlineStr"/>
      <c r="AU8" t="inlineStr"/>
      <c r="AV8" t="inlineStr"/>
      <c r="AW8" t="inlineStr"/>
      <c r="AX8" t="inlineStr">
        <is>
          <t>Pa</t>
        </is>
      </c>
      <c r="AY8" t="inlineStr"/>
      <c r="AZ8" t="inlineStr"/>
      <c r="BA8" t="inlineStr"/>
      <c r="BB8" t="inlineStr"/>
      <c r="BC8" t="inlineStr"/>
      <c r="BD8" t="inlineStr"/>
      <c r="BE8" t="inlineStr">
        <is>
          <t>x</t>
        </is>
      </c>
      <c r="BF8" t="inlineStr">
        <is>
          <t>B:22,5x29,5
F:42,5x28,5</t>
        </is>
      </c>
      <c r="BG8" t="inlineStr">
        <is>
          <t>x</t>
        </is>
      </c>
      <c r="BH8" t="inlineStr"/>
      <c r="BI8" t="inlineStr">
        <is>
          <t>x</t>
        </is>
      </c>
      <c r="BJ8" t="inlineStr"/>
      <c r="BK8" t="inlineStr"/>
      <c r="BL8" t="n">
        <v>110</v>
      </c>
      <c r="BM8" t="inlineStr"/>
      <c r="BN8" t="inlineStr"/>
      <c r="BO8" t="inlineStr"/>
      <c r="BP8" t="inlineStr"/>
      <c r="BQ8" t="inlineStr"/>
      <c r="BR8" t="inlineStr">
        <is>
          <t>n</t>
        </is>
      </c>
      <c r="BS8" t="n">
        <v>0</v>
      </c>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c r="DH8" t="inlineStr"/>
      <c r="DI8" t="inlineStr"/>
      <c r="DJ8" t="inlineStr"/>
      <c r="DK8" t="inlineStr"/>
      <c r="DL8" t="inlineStr"/>
    </row>
    <row r="9">
      <c r="A9" t="inlineStr">
        <is>
          <t>Schreibmeister</t>
        </is>
      </c>
      <c r="B9" t="b">
        <v>1</v>
      </c>
      <c r="C9" t="inlineStr"/>
      <c r="D9" t="inlineStr"/>
      <c r="E9" t="n">
        <v>2</v>
      </c>
      <c r="F9">
        <f>HYPERLINK("https://portal.dnb.de/opac.htm?method=simpleSearch&amp;cqlMode=true&amp;query=idn%3D994698968", "Portal")</f>
        <v/>
      </c>
      <c r="G9" t="inlineStr">
        <is>
          <t>Aal</t>
        </is>
      </c>
      <c r="H9">
        <f>HYPERLINK("https://portal.dnb.de/opac.htm?method=simpleSearch&amp;cqlMode=true&amp;query=idn%3D994698968", "Portal")</f>
        <v/>
      </c>
      <c r="I9" t="inlineStr">
        <is>
          <t>L-1818-157574970</t>
        </is>
      </c>
      <c r="J9" t="inlineStr">
        <is>
          <t>994698968</t>
        </is>
      </c>
      <c r="K9" t="inlineStr">
        <is>
          <t>Bö B I 279</t>
        </is>
      </c>
      <c r="L9" t="inlineStr">
        <is>
          <t>Bö B I 279</t>
        </is>
      </c>
      <c r="M9" t="inlineStr">
        <is>
          <t>Bö B I 279</t>
        </is>
      </c>
      <c r="N9" t="inlineStr">
        <is>
          <t>Elementos teórico-prácticos del arte de escribir por principios con las reglas generales, y particulares del carácter bastardo español : Dispuestas su</t>
        </is>
      </c>
      <c r="O9" t="inlineStr">
        <is>
          <t xml:space="preserve"> : </t>
        </is>
      </c>
      <c r="P9" t="inlineStr">
        <is>
          <t>Bö B I 279</t>
        </is>
      </c>
      <c r="Q9" t="inlineStr"/>
      <c r="R9" t="inlineStr"/>
      <c r="S9" t="inlineStr">
        <is>
          <t>Elementos teórico-prácticos del arte de escribir por principios con las reglas generales, y particulares del carácter bastardo español : Dispuestas su</t>
        </is>
      </c>
      <c r="T9" t="inlineStr">
        <is>
          <t xml:space="preserve"> : </t>
        </is>
      </c>
      <c r="U9" t="inlineStr">
        <is>
          <t>X</t>
        </is>
      </c>
      <c r="V9" t="inlineStr"/>
      <c r="W9" t="inlineStr">
        <is>
          <t>Ledereinband</t>
        </is>
      </c>
      <c r="X9" t="inlineStr">
        <is>
          <t>bis 25 cm</t>
        </is>
      </c>
      <c r="Y9" t="inlineStr">
        <is>
          <t>180°</t>
        </is>
      </c>
      <c r="Z9" t="inlineStr">
        <is>
          <t>fester Rücken mit Schmuckprägung, gefaltete Blätter</t>
        </is>
      </c>
      <c r="AA9" t="inlineStr"/>
      <c r="AB9" t="inlineStr"/>
      <c r="AC9" t="inlineStr"/>
      <c r="AD9" t="n">
        <v>0</v>
      </c>
      <c r="AE9" t="inlineStr"/>
      <c r="AF9" t="inlineStr"/>
      <c r="AG9" t="inlineStr"/>
      <c r="AH9" t="inlineStr"/>
      <c r="AI9" t="inlineStr"/>
      <c r="AJ9" t="inlineStr"/>
      <c r="AK9" t="inlineStr"/>
      <c r="AL9" t="inlineStr"/>
      <c r="AM9" t="inlineStr"/>
      <c r="AN9" t="inlineStr">
        <is>
          <t>L</t>
        </is>
      </c>
      <c r="AO9" t="inlineStr"/>
      <c r="AP9" t="inlineStr"/>
      <c r="AQ9" t="inlineStr"/>
      <c r="AR9" t="inlineStr">
        <is>
          <t>f/V</t>
        </is>
      </c>
      <c r="AS9" t="inlineStr"/>
      <c r="AT9" t="inlineStr"/>
      <c r="AU9" t="inlineStr"/>
      <c r="AV9" t="inlineStr"/>
      <c r="AW9" t="inlineStr"/>
      <c r="AX9" t="inlineStr">
        <is>
          <t>Pa</t>
        </is>
      </c>
      <c r="AY9" t="inlineStr"/>
      <c r="AZ9" t="inlineStr"/>
      <c r="BA9" t="inlineStr"/>
      <c r="BB9" t="inlineStr"/>
      <c r="BC9" t="inlineStr"/>
      <c r="BD9" t="inlineStr"/>
      <c r="BE9" t="inlineStr">
        <is>
          <t>x</t>
        </is>
      </c>
      <c r="BF9" t="inlineStr"/>
      <c r="BG9" t="inlineStr"/>
      <c r="BH9" t="inlineStr"/>
      <c r="BI9" t="inlineStr"/>
      <c r="BJ9" t="inlineStr"/>
      <c r="BK9" t="inlineStr"/>
      <c r="BL9" t="inlineStr">
        <is>
          <t>max 110</t>
        </is>
      </c>
      <c r="BM9" t="inlineStr"/>
      <c r="BN9" t="inlineStr"/>
      <c r="BO9" t="inlineStr"/>
      <c r="BP9" t="inlineStr"/>
      <c r="BQ9" t="inlineStr"/>
      <c r="BR9" t="inlineStr">
        <is>
          <t>n</t>
        </is>
      </c>
      <c r="BS9" t="n">
        <v>0</v>
      </c>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c r="DH9" t="inlineStr"/>
      <c r="DI9" t="inlineStr"/>
      <c r="DJ9" t="inlineStr"/>
      <c r="DK9" t="inlineStr"/>
      <c r="DL9" t="inlineStr"/>
    </row>
    <row r="10">
      <c r="A10" t="inlineStr">
        <is>
          <t>Schreibmeister</t>
        </is>
      </c>
      <c r="B10" t="b">
        <v>1</v>
      </c>
      <c r="C10" t="inlineStr"/>
      <c r="D10" t="inlineStr"/>
      <c r="E10" t="n">
        <v>3</v>
      </c>
      <c r="F10">
        <f>HYPERLINK("https://portal.dnb.de/opac.htm?method=simpleSearch&amp;cqlMode=true&amp;query=idn%3D998959685", "Portal")</f>
        <v/>
      </c>
      <c r="G10" t="inlineStr">
        <is>
          <t>Aal</t>
        </is>
      </c>
      <c r="H10">
        <f>HYPERLINK("https://portal.dnb.de/opac.htm?method=simpleSearch&amp;cqlMode=true&amp;query=idn%3D998959685", "Portal")</f>
        <v/>
      </c>
      <c r="I10" t="inlineStr">
        <is>
          <t>L-1777-167259407</t>
        </is>
      </c>
      <c r="J10" t="inlineStr">
        <is>
          <t>998959685</t>
        </is>
      </c>
      <c r="K10" t="inlineStr">
        <is>
          <t>Bö B I 294</t>
        </is>
      </c>
      <c r="L10" t="inlineStr">
        <is>
          <t>Bö B I 294</t>
        </is>
      </c>
      <c r="M10" t="inlineStr">
        <is>
          <t>Bö B I 294</t>
        </is>
      </c>
      <c r="N10" t="inlineStr">
        <is>
          <t>Arte de escribir, ortografia de la pluma y honra de los profesores de este magisterio : obra dividida en XII. dialogos eruditos ...</t>
        </is>
      </c>
      <c r="O10" t="inlineStr">
        <is>
          <t xml:space="preserve"> : </t>
        </is>
      </c>
      <c r="P10" t="inlineStr">
        <is>
          <t>Bö B I 294</t>
        </is>
      </c>
      <c r="Q10" t="inlineStr"/>
      <c r="R10" t="inlineStr"/>
      <c r="S10" t="inlineStr">
        <is>
          <t>Arte de escribir, ortografia de la pluma y honra de los profesores de este magisterio : obra dividida en XII. dialogos eruditos ...</t>
        </is>
      </c>
      <c r="T10" t="inlineStr">
        <is>
          <t xml:space="preserve"> : </t>
        </is>
      </c>
      <c r="U10" t="inlineStr">
        <is>
          <t>X</t>
        </is>
      </c>
      <c r="V10" t="inlineStr"/>
      <c r="W10" t="inlineStr">
        <is>
          <t>Ledereinband</t>
        </is>
      </c>
      <c r="X10" t="inlineStr">
        <is>
          <t>bis 25 cm</t>
        </is>
      </c>
      <c r="Y10" t="inlineStr">
        <is>
          <t>80° bis 110°, einseitig digitalisierbar?</t>
        </is>
      </c>
      <c r="Z10" t="inlineStr">
        <is>
          <t>fester Rücken mit Schmuckprägung</t>
        </is>
      </c>
      <c r="AA10" t="inlineStr"/>
      <c r="AB10" t="inlineStr">
        <is>
          <t xml:space="preserve">Papierumschlag </t>
        </is>
      </c>
      <c r="AC10" t="inlineStr">
        <is>
          <t>Ja, Signaturfahne austauschen</t>
        </is>
      </c>
      <c r="AD10" t="n">
        <v>0</v>
      </c>
      <c r="AE10" t="inlineStr"/>
      <c r="AF10" t="inlineStr"/>
      <c r="AG10" t="inlineStr"/>
      <c r="AH10" t="inlineStr"/>
      <c r="AI10" t="inlineStr"/>
      <c r="AJ10" t="inlineStr"/>
      <c r="AK10" t="inlineStr"/>
      <c r="AL10" t="inlineStr"/>
      <c r="AM10" t="inlineStr"/>
      <c r="AN10" t="inlineStr">
        <is>
          <t>L</t>
        </is>
      </c>
      <c r="AO10" t="inlineStr"/>
      <c r="AP10" t="inlineStr"/>
      <c r="AQ10" t="inlineStr"/>
      <c r="AR10" t="inlineStr">
        <is>
          <t>f/V</t>
        </is>
      </c>
      <c r="AS10" t="inlineStr"/>
      <c r="AT10" t="inlineStr"/>
      <c r="AU10" t="inlineStr"/>
      <c r="AV10" t="inlineStr"/>
      <c r="AW10" t="inlineStr"/>
      <c r="AX10" t="inlineStr">
        <is>
          <t>Pa</t>
        </is>
      </c>
      <c r="AY10" t="inlineStr"/>
      <c r="AZ10" t="inlineStr"/>
      <c r="BA10" t="inlineStr"/>
      <c r="BB10" t="inlineStr"/>
      <c r="BC10" t="inlineStr"/>
      <c r="BD10" t="inlineStr"/>
      <c r="BE10" t="inlineStr"/>
      <c r="BF10" t="inlineStr"/>
      <c r="BG10" t="inlineStr"/>
      <c r="BH10" t="inlineStr"/>
      <c r="BI10" t="inlineStr"/>
      <c r="BJ10" t="inlineStr"/>
      <c r="BK10" t="inlineStr"/>
      <c r="BL10" t="n">
        <v>60</v>
      </c>
      <c r="BM10" t="inlineStr"/>
      <c r="BN10" t="inlineStr"/>
      <c r="BO10" t="inlineStr"/>
      <c r="BP10" t="inlineStr"/>
      <c r="BQ10" t="inlineStr"/>
      <c r="BR10" t="inlineStr">
        <is>
          <t>n</t>
        </is>
      </c>
      <c r="BS10" t="n">
        <v>0</v>
      </c>
      <c r="BT10" t="inlineStr"/>
      <c r="BU10" t="inlineStr"/>
      <c r="BV10" t="inlineStr"/>
      <c r="BW10" t="inlineStr"/>
      <c r="BX10" t="inlineStr"/>
      <c r="BY10" t="inlineStr">
        <is>
          <t>x sauer</t>
        </is>
      </c>
      <c r="BZ10" t="inlineStr">
        <is>
          <t>x</t>
        </is>
      </c>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c r="DH10" t="inlineStr"/>
      <c r="DI10" t="inlineStr"/>
      <c r="DJ10" t="inlineStr"/>
      <c r="DK10" t="inlineStr"/>
      <c r="DL10" t="inlineStr"/>
    </row>
    <row r="11">
      <c r="A11" t="inlineStr">
        <is>
          <t>Schreibmeister</t>
        </is>
      </c>
      <c r="B11" t="b">
        <v>1</v>
      </c>
      <c r="C11" t="inlineStr"/>
      <c r="D11" t="inlineStr"/>
      <c r="E11" t="n">
        <v>4</v>
      </c>
      <c r="F11">
        <f>HYPERLINK("https://portal.dnb.de/opac.htm?method=simpleSearch&amp;cqlMode=true&amp;query=idn%3D1001314530", "Portal")</f>
        <v/>
      </c>
      <c r="G11" t="inlineStr">
        <is>
          <t>Aal</t>
        </is>
      </c>
      <c r="H11">
        <f>HYPERLINK("https://portal.dnb.de/opac.htm?method=simpleSearch&amp;cqlMode=true&amp;query=idn%3D1001314530", "Portal")</f>
        <v/>
      </c>
      <c r="I11" t="inlineStr">
        <is>
          <t>L-1708-174156588</t>
        </is>
      </c>
      <c r="J11" t="inlineStr">
        <is>
          <t>1001314530</t>
        </is>
      </c>
      <c r="K11" t="inlineStr">
        <is>
          <t>Bö B I 298</t>
        </is>
      </c>
      <c r="L11" t="inlineStr">
        <is>
          <t>Bö B I 298</t>
        </is>
      </c>
      <c r="M11" t="inlineStr">
        <is>
          <t>Bö B I 298</t>
        </is>
      </c>
      <c r="N11" t="inlineStr">
        <is>
          <t>Der @wohl=erfahrne In allerhand ungemein-Curieusen Schreib-Arten auch sowol ergötzlichen als Sinn-reichen Gemüths-Übungen Anweisende Schreib Künstler,</t>
        </is>
      </c>
      <c r="O11" t="inlineStr">
        <is>
          <t xml:space="preserve"> : </t>
        </is>
      </c>
      <c r="P11" t="inlineStr">
        <is>
          <t>Bö B I 298</t>
        </is>
      </c>
      <c r="Q11" t="inlineStr"/>
      <c r="R11" t="inlineStr"/>
      <c r="S11" t="inlineStr">
        <is>
          <t>Der @wohl=erfahrne In allerhand ungemein-Curieusen Schreib-Arten auch sowol ergötzlichen als Sinn-reichen Gemüths-Übungen Anweisende Schreib Künstler,</t>
        </is>
      </c>
      <c r="T11" t="inlineStr">
        <is>
          <t xml:space="preserve"> : </t>
        </is>
      </c>
      <c r="U11" t="inlineStr">
        <is>
          <t>X</t>
        </is>
      </c>
      <c r="V11" t="inlineStr"/>
      <c r="W11" t="inlineStr">
        <is>
          <t>Halbpergamentband</t>
        </is>
      </c>
      <c r="X11" t="inlineStr">
        <is>
          <t>bis 25 cm</t>
        </is>
      </c>
      <c r="Y11" t="inlineStr">
        <is>
          <t>80° bis 110°, einseitig digitalisierbar?</t>
        </is>
      </c>
      <c r="Z11" t="inlineStr">
        <is>
          <t>hohler Rücken</t>
        </is>
      </c>
      <c r="AA11" t="inlineStr"/>
      <c r="AB11" t="inlineStr">
        <is>
          <t>Kassette</t>
        </is>
      </c>
      <c r="AC11" t="inlineStr">
        <is>
          <t>Nein</t>
        </is>
      </c>
      <c r="AD11" t="n">
        <v>0</v>
      </c>
      <c r="AE11" t="inlineStr"/>
      <c r="AF11" t="inlineStr"/>
      <c r="AG11" t="inlineStr"/>
      <c r="AH11" t="inlineStr"/>
      <c r="AI11" t="inlineStr"/>
      <c r="AJ11" t="inlineStr"/>
      <c r="AK11" t="inlineStr"/>
      <c r="AL11" t="inlineStr"/>
      <c r="AM11" t="inlineStr"/>
      <c r="AN11" t="inlineStr">
        <is>
          <t>HPg</t>
        </is>
      </c>
      <c r="AO11" t="inlineStr"/>
      <c r="AP11" t="inlineStr"/>
      <c r="AQ11" t="inlineStr">
        <is>
          <t>x</t>
        </is>
      </c>
      <c r="AR11" t="inlineStr">
        <is>
          <t>h/E</t>
        </is>
      </c>
      <c r="AS11" t="inlineStr"/>
      <c r="AT11" t="inlineStr"/>
      <c r="AU11" t="inlineStr"/>
      <c r="AV11" t="inlineStr"/>
      <c r="AW11" t="inlineStr"/>
      <c r="AX11" t="inlineStr">
        <is>
          <t>Pa</t>
        </is>
      </c>
      <c r="AY11" t="inlineStr"/>
      <c r="AZ11" t="inlineStr"/>
      <c r="BA11" t="inlineStr"/>
      <c r="BB11" t="inlineStr"/>
      <c r="BC11" t="inlineStr"/>
      <c r="BD11" t="inlineStr"/>
      <c r="BE11" t="inlineStr"/>
      <c r="BF11" t="inlineStr"/>
      <c r="BG11" t="inlineStr"/>
      <c r="BH11" t="inlineStr"/>
      <c r="BI11" t="inlineStr"/>
      <c r="BJ11" t="inlineStr"/>
      <c r="BK11" t="inlineStr"/>
      <c r="BL11" t="n">
        <v>80</v>
      </c>
      <c r="BM11" t="inlineStr"/>
      <c r="BN11" t="inlineStr"/>
      <c r="BO11" t="inlineStr"/>
      <c r="BP11" t="inlineStr"/>
      <c r="BQ11" t="inlineStr"/>
      <c r="BR11" t="inlineStr">
        <is>
          <t>n</t>
        </is>
      </c>
      <c r="BS11" t="n">
        <v>0</v>
      </c>
      <c r="BT11" t="inlineStr"/>
      <c r="BU11" t="inlineStr">
        <is>
          <t>Wellpappe</t>
        </is>
      </c>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c r="DH11" t="inlineStr"/>
      <c r="DI11" t="inlineStr"/>
      <c r="DJ11" t="inlineStr"/>
      <c r="DK11" t="inlineStr"/>
      <c r="DL11" t="inlineStr"/>
    </row>
    <row r="12">
      <c r="A12" t="inlineStr">
        <is>
          <t>Schreibmeister</t>
        </is>
      </c>
      <c r="B12" t="b">
        <v>1</v>
      </c>
      <c r="C12" t="inlineStr"/>
      <c r="D12" t="inlineStr"/>
      <c r="E12" t="n">
        <v>5</v>
      </c>
      <c r="F12">
        <f>HYPERLINK("https://portal.dnb.de/opac.htm?method=simpleSearch&amp;cqlMode=true&amp;query=idn%3D994252668", "Portal")</f>
        <v/>
      </c>
      <c r="G12" t="inlineStr">
        <is>
          <t>Afl</t>
        </is>
      </c>
      <c r="H12">
        <f>HYPERLINK("https://portal.dnb.de/opac.htm?method=simpleSearch&amp;cqlMode=true&amp;query=idn%3D994252668", "Portal")</f>
        <v/>
      </c>
      <c r="I12" t="inlineStr">
        <is>
          <t>L-1722-154872350</t>
        </is>
      </c>
      <c r="J12" t="inlineStr">
        <is>
          <t>994252668</t>
        </is>
      </c>
      <c r="K12" t="inlineStr">
        <is>
          <t>Bö B I 305/2°</t>
        </is>
      </c>
      <c r="L12" t="inlineStr">
        <is>
          <t>Bö B I 305/2°</t>
        </is>
      </c>
      <c r="M12" t="inlineStr">
        <is>
          <t>Bö B I 305/2°</t>
        </is>
      </c>
      <c r="N12" t="inlineStr">
        <is>
          <t>[Nova Escola para aprender a ler, escrever et contar</t>
        </is>
      </c>
      <c r="O12" t="inlineStr">
        <is>
          <t>[Pt. 1.] : Exercicio o louvor das letras, que o mundo acclamatem na nobresa o melhor berço, aque illustrata a fama por mais sagrada y splendor</t>
        </is>
      </c>
      <c r="P12" t="inlineStr">
        <is>
          <t>Bö B I 305/2°</t>
        </is>
      </c>
      <c r="Q12" t="inlineStr"/>
      <c r="R12" t="inlineStr"/>
      <c r="S12" t="inlineStr">
        <is>
          <t>[Nova Escola para aprender a ler, escrever et contar</t>
        </is>
      </c>
      <c r="T12" t="inlineStr">
        <is>
          <t>[Pt. 1.] : Exercicio o louvor das letras, que o mundo acclamatem na nobresa o melhor berço, aque illustrata a fama por mais sagrada y splendor</t>
        </is>
      </c>
      <c r="U12" t="inlineStr">
        <is>
          <t>X</t>
        </is>
      </c>
      <c r="V12" t="inlineStr"/>
      <c r="W12" t="inlineStr">
        <is>
          <t>Halbledereinband</t>
        </is>
      </c>
      <c r="X12" t="inlineStr">
        <is>
          <t>bis 42 cm</t>
        </is>
      </c>
      <c r="Y12" t="inlineStr">
        <is>
          <t>180°</t>
        </is>
      </c>
      <c r="Z12" t="inlineStr"/>
      <c r="AA12" t="inlineStr"/>
      <c r="AB12" t="inlineStr"/>
      <c r="AC12" t="inlineStr"/>
      <c r="AD12" t="n">
        <v>2</v>
      </c>
      <c r="AE12" t="inlineStr"/>
      <c r="AF12" t="inlineStr"/>
      <c r="AG12" t="inlineStr"/>
      <c r="AH12" t="inlineStr"/>
      <c r="AI12" t="inlineStr"/>
      <c r="AJ12" t="inlineStr"/>
      <c r="AK12" t="inlineStr"/>
      <c r="AL12" t="inlineStr"/>
      <c r="AM12" t="inlineStr"/>
      <c r="AN12" t="inlineStr">
        <is>
          <t>HL</t>
        </is>
      </c>
      <c r="AO12" t="inlineStr"/>
      <c r="AP12" t="inlineStr"/>
      <c r="AQ12" t="inlineStr"/>
      <c r="AR12" t="inlineStr">
        <is>
          <t>f</t>
        </is>
      </c>
      <c r="AS12" t="inlineStr"/>
      <c r="AT12" t="inlineStr"/>
      <c r="AU12" t="inlineStr"/>
      <c r="AV12" t="inlineStr"/>
      <c r="AW12" t="inlineStr"/>
      <c r="AX12" t="inlineStr">
        <is>
          <t>Pa</t>
        </is>
      </c>
      <c r="AY12" t="inlineStr"/>
      <c r="AZ12" t="inlineStr"/>
      <c r="BA12" t="inlineStr"/>
      <c r="BB12" t="inlineStr"/>
      <c r="BC12" t="inlineStr"/>
      <c r="BD12" t="inlineStr"/>
      <c r="BE12" t="inlineStr"/>
      <c r="BF12" t="inlineStr"/>
      <c r="BG12" t="inlineStr">
        <is>
          <t>x</t>
        </is>
      </c>
      <c r="BH12" t="inlineStr"/>
      <c r="BI12" t="inlineStr"/>
      <c r="BJ12" t="inlineStr"/>
      <c r="BK12" t="inlineStr"/>
      <c r="BL12" t="n">
        <v>110</v>
      </c>
      <c r="BM12" t="inlineStr"/>
      <c r="BN12" t="inlineStr"/>
      <c r="BO12" t="inlineStr"/>
      <c r="BP12" t="inlineStr"/>
      <c r="BQ12" t="inlineStr"/>
      <c r="BR12" t="inlineStr">
        <is>
          <t>n</t>
        </is>
      </c>
      <c r="BS12" t="n">
        <v>0</v>
      </c>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row>
    <row r="13">
      <c r="A13" t="inlineStr">
        <is>
          <t>Schreibmeister</t>
        </is>
      </c>
      <c r="B13" t="b">
        <v>1</v>
      </c>
      <c r="C13" t="inlineStr"/>
      <c r="D13" t="inlineStr"/>
      <c r="E13" t="n">
        <v>6</v>
      </c>
      <c r="F13">
        <f>HYPERLINK("https://portal.dnb.de/opac.htm?method=simpleSearch&amp;cqlMode=true&amp;query=idn%3D993915078", "Portal")</f>
        <v/>
      </c>
      <c r="G13" t="inlineStr">
        <is>
          <t>Aal</t>
        </is>
      </c>
      <c r="H13">
        <f>HYPERLINK("https://portal.dnb.de/opac.htm?method=simpleSearch&amp;cqlMode=true&amp;query=idn%3D993915078", "Portal")</f>
        <v/>
      </c>
      <c r="I13" t="inlineStr">
        <is>
          <t>L-1795-154003360</t>
        </is>
      </c>
      <c r="J13" t="inlineStr">
        <is>
          <t>993915078</t>
        </is>
      </c>
      <c r="K13" t="inlineStr">
        <is>
          <t>Bö B I 306</t>
        </is>
      </c>
      <c r="L13" t="inlineStr">
        <is>
          <t>Bö B I 306</t>
        </is>
      </c>
      <c r="M13" t="inlineStr">
        <is>
          <t>Bö B I 306</t>
        </is>
      </c>
      <c r="N13" t="inlineStr">
        <is>
          <t>Arte de escribir por reglas y sin muestras, establecido de orden superior en los Reales Sitios de San Ildefonso y Valsain despues de haberse experimen</t>
        </is>
      </c>
      <c r="O13" t="inlineStr">
        <is>
          <t xml:space="preserve"> : </t>
        </is>
      </c>
      <c r="P13" t="inlineStr">
        <is>
          <t>Bö B I 306</t>
        </is>
      </c>
      <c r="Q13" t="inlineStr">
        <is>
          <t>1250,00 EUR</t>
        </is>
      </c>
      <c r="R13" t="inlineStr"/>
      <c r="S13" t="inlineStr">
        <is>
          <t>Arte de escribir por reglas y sin muestras, establecido de orden superior en los Reales Sitios de San Ildefonso y Valsain despues de haberse experimen</t>
        </is>
      </c>
      <c r="T13" t="inlineStr">
        <is>
          <t xml:space="preserve"> : </t>
        </is>
      </c>
      <c r="U13" t="inlineStr">
        <is>
          <t>X</t>
        </is>
      </c>
      <c r="V13" t="inlineStr">
        <is>
          <t>1250,00 EUR</t>
        </is>
      </c>
      <c r="W13" t="inlineStr">
        <is>
          <t>Ledereinband</t>
        </is>
      </c>
      <c r="X13" t="inlineStr">
        <is>
          <t>bis 25 cm</t>
        </is>
      </c>
      <c r="Y13" t="inlineStr">
        <is>
          <t>80° bis 110°, einseitig digitalisierbar?</t>
        </is>
      </c>
      <c r="Z13" t="inlineStr">
        <is>
          <t>fester Rücken mit Schmuckprägung</t>
        </is>
      </c>
      <c r="AA13" t="inlineStr"/>
      <c r="AB13" t="inlineStr">
        <is>
          <t>Archivkarton</t>
        </is>
      </c>
      <c r="AC13" t="inlineStr">
        <is>
          <t>Nein</t>
        </is>
      </c>
      <c r="AD13" t="n">
        <v>0</v>
      </c>
      <c r="AE13" t="inlineStr"/>
      <c r="AF13" t="inlineStr"/>
      <c r="AG13" t="inlineStr"/>
      <c r="AH13" t="inlineStr"/>
      <c r="AI13" t="inlineStr"/>
      <c r="AJ13" t="inlineStr"/>
      <c r="AK13" t="inlineStr"/>
      <c r="AL13" t="inlineStr"/>
      <c r="AM13" t="inlineStr"/>
      <c r="AN13" t="inlineStr">
        <is>
          <t>L</t>
        </is>
      </c>
      <c r="AO13" t="inlineStr"/>
      <c r="AP13" t="inlineStr"/>
      <c r="AQ13" t="inlineStr">
        <is>
          <t>x</t>
        </is>
      </c>
      <c r="AR13" t="inlineStr">
        <is>
          <t>f/V</t>
        </is>
      </c>
      <c r="AS13" t="inlineStr"/>
      <c r="AT13" t="inlineStr"/>
      <c r="AU13" t="inlineStr"/>
      <c r="AV13" t="inlineStr"/>
      <c r="AW13" t="inlineStr"/>
      <c r="AX13" t="inlineStr">
        <is>
          <t>Pa</t>
        </is>
      </c>
      <c r="AY13" t="inlineStr"/>
      <c r="AZ13" t="inlineStr"/>
      <c r="BA13" t="inlineStr"/>
      <c r="BB13" t="inlineStr"/>
      <c r="BC13" t="inlineStr"/>
      <c r="BD13" t="inlineStr"/>
      <c r="BE13" t="inlineStr"/>
      <c r="BF13" t="inlineStr"/>
      <c r="BG13" t="inlineStr"/>
      <c r="BH13" t="inlineStr"/>
      <c r="BI13" t="inlineStr"/>
      <c r="BJ13" t="inlineStr"/>
      <c r="BK13" t="inlineStr"/>
      <c r="BL13" t="n">
        <v>45</v>
      </c>
      <c r="BM13" t="inlineStr"/>
      <c r="BN13" t="inlineStr"/>
      <c r="BO13" t="inlineStr"/>
      <c r="BP13" t="inlineStr"/>
      <c r="BQ13" t="inlineStr"/>
      <c r="BR13" t="inlineStr">
        <is>
          <t>n</t>
        </is>
      </c>
      <c r="BS13" t="n">
        <v>0</v>
      </c>
      <c r="BT13" t="inlineStr"/>
      <c r="BU13" t="inlineStr">
        <is>
          <t>Wellpappe</t>
        </is>
      </c>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c r="DH13" t="inlineStr"/>
      <c r="DI13" t="inlineStr"/>
      <c r="DJ13" t="inlineStr"/>
      <c r="DK13" t="inlineStr"/>
      <c r="DL13" t="inlineStr"/>
    </row>
    <row r="14">
      <c r="A14" t="inlineStr">
        <is>
          <t>Schreibmeister</t>
        </is>
      </c>
      <c r="B14" t="b">
        <v>1</v>
      </c>
      <c r="C14" t="inlineStr">
        <is>
          <t>x</t>
        </is>
      </c>
      <c r="D14" t="inlineStr"/>
      <c r="E14" t="n">
        <v>7</v>
      </c>
      <c r="F14">
        <f>HYPERLINK("https://portal.dnb.de/opac.htm?method=simpleSearch&amp;cqlMode=true&amp;query=idn%3D99406280X", "Portal")</f>
        <v/>
      </c>
      <c r="G14" t="inlineStr">
        <is>
          <t>Aal</t>
        </is>
      </c>
      <c r="H14">
        <f>HYPERLINK("https://portal.dnb.de/opac.htm?method=simpleSearch&amp;cqlMode=true&amp;query=idn%3D99406280X", "Portal")</f>
        <v/>
      </c>
      <c r="I14" t="inlineStr">
        <is>
          <t>L-1647-154450324</t>
        </is>
      </c>
      <c r="J14" t="inlineStr">
        <is>
          <t>99406280X</t>
        </is>
      </c>
      <c r="K14" t="inlineStr">
        <is>
          <t>Bö B I 311/4°</t>
        </is>
      </c>
      <c r="L14" t="inlineStr">
        <is>
          <t>Bö B I 311/4°</t>
        </is>
      </c>
      <c r="M14" t="inlineStr">
        <is>
          <t>Bö B I 311/4°</t>
        </is>
      </c>
      <c r="N14" t="inlineStr">
        <is>
          <t>Les @Écritures Financiere, Et Italienne-Bastarde Dans Leur Naturel ... : Avec Des Alphabets Et Pieces D'Écritures Des Nations Etrangeres</t>
        </is>
      </c>
      <c r="O14" t="inlineStr">
        <is>
          <t xml:space="preserve"> : </t>
        </is>
      </c>
      <c r="P14" t="inlineStr">
        <is>
          <t>Bö B I 311/4°</t>
        </is>
      </c>
      <c r="Q14" t="inlineStr">
        <is>
          <t>3500,00 EUR; 1800,00 EUR</t>
        </is>
      </c>
      <c r="R14" t="inlineStr"/>
      <c r="S14" t="inlineStr">
        <is>
          <t>Les @Écritures Financiere, Et Italienne-Bastarde Dans Leur Naturel ... : Avec Des Alphabets Et Pieces D'Écritures Des Nations Etrangeres</t>
        </is>
      </c>
      <c r="T14" t="inlineStr">
        <is>
          <t xml:space="preserve"> : </t>
        </is>
      </c>
      <c r="U14" t="inlineStr">
        <is>
          <t>X</t>
        </is>
      </c>
      <c r="V14" t="inlineStr">
        <is>
          <t>3500,00 EUR; 1800,00 EUR</t>
        </is>
      </c>
      <c r="W14" t="inlineStr">
        <is>
          <t>Halbledereinband</t>
        </is>
      </c>
      <c r="X14" t="inlineStr">
        <is>
          <t>bis 35 cm</t>
        </is>
      </c>
      <c r="Y14" t="inlineStr">
        <is>
          <t>180°</t>
        </is>
      </c>
      <c r="Z14" t="inlineStr"/>
      <c r="AA14" t="inlineStr"/>
      <c r="AB14" t="inlineStr"/>
      <c r="AC14" t="inlineStr"/>
      <c r="AD14" t="n">
        <v>2</v>
      </c>
      <c r="AE14" t="inlineStr"/>
      <c r="AF14" t="inlineStr"/>
      <c r="AG14" t="inlineStr"/>
      <c r="AH14" t="inlineStr"/>
      <c r="AI14" t="inlineStr"/>
      <c r="AJ14" t="inlineStr"/>
      <c r="AK14" t="inlineStr">
        <is>
          <t>QF (44x36)</t>
        </is>
      </c>
      <c r="AL14" t="inlineStr"/>
      <c r="AM14" t="inlineStr"/>
      <c r="AN14" t="inlineStr">
        <is>
          <t>HG</t>
        </is>
      </c>
      <c r="AO14" t="inlineStr"/>
      <c r="AP14" t="inlineStr"/>
      <c r="AQ14" t="inlineStr"/>
      <c r="AR14" t="inlineStr">
        <is>
          <t>h/E</t>
        </is>
      </c>
      <c r="AS14" t="inlineStr"/>
      <c r="AT14" t="inlineStr"/>
      <c r="AU14" t="inlineStr"/>
      <c r="AV14" t="inlineStr"/>
      <c r="AW14" t="inlineStr"/>
      <c r="AX14" t="inlineStr">
        <is>
          <t>Pa</t>
        </is>
      </c>
      <c r="AY14" t="inlineStr"/>
      <c r="AZ14" t="inlineStr"/>
      <c r="BA14" t="inlineStr"/>
      <c r="BB14" t="inlineStr"/>
      <c r="BC14" t="inlineStr"/>
      <c r="BD14" t="inlineStr"/>
      <c r="BE14" t="inlineStr"/>
      <c r="BF14" t="inlineStr"/>
      <c r="BG14" t="inlineStr">
        <is>
          <t>x</t>
        </is>
      </c>
      <c r="BH14" t="inlineStr"/>
      <c r="BI14" t="inlineStr"/>
      <c r="BJ14" t="inlineStr"/>
      <c r="BK14" t="inlineStr"/>
      <c r="BL14" t="n">
        <v>180</v>
      </c>
      <c r="BM14" t="inlineStr"/>
      <c r="BN14" t="inlineStr"/>
      <c r="BO14" t="inlineStr"/>
      <c r="BP14" t="inlineStr"/>
      <c r="BQ14" t="inlineStr"/>
      <c r="BR14" t="inlineStr">
        <is>
          <t>ja vor</t>
        </is>
      </c>
      <c r="BS14" t="n">
        <v>5</v>
      </c>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x</t>
        </is>
      </c>
      <c r="DC14" t="inlineStr">
        <is>
          <t>x</t>
        </is>
      </c>
      <c r="DD14" t="inlineStr"/>
      <c r="DE14" t="inlineStr"/>
      <c r="DF14" t="inlineStr"/>
      <c r="DG14" t="inlineStr"/>
      <c r="DH14" t="inlineStr"/>
      <c r="DI14" t="inlineStr"/>
      <c r="DJ14" t="inlineStr"/>
      <c r="DK14" t="n">
        <v>5</v>
      </c>
      <c r="DL14" t="inlineStr">
        <is>
          <t>nur das Nötigste, Gelenke belassen</t>
        </is>
      </c>
    </row>
    <row r="15">
      <c r="A15" t="inlineStr">
        <is>
          <t>Schreibmeister</t>
        </is>
      </c>
      <c r="B15" t="b">
        <v>1</v>
      </c>
      <c r="C15" t="inlineStr"/>
      <c r="D15" t="inlineStr"/>
      <c r="E15" t="n">
        <v>8</v>
      </c>
      <c r="F15">
        <f>HYPERLINK("https://portal.dnb.de/opac.htm?method=simpleSearch&amp;cqlMode=true&amp;query=idn%3D994120303", "Portal")</f>
        <v/>
      </c>
      <c r="G15" t="inlineStr">
        <is>
          <t>Aal</t>
        </is>
      </c>
      <c r="H15">
        <f>HYPERLINK("https://portal.dnb.de/opac.htm?method=simpleSearch&amp;cqlMode=true&amp;query=idn%3D994120303", "Portal")</f>
        <v/>
      </c>
      <c r="I15" t="inlineStr">
        <is>
          <t>L-1770-154528331</t>
        </is>
      </c>
      <c r="J15" t="inlineStr">
        <is>
          <t>994120303</t>
        </is>
      </c>
      <c r="K15" t="inlineStr">
        <is>
          <t>Bö B I 319/2°</t>
        </is>
      </c>
      <c r="L15" t="inlineStr">
        <is>
          <t>(Großformate)</t>
        </is>
      </c>
      <c r="M15" t="inlineStr">
        <is>
          <t>Bö B I 319/2°</t>
        </is>
      </c>
      <c r="N15" t="inlineStr">
        <is>
          <t>Les @Agrémens de l'Écriture Moderne, Ou Exposition du Gout actuel des François sur l'Art d'Écrire : Dédié à Monsiur le Marquis de Thiboutos</t>
        </is>
      </c>
      <c r="O15" t="inlineStr">
        <is>
          <t xml:space="preserve"> : </t>
        </is>
      </c>
      <c r="P15" t="inlineStr">
        <is>
          <t>Bö B I 319/2°</t>
        </is>
      </c>
      <c r="Q15" t="inlineStr"/>
      <c r="R15" t="inlineStr"/>
      <c r="S15" t="inlineStr">
        <is>
          <t>Les @Agrémens de l'Écriture Moderne, Ou Exposition du Gout actuel des François sur l'Art d'Écrire : Dédié à Monsiur le Marquis de Thiboutos</t>
        </is>
      </c>
      <c r="T15" t="inlineStr">
        <is>
          <t xml:space="preserve"> : </t>
        </is>
      </c>
      <c r="U15" t="inlineStr">
        <is>
          <t>X</t>
        </is>
      </c>
      <c r="V15" t="inlineStr"/>
      <c r="W15" t="inlineStr">
        <is>
          <t>Papier- oder Pappeinband</t>
        </is>
      </c>
      <c r="X15" t="inlineStr">
        <is>
          <t>&gt; 42 cm</t>
        </is>
      </c>
      <c r="Y15" t="inlineStr">
        <is>
          <t>180°</t>
        </is>
      </c>
      <c r="Z15" t="inlineStr"/>
      <c r="AA15" t="inlineStr"/>
      <c r="AB15" t="inlineStr"/>
      <c r="AC15" t="inlineStr"/>
      <c r="AD15" t="n">
        <v>2</v>
      </c>
      <c r="AE15" t="inlineStr"/>
      <c r="AF15" t="inlineStr"/>
      <c r="AG15" t="inlineStr"/>
      <c r="AH15" t="inlineStr"/>
      <c r="AI15" t="inlineStr"/>
      <c r="AJ15" t="inlineStr">
        <is>
          <t>38x43</t>
        </is>
      </c>
      <c r="AK15" t="inlineStr"/>
      <c r="AL15" t="inlineStr"/>
      <c r="AM15" t="inlineStr"/>
      <c r="AN15" t="inlineStr">
        <is>
          <t>Pa</t>
        </is>
      </c>
      <c r="AO15" t="inlineStr"/>
      <c r="AP15" t="inlineStr"/>
      <c r="AQ15" t="inlineStr"/>
      <c r="AR15" t="inlineStr">
        <is>
          <t>h/E</t>
        </is>
      </c>
      <c r="AS15" t="inlineStr"/>
      <c r="AT15" t="inlineStr"/>
      <c r="AU15" t="inlineStr"/>
      <c r="AV15" t="inlineStr"/>
      <c r="AW15" t="inlineStr"/>
      <c r="AX15" t="inlineStr">
        <is>
          <t>Pa</t>
        </is>
      </c>
      <c r="AY15" t="inlineStr"/>
      <c r="AZ15" t="inlineStr"/>
      <c r="BA15" t="inlineStr"/>
      <c r="BB15" t="inlineStr"/>
      <c r="BC15" t="inlineStr"/>
      <c r="BD15" t="inlineStr"/>
      <c r="BE15" t="inlineStr"/>
      <c r="BF15" t="inlineStr"/>
      <c r="BG15" t="inlineStr">
        <is>
          <t>x</t>
        </is>
      </c>
      <c r="BH15" t="inlineStr"/>
      <c r="BI15" t="inlineStr"/>
      <c r="BJ15" t="inlineStr"/>
      <c r="BK15" t="inlineStr"/>
      <c r="BL15" t="n">
        <v>110</v>
      </c>
      <c r="BM15" t="inlineStr"/>
      <c r="BN15" t="inlineStr"/>
      <c r="BO15" t="inlineStr"/>
      <c r="BP15" t="inlineStr"/>
      <c r="BQ15" t="inlineStr"/>
      <c r="BR15" t="inlineStr">
        <is>
          <t>n</t>
        </is>
      </c>
      <c r="BS15" t="n">
        <v>0</v>
      </c>
      <c r="BT15" t="inlineStr"/>
      <c r="BU15" t="inlineStr"/>
      <c r="BV15" t="inlineStr"/>
      <c r="BW15" t="inlineStr"/>
      <c r="BX15" t="inlineStr"/>
      <c r="BY15" t="inlineStr"/>
      <c r="BZ15" t="inlineStr">
        <is>
          <t>x</t>
        </is>
      </c>
      <c r="CA15" t="inlineStr">
        <is>
          <t>Gelenke sind kaputt aber stabil, Umschlag anfertigen</t>
        </is>
      </c>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c r="DH15" t="inlineStr"/>
      <c r="DI15" t="inlineStr"/>
      <c r="DJ15" t="inlineStr"/>
      <c r="DK15" t="inlineStr"/>
      <c r="DL15" t="inlineStr"/>
    </row>
    <row r="16">
      <c r="A16" t="inlineStr">
        <is>
          <t>Schreibmeister</t>
        </is>
      </c>
      <c r="B16" t="b">
        <v>1</v>
      </c>
      <c r="C16" t="inlineStr"/>
      <c r="D16" t="inlineStr"/>
      <c r="E16" t="n">
        <v>9</v>
      </c>
      <c r="F16">
        <f>HYPERLINK("https://portal.dnb.de/opac.htm?method=simpleSearch&amp;cqlMode=true&amp;query=idn%3D994227140", "Portal")</f>
        <v/>
      </c>
      <c r="G16" t="inlineStr">
        <is>
          <t>Aal</t>
        </is>
      </c>
      <c r="H16">
        <f>HYPERLINK("https://portal.dnb.de/opac.htm?method=simpleSearch&amp;cqlMode=true&amp;query=idn%3D994227140", "Portal")</f>
        <v/>
      </c>
      <c r="I16" t="inlineStr">
        <is>
          <t>L-1743-154844934</t>
        </is>
      </c>
      <c r="J16" t="inlineStr">
        <is>
          <t>994227140</t>
        </is>
      </c>
      <c r="K16" t="inlineStr">
        <is>
          <t>Bö B I 323</t>
        </is>
      </c>
      <c r="L16" t="inlineStr">
        <is>
          <t>Bö B I 323</t>
        </is>
      </c>
      <c r="M16" t="inlineStr">
        <is>
          <t>Bö B I 323</t>
        </is>
      </c>
      <c r="N16" t="inlineStr">
        <is>
          <t>The @Universal Penman : Or the art of writing made useful to the gentleman and scholar, as well as the man of business ...</t>
        </is>
      </c>
      <c r="O16" t="inlineStr">
        <is>
          <t xml:space="preserve"> : </t>
        </is>
      </c>
      <c r="P16" t="inlineStr">
        <is>
          <t>Bö B I 323/4°</t>
        </is>
      </c>
      <c r="Q16" t="inlineStr"/>
      <c r="R16" t="inlineStr"/>
      <c r="S16" t="inlineStr">
        <is>
          <t>The @Universal Penman : Or the art of writing made useful to the gentleman and scholar, as well as the man of business ...</t>
        </is>
      </c>
      <c r="T16" t="inlineStr">
        <is>
          <t xml:space="preserve"> : </t>
        </is>
      </c>
      <c r="U16" t="inlineStr">
        <is>
          <t>X</t>
        </is>
      </c>
      <c r="V16" t="inlineStr"/>
      <c r="W16" t="inlineStr">
        <is>
          <t>Ledereinband</t>
        </is>
      </c>
      <c r="X16" t="inlineStr">
        <is>
          <t>bis 42 cm</t>
        </is>
      </c>
      <c r="Y16" t="inlineStr">
        <is>
          <t>80° bis 110°, einseitig digitalisierbar?</t>
        </is>
      </c>
      <c r="Z16" t="inlineStr"/>
      <c r="AA16" t="inlineStr"/>
      <c r="AB16" t="inlineStr">
        <is>
          <t>Kassette</t>
        </is>
      </c>
      <c r="AC16" t="inlineStr">
        <is>
          <t>Nein</t>
        </is>
      </c>
      <c r="AD16" t="n">
        <v>0</v>
      </c>
      <c r="AE16" t="inlineStr"/>
      <c r="AF16" t="inlineStr"/>
      <c r="AG16" t="inlineStr"/>
      <c r="AH16" t="inlineStr"/>
      <c r="AI16" t="inlineStr"/>
      <c r="AJ16" t="inlineStr"/>
      <c r="AK16" t="inlineStr"/>
      <c r="AL16" t="inlineStr"/>
      <c r="AM16" t="inlineStr"/>
      <c r="AN16" t="inlineStr">
        <is>
          <t>L</t>
        </is>
      </c>
      <c r="AO16" t="inlineStr"/>
      <c r="AP16" t="inlineStr"/>
      <c r="AQ16" t="inlineStr">
        <is>
          <t>x</t>
        </is>
      </c>
      <c r="AR16" t="inlineStr">
        <is>
          <t>f</t>
        </is>
      </c>
      <c r="AS16" t="inlineStr"/>
      <c r="AT16" t="inlineStr"/>
      <c r="AU16" t="inlineStr"/>
      <c r="AV16" t="inlineStr"/>
      <c r="AW16" t="inlineStr"/>
      <c r="AX16" t="inlineStr">
        <is>
          <t>Pa</t>
        </is>
      </c>
      <c r="AY16" t="inlineStr"/>
      <c r="AZ16" t="inlineStr"/>
      <c r="BA16" t="inlineStr"/>
      <c r="BB16" t="inlineStr"/>
      <c r="BC16" t="inlineStr"/>
      <c r="BD16" t="inlineStr"/>
      <c r="BE16" t="inlineStr"/>
      <c r="BF16" t="inlineStr"/>
      <c r="BG16" t="inlineStr">
        <is>
          <t>x</t>
        </is>
      </c>
      <c r="BH16" t="inlineStr"/>
      <c r="BI16" t="inlineStr"/>
      <c r="BJ16" t="inlineStr"/>
      <c r="BK16" t="inlineStr"/>
      <c r="BL16" t="n">
        <v>110</v>
      </c>
      <c r="BM16" t="inlineStr"/>
      <c r="BN16" t="inlineStr"/>
      <c r="BO16" t="inlineStr"/>
      <c r="BP16" t="inlineStr"/>
      <c r="BQ16" t="inlineStr"/>
      <c r="BR16" t="inlineStr">
        <is>
          <t>n</t>
        </is>
      </c>
      <c r="BS16" t="n">
        <v>0</v>
      </c>
      <c r="BT16" t="inlineStr"/>
      <c r="BU16" t="inlineStr">
        <is>
          <t>Gewebe</t>
        </is>
      </c>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c r="DH16" t="inlineStr"/>
      <c r="DI16" t="inlineStr"/>
      <c r="DJ16" t="inlineStr"/>
      <c r="DK16" t="inlineStr"/>
      <c r="DL16" t="inlineStr"/>
    </row>
    <row r="17">
      <c r="A17" t="inlineStr">
        <is>
          <t>Schreibmeister</t>
        </is>
      </c>
      <c r="B17" t="b">
        <v>1</v>
      </c>
      <c r="C17" t="inlineStr"/>
      <c r="D17" t="inlineStr"/>
      <c r="E17" t="n">
        <v>10</v>
      </c>
      <c r="F17">
        <f>HYPERLINK("https://portal.dnb.de/opac.htm?method=simpleSearch&amp;cqlMode=true&amp;query=idn%3D994248199", "Portal")</f>
        <v/>
      </c>
      <c r="G17" t="inlineStr">
        <is>
          <t>Aal</t>
        </is>
      </c>
      <c r="H17">
        <f>HYPERLINK("https://portal.dnb.de/opac.htm?method=simpleSearch&amp;cqlMode=true&amp;query=idn%3D994248199", "Portal")</f>
        <v/>
      </c>
      <c r="I17" t="inlineStr">
        <is>
          <t>L-1732-154867489</t>
        </is>
      </c>
      <c r="J17" t="inlineStr">
        <is>
          <t>994248199</t>
        </is>
      </c>
      <c r="K17" t="inlineStr">
        <is>
          <t>Bö B I 324</t>
        </is>
      </c>
      <c r="L17" t="inlineStr">
        <is>
          <t>Bö B I 324</t>
        </is>
      </c>
      <c r="M17" t="inlineStr">
        <is>
          <t>Bö B I 324</t>
        </is>
      </c>
      <c r="N17" t="inlineStr">
        <is>
          <t xml:space="preserve">Les @elemens ou premières instructions de la jeunesse : </t>
        </is>
      </c>
      <c r="O17" t="inlineStr">
        <is>
          <t xml:space="preserve"> : </t>
        </is>
      </c>
      <c r="P17" t="inlineStr">
        <is>
          <t>Bö B I 324</t>
        </is>
      </c>
      <c r="Q17" t="inlineStr"/>
      <c r="R17" t="inlineStr"/>
      <c r="S17" t="inlineStr">
        <is>
          <t xml:space="preserve">Les @elemens ou premières instructions de la jeunesse : </t>
        </is>
      </c>
      <c r="T17" t="inlineStr">
        <is>
          <t xml:space="preserve"> : </t>
        </is>
      </c>
      <c r="U17" t="inlineStr">
        <is>
          <t>X</t>
        </is>
      </c>
      <c r="V17" t="inlineStr"/>
      <c r="W17" t="inlineStr">
        <is>
          <t>Ledereinband</t>
        </is>
      </c>
      <c r="X17" t="inlineStr">
        <is>
          <t>bis 25 cm</t>
        </is>
      </c>
      <c r="Y17" t="inlineStr">
        <is>
          <t>80° bis 110°, einseitig digitalisierbar?</t>
        </is>
      </c>
      <c r="Z17" t="inlineStr">
        <is>
          <t>fester Rücken mit Schmuckprägung</t>
        </is>
      </c>
      <c r="AA17" t="inlineStr"/>
      <c r="AB17" t="inlineStr">
        <is>
          <t>Kassette</t>
        </is>
      </c>
      <c r="AC17" t="inlineStr">
        <is>
          <t>Nein</t>
        </is>
      </c>
      <c r="AD17" t="n">
        <v>0</v>
      </c>
      <c r="AE17" t="inlineStr"/>
      <c r="AF17" t="inlineStr"/>
      <c r="AG17" t="inlineStr"/>
      <c r="AH17" t="inlineStr"/>
      <c r="AI17" t="inlineStr"/>
      <c r="AJ17" t="inlineStr"/>
      <c r="AK17" t="inlineStr"/>
      <c r="AL17" t="inlineStr"/>
      <c r="AM17" t="inlineStr"/>
      <c r="AN17" t="inlineStr">
        <is>
          <t>L</t>
        </is>
      </c>
      <c r="AO17" t="inlineStr"/>
      <c r="AP17" t="inlineStr"/>
      <c r="AQ17" t="inlineStr"/>
      <c r="AR17" t="inlineStr">
        <is>
          <t>f/V</t>
        </is>
      </c>
      <c r="AS17" t="inlineStr"/>
      <c r="AT17" t="inlineStr"/>
      <c r="AU17" t="inlineStr"/>
      <c r="AV17" t="inlineStr"/>
      <c r="AW17" t="inlineStr"/>
      <c r="AX17" t="inlineStr">
        <is>
          <t>Pa</t>
        </is>
      </c>
      <c r="AY17" t="inlineStr"/>
      <c r="AZ17" t="inlineStr"/>
      <c r="BA17" t="inlineStr"/>
      <c r="BB17" t="inlineStr"/>
      <c r="BC17" t="inlineStr"/>
      <c r="BD17" t="inlineStr"/>
      <c r="BE17" t="inlineStr"/>
      <c r="BF17" t="inlineStr"/>
      <c r="BG17" t="inlineStr"/>
      <c r="BH17" t="inlineStr"/>
      <c r="BI17" t="inlineStr"/>
      <c r="BJ17" t="inlineStr"/>
      <c r="BK17" t="inlineStr"/>
      <c r="BL17" t="n">
        <v>60</v>
      </c>
      <c r="BM17" t="inlineStr"/>
      <c r="BN17" t="inlineStr"/>
      <c r="BO17" t="inlineStr"/>
      <c r="BP17" t="inlineStr"/>
      <c r="BQ17" t="inlineStr">
        <is>
          <t>x</t>
        </is>
      </c>
      <c r="BR17" t="inlineStr">
        <is>
          <t>n</t>
        </is>
      </c>
      <c r="BS17" t="n">
        <v>0</v>
      </c>
      <c r="BT17" t="inlineStr"/>
      <c r="BU17" t="inlineStr">
        <is>
          <t>Wellpappe</t>
        </is>
      </c>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c r="DH17" t="inlineStr"/>
      <c r="DI17" t="inlineStr"/>
      <c r="DJ17" t="inlineStr"/>
      <c r="DK17" t="inlineStr"/>
      <c r="DL17" t="inlineStr"/>
    </row>
    <row r="18">
      <c r="A18" t="inlineStr">
        <is>
          <t>Schreibmeister</t>
        </is>
      </c>
      <c r="B18" t="b">
        <v>1</v>
      </c>
      <c r="C18" t="inlineStr"/>
      <c r="D18" t="inlineStr"/>
      <c r="E18" t="n">
        <v>11</v>
      </c>
      <c r="F18">
        <f>HYPERLINK("https://portal.dnb.de/opac.htm?method=simpleSearch&amp;cqlMode=true&amp;query=idn%3D99424603X", "Portal")</f>
        <v/>
      </c>
      <c r="G18" t="inlineStr">
        <is>
          <t>Aal</t>
        </is>
      </c>
      <c r="H18">
        <f>HYPERLINK("https://portal.dnb.de/opac.htm?method=simpleSearch&amp;cqlMode=true&amp;query=idn%3D99424603X", "Portal")</f>
        <v/>
      </c>
      <c r="I18" t="inlineStr">
        <is>
          <t>L-1732-15486515X</t>
        </is>
      </c>
      <c r="J18" t="inlineStr">
        <is>
          <t>99424603X</t>
        </is>
      </c>
      <c r="K18" t="inlineStr">
        <is>
          <t>Bö B I 324 a</t>
        </is>
      </c>
      <c r="L18" t="inlineStr">
        <is>
          <t>Bö B I 324 a</t>
        </is>
      </c>
      <c r="M18" t="inlineStr">
        <is>
          <t>Bö B I 324 a</t>
        </is>
      </c>
      <c r="N18" t="inlineStr">
        <is>
          <t>Nouveaux exemplaires d'Écriture d'vne beauté Singuliere Ecrits par Estienne de Blegny Me Écriuain à Paris Iuré expert Étably pour Verifier les Écritur</t>
        </is>
      </c>
      <c r="O18" t="inlineStr">
        <is>
          <t xml:space="preserve"> : </t>
        </is>
      </c>
      <c r="P18" t="inlineStr">
        <is>
          <t>Bö B I 324a</t>
        </is>
      </c>
      <c r="Q18" t="inlineStr"/>
      <c r="R18" t="inlineStr"/>
      <c r="S18" t="inlineStr">
        <is>
          <t>Nouveaux exemplaires d'Écriture d'vne beauté Singuliere Ecrits par Estienne de Blegny Me Écriuain à Paris Iuré expert Étably pour Verifier les Écritur</t>
        </is>
      </c>
      <c r="T18" t="inlineStr">
        <is>
          <t xml:space="preserve"> : </t>
        </is>
      </c>
      <c r="U18" t="inlineStr"/>
      <c r="V18" t="inlineStr"/>
      <c r="W18" t="inlineStr">
        <is>
          <t>Halbpergamentband</t>
        </is>
      </c>
      <c r="X18" t="inlineStr">
        <is>
          <t>bis 25 cm</t>
        </is>
      </c>
      <c r="Y18" t="inlineStr">
        <is>
          <t>80° bis 110°, einseitig digitalisierbar?</t>
        </is>
      </c>
      <c r="Z18" t="inlineStr">
        <is>
          <t>fester Rücken mit Schmuckprägung</t>
        </is>
      </c>
      <c r="AA18" t="inlineStr"/>
      <c r="AB18" t="inlineStr">
        <is>
          <t>Archivkarton</t>
        </is>
      </c>
      <c r="AC18" t="inlineStr">
        <is>
          <t>Nein</t>
        </is>
      </c>
      <c r="AD18" t="n">
        <v>0</v>
      </c>
      <c r="AE18" t="inlineStr"/>
      <c r="AF18" t="inlineStr"/>
      <c r="AG18" t="inlineStr"/>
      <c r="AH18" t="inlineStr"/>
      <c r="AI18" t="inlineStr"/>
      <c r="AJ18" t="inlineStr"/>
      <c r="AK18" t="inlineStr"/>
      <c r="AL18" t="inlineStr"/>
      <c r="AM18" t="inlineStr"/>
      <c r="AN18" t="inlineStr">
        <is>
          <t>HPg</t>
        </is>
      </c>
      <c r="AO18" t="inlineStr"/>
      <c r="AP18" t="inlineStr"/>
      <c r="AQ18" t="inlineStr"/>
      <c r="AR18" t="inlineStr">
        <is>
          <t>h/E</t>
        </is>
      </c>
      <c r="AS18" t="inlineStr"/>
      <c r="AT18" t="inlineStr"/>
      <c r="AU18" t="inlineStr"/>
      <c r="AV18" t="inlineStr"/>
      <c r="AW18" t="inlineStr"/>
      <c r="AX18" t="inlineStr">
        <is>
          <t>Pa</t>
        </is>
      </c>
      <c r="AY18" t="inlineStr"/>
      <c r="AZ18" t="inlineStr"/>
      <c r="BA18" t="inlineStr"/>
      <c r="BB18" t="inlineStr"/>
      <c r="BC18" t="inlineStr"/>
      <c r="BD18" t="inlineStr"/>
      <c r="BE18" t="inlineStr"/>
      <c r="BF18" t="inlineStr"/>
      <c r="BG18" t="inlineStr">
        <is>
          <t>x</t>
        </is>
      </c>
      <c r="BH18" t="inlineStr"/>
      <c r="BI18" t="inlineStr">
        <is>
          <t>x</t>
        </is>
      </c>
      <c r="BJ18" t="n">
        <v>0</v>
      </c>
      <c r="BK18" t="inlineStr">
        <is>
          <t>x</t>
        </is>
      </c>
      <c r="BL18" t="n">
        <v>110</v>
      </c>
      <c r="BM18" t="inlineStr"/>
      <c r="BN18" t="inlineStr"/>
      <c r="BO18" t="inlineStr"/>
      <c r="BP18" t="inlineStr"/>
      <c r="BQ18" t="inlineStr">
        <is>
          <t>x</t>
        </is>
      </c>
      <c r="BR18" t="inlineStr">
        <is>
          <t>n</t>
        </is>
      </c>
      <c r="BS18" t="n">
        <v>0</v>
      </c>
      <c r="BT18" t="inlineStr"/>
      <c r="BU18" t="inlineStr">
        <is>
          <t>Wellpappe</t>
        </is>
      </c>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c r="DH18" t="inlineStr"/>
      <c r="DI18" t="inlineStr"/>
      <c r="DJ18" t="inlineStr"/>
      <c r="DK18" t="inlineStr"/>
      <c r="DL18" t="inlineStr"/>
    </row>
    <row r="19">
      <c r="A19" t="inlineStr">
        <is>
          <t>Schreibmeister</t>
        </is>
      </c>
      <c r="B19" t="b">
        <v>1</v>
      </c>
      <c r="C19" t="inlineStr"/>
      <c r="D19" t="inlineStr"/>
      <c r="E19" t="inlineStr"/>
      <c r="F19">
        <f>HYPERLINK("https://portal.dnb.de/opac.htm?method=simpleSearch&amp;cqlMode=true&amp;query=idn%3D994308108", "Portal")</f>
        <v/>
      </c>
      <c r="G19" t="inlineStr">
        <is>
          <t>Aal</t>
        </is>
      </c>
      <c r="H19">
        <f>HYPERLINK("https://portal.dnb.de/opac.htm?method=simpleSearch&amp;cqlMode=true&amp;query=idn%3D994308108", "Portal")</f>
        <v/>
      </c>
      <c r="I19" t="inlineStr">
        <is>
          <t>L-1797-155364162</t>
        </is>
      </c>
      <c r="J19" t="inlineStr">
        <is>
          <t>994308108</t>
        </is>
      </c>
      <c r="K19" t="inlineStr">
        <is>
          <t>Bö B I 328/2°</t>
        </is>
      </c>
      <c r="L19" t="inlineStr">
        <is>
          <t>(Großformate)</t>
        </is>
      </c>
      <c r="M19" t="inlineStr">
        <is>
          <t>Bö B I 328/2°</t>
        </is>
      </c>
      <c r="N19" t="inlineStr">
        <is>
          <t xml:space="preserve">Calligraphie ou L'art de l'écriture : </t>
        </is>
      </c>
      <c r="O19" t="inlineStr">
        <is>
          <t xml:space="preserve"> : </t>
        </is>
      </c>
      <c r="P19" t="inlineStr">
        <is>
          <t>Bö B I 328/2°</t>
        </is>
      </c>
      <c r="Q19" t="inlineStr"/>
      <c r="R19" t="inlineStr"/>
      <c r="S19" t="inlineStr">
        <is>
          <t xml:space="preserve">Calligraphie ou L'art de l'écriture : </t>
        </is>
      </c>
      <c r="T19" t="inlineStr">
        <is>
          <t xml:space="preserve"> : </t>
        </is>
      </c>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c r="DH19" t="inlineStr"/>
      <c r="DI19" t="inlineStr"/>
      <c r="DJ19" t="inlineStr"/>
      <c r="DK19" t="inlineStr"/>
      <c r="DL19" t="inlineStr"/>
    </row>
    <row r="20">
      <c r="A20" t="inlineStr">
        <is>
          <t>Schreibmeister</t>
        </is>
      </c>
      <c r="B20" t="b">
        <v>1</v>
      </c>
      <c r="C20" t="inlineStr">
        <is>
          <t>x</t>
        </is>
      </c>
      <c r="D20" t="inlineStr"/>
      <c r="E20" t="n">
        <v>13</v>
      </c>
      <c r="F20">
        <f>HYPERLINK("https://portal.dnb.de/opac.htm?method=simpleSearch&amp;cqlMode=true&amp;query=idn%3D994377800", "Portal")</f>
        <v/>
      </c>
      <c r="G20" t="inlineStr">
        <is>
          <t>Aal</t>
        </is>
      </c>
      <c r="H20">
        <f>HYPERLINK("https://portal.dnb.de/opac.htm?method=simpleSearch&amp;cqlMode=true&amp;query=idn%3D994377800", "Portal")</f>
        <v/>
      </c>
      <c r="I20" t="inlineStr">
        <is>
          <t>L-1766-155561243</t>
        </is>
      </c>
      <c r="J20" t="inlineStr">
        <is>
          <t>994377800</t>
        </is>
      </c>
      <c r="K20" t="inlineStr">
        <is>
          <t>Bö B I 329/4°</t>
        </is>
      </c>
      <c r="L20" t="inlineStr">
        <is>
          <t>Bö B I 329/4°</t>
        </is>
      </c>
      <c r="M20" t="inlineStr">
        <is>
          <t>Bö B I 329/4°</t>
        </is>
      </c>
      <c r="N20" t="inlineStr">
        <is>
          <t xml:space="preserve">Vorschrift :||Zu nutzlicher Nach-||-ahmung und einer|| fleißigen Ubung zu gutem|| vorgestellt und geschrieben : </t>
        </is>
      </c>
      <c r="O20" t="inlineStr">
        <is>
          <t xml:space="preserve"> : </t>
        </is>
      </c>
      <c r="P20" t="inlineStr">
        <is>
          <t>Bö B I 329/4°</t>
        </is>
      </c>
      <c r="Q20" t="inlineStr"/>
      <c r="R20" t="inlineStr"/>
      <c r="S20" t="inlineStr">
        <is>
          <t xml:space="preserve">Vorschrift :||Zu nutzlicher Nach-||-ahmung und einer|| fleißigen Ubung zu gutem|| vorgestellt und geschrieben : </t>
        </is>
      </c>
      <c r="T20" t="inlineStr">
        <is>
          <t xml:space="preserve"> : </t>
        </is>
      </c>
      <c r="U20" t="inlineStr">
        <is>
          <t>X</t>
        </is>
      </c>
      <c r="V20" t="inlineStr"/>
      <c r="W20" t="inlineStr">
        <is>
          <t>Papier- oder Pappeinband</t>
        </is>
      </c>
      <c r="X20" t="inlineStr">
        <is>
          <t>bis 35 cm</t>
        </is>
      </c>
      <c r="Y20" t="inlineStr">
        <is>
          <t>180°</t>
        </is>
      </c>
      <c r="Z20" t="inlineStr"/>
      <c r="AA20" t="inlineStr"/>
      <c r="AB20" t="inlineStr">
        <is>
          <t xml:space="preserve">Papierumschlag </t>
        </is>
      </c>
      <c r="AC20" t="inlineStr">
        <is>
          <t>Ja</t>
        </is>
      </c>
      <c r="AD20" t="n">
        <v>1</v>
      </c>
      <c r="AE20" t="inlineStr"/>
      <c r="AF20" t="inlineStr"/>
      <c r="AG20" t="inlineStr"/>
      <c r="AH20" t="inlineStr"/>
      <c r="AI20" t="inlineStr"/>
      <c r="AJ20" t="inlineStr"/>
      <c r="AK20" t="inlineStr">
        <is>
          <t>QF (43x30)</t>
        </is>
      </c>
      <c r="AL20" t="inlineStr"/>
      <c r="AM20" t="inlineStr"/>
      <c r="AN20" t="inlineStr">
        <is>
          <t>Pa</t>
        </is>
      </c>
      <c r="AO20" t="inlineStr"/>
      <c r="AP20" t="inlineStr"/>
      <c r="AQ20" t="inlineStr"/>
      <c r="AR20" t="inlineStr">
        <is>
          <t>h/E</t>
        </is>
      </c>
      <c r="AS20" t="inlineStr"/>
      <c r="AT20" t="inlineStr"/>
      <c r="AU20" t="inlineStr"/>
      <c r="AV20" t="inlineStr"/>
      <c r="AW20" t="inlineStr"/>
      <c r="AX20" t="inlineStr">
        <is>
          <t>Pa</t>
        </is>
      </c>
      <c r="AY20" t="inlineStr"/>
      <c r="AZ20" t="inlineStr"/>
      <c r="BA20" t="inlineStr"/>
      <c r="BB20" t="inlineStr"/>
      <c r="BC20" t="inlineStr"/>
      <c r="BD20" t="inlineStr"/>
      <c r="BE20" t="inlineStr"/>
      <c r="BF20" t="inlineStr"/>
      <c r="BG20" t="inlineStr">
        <is>
          <t>x</t>
        </is>
      </c>
      <c r="BH20" t="inlineStr"/>
      <c r="BI20" t="inlineStr"/>
      <c r="BJ20" t="inlineStr"/>
      <c r="BK20" t="inlineStr"/>
      <c r="BL20" t="inlineStr">
        <is>
          <t>max 180</t>
        </is>
      </c>
      <c r="BM20" t="inlineStr"/>
      <c r="BN20" t="inlineStr"/>
      <c r="BO20" t="inlineStr"/>
      <c r="BP20" t="inlineStr"/>
      <c r="BQ20" t="inlineStr"/>
      <c r="BR20" t="inlineStr">
        <is>
          <t>ja vor</t>
        </is>
      </c>
      <c r="BS20" t="n">
        <v>1</v>
      </c>
      <c r="BT20" t="inlineStr"/>
      <c r="BU20" t="inlineStr"/>
      <c r="BV20" t="inlineStr"/>
      <c r="BW20" t="inlineStr"/>
      <c r="BX20" t="inlineStr"/>
      <c r="BY20" t="inlineStr">
        <is>
          <t>x sauer</t>
        </is>
      </c>
      <c r="BZ20" t="inlineStr">
        <is>
          <t>x</t>
        </is>
      </c>
      <c r="CA20" t="inlineStr">
        <is>
          <t>mind. Jurismappe (versteift)</t>
        </is>
      </c>
      <c r="CB20" t="inlineStr"/>
      <c r="CC20" t="inlineStr"/>
      <c r="CD20" t="inlineStr"/>
      <c r="CE20" t="inlineStr"/>
      <c r="CF20" t="inlineStr"/>
      <c r="CG20" t="inlineStr">
        <is>
          <t>x</t>
        </is>
      </c>
      <c r="CH20" t="inlineStr"/>
      <c r="CI20" t="inlineStr"/>
      <c r="CJ20" t="inlineStr"/>
      <c r="CK20" t="inlineStr"/>
      <c r="CL20" t="inlineStr"/>
      <c r="CM20" t="inlineStr"/>
      <c r="CN20" t="inlineStr"/>
      <c r="CO20" t="inlineStr"/>
      <c r="CP20" t="inlineStr"/>
      <c r="CQ20" t="inlineStr"/>
      <c r="CR20" t="n">
        <v>1</v>
      </c>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c r="DH20" t="inlineStr"/>
      <c r="DI20" t="inlineStr"/>
      <c r="DJ20" t="inlineStr"/>
      <c r="DK20" t="inlineStr"/>
      <c r="DL20" t="inlineStr"/>
    </row>
    <row r="21">
      <c r="A21" t="inlineStr">
        <is>
          <t>Schreibmeister</t>
        </is>
      </c>
      <c r="B21" t="b">
        <v>1</v>
      </c>
      <c r="C21" t="inlineStr">
        <is>
          <t>x</t>
        </is>
      </c>
      <c r="D21" t="inlineStr"/>
      <c r="E21" t="n">
        <v>14</v>
      </c>
      <c r="F21">
        <f>HYPERLINK("https://portal.dnb.de/opac.htm?method=simpleSearch&amp;cqlMode=true&amp;query=idn%3D994405464", "Portal")</f>
        <v/>
      </c>
      <c r="G21" t="inlineStr">
        <is>
          <t>Aal</t>
        </is>
      </c>
      <c r="H21">
        <f>HYPERLINK("https://portal.dnb.de/opac.htm?method=simpleSearch&amp;cqlMode=true&amp;query=idn%3D994405464", "Portal")</f>
        <v/>
      </c>
      <c r="I21" t="inlineStr">
        <is>
          <t>L-1799-155716743</t>
        </is>
      </c>
      <c r="J21" t="inlineStr">
        <is>
          <t>994405464</t>
        </is>
      </c>
      <c r="K21" t="inlineStr">
        <is>
          <t>Bö B I 331/4°</t>
        </is>
      </c>
      <c r="L21" t="inlineStr">
        <is>
          <t>Bö B I 331/4°</t>
        </is>
      </c>
      <c r="M21" t="inlineStr">
        <is>
          <t>Bö B I 331/4°</t>
        </is>
      </c>
      <c r="N21" t="inlineStr">
        <is>
          <t>Butterworth's|| Universal Penman|| Or The|| Beauties of Writing Delineated|| In all the various hands now practised.|| Designed|| For The ||Improvemen</t>
        </is>
      </c>
      <c r="O21" t="inlineStr">
        <is>
          <t xml:space="preserve"> : </t>
        </is>
      </c>
      <c r="P21" t="inlineStr">
        <is>
          <t>Bö B I 331/4°</t>
        </is>
      </c>
      <c r="Q21" t="inlineStr"/>
      <c r="R21" t="inlineStr"/>
      <c r="S21" t="inlineStr">
        <is>
          <t>Butterworth's|| Universal Penman|| Or The|| Beauties of Writing Delineated|| In all the various hands now practised.|| Designed|| For The ||Improvemen</t>
        </is>
      </c>
      <c r="T21" t="inlineStr">
        <is>
          <t xml:space="preserve"> : </t>
        </is>
      </c>
      <c r="U21" t="inlineStr">
        <is>
          <t>X</t>
        </is>
      </c>
      <c r="V21" t="inlineStr"/>
      <c r="W21" t="inlineStr">
        <is>
          <t>Halbledereinband</t>
        </is>
      </c>
      <c r="X21" t="inlineStr">
        <is>
          <t>bis 35 cm</t>
        </is>
      </c>
      <c r="Y21" t="inlineStr">
        <is>
          <t>80° bis 110°, einseitig digitalisierbar?</t>
        </is>
      </c>
      <c r="Z21" t="inlineStr">
        <is>
          <t>stark brüchiges Einbandmaterial</t>
        </is>
      </c>
      <c r="AA21" t="inlineStr"/>
      <c r="AB21" t="inlineStr"/>
      <c r="AC21" t="inlineStr"/>
      <c r="AD21" t="n">
        <v>2</v>
      </c>
      <c r="AE21" t="inlineStr"/>
      <c r="AF21" t="inlineStr"/>
      <c r="AG21" t="inlineStr"/>
      <c r="AH21" t="inlineStr"/>
      <c r="AI21" t="inlineStr"/>
      <c r="AJ21" t="inlineStr"/>
      <c r="AK21" t="inlineStr">
        <is>
          <t>QF (48x29)</t>
        </is>
      </c>
      <c r="AL21" t="inlineStr"/>
      <c r="AM21" t="inlineStr"/>
      <c r="AN21" t="inlineStr">
        <is>
          <t>HL</t>
        </is>
      </c>
      <c r="AO21" t="inlineStr"/>
      <c r="AP21" t="inlineStr"/>
      <c r="AQ21" t="inlineStr"/>
      <c r="AR21" t="inlineStr">
        <is>
          <t>h/E</t>
        </is>
      </c>
      <c r="AS21" t="inlineStr"/>
      <c r="AT21" t="inlineStr"/>
      <c r="AU21" t="inlineStr"/>
      <c r="AV21" t="inlineStr"/>
      <c r="AW21" t="inlineStr"/>
      <c r="AX21" t="inlineStr">
        <is>
          <t>Pa</t>
        </is>
      </c>
      <c r="AY21" t="inlineStr"/>
      <c r="AZ21" t="inlineStr"/>
      <c r="BA21" t="inlineStr"/>
      <c r="BB21" t="inlineStr"/>
      <c r="BC21" t="inlineStr"/>
      <c r="BD21" t="inlineStr"/>
      <c r="BE21" t="inlineStr"/>
      <c r="BF21" t="inlineStr"/>
      <c r="BG21" t="inlineStr">
        <is>
          <t>x</t>
        </is>
      </c>
      <c r="BH21" t="inlineStr"/>
      <c r="BI21" t="inlineStr"/>
      <c r="BJ21" t="inlineStr"/>
      <c r="BK21" t="inlineStr"/>
      <c r="BL21" t="n">
        <v>110</v>
      </c>
      <c r="BM21" t="inlineStr"/>
      <c r="BN21" t="inlineStr"/>
      <c r="BO21" t="inlineStr"/>
      <c r="BP21" t="inlineStr"/>
      <c r="BQ21" t="inlineStr"/>
      <c r="BR21" t="inlineStr">
        <is>
          <t>ja vor</t>
        </is>
      </c>
      <c r="BS21" t="n">
        <v>1</v>
      </c>
      <c r="BT21" t="inlineStr"/>
      <c r="BU21" t="inlineStr"/>
      <c r="BV21" t="inlineStr"/>
      <c r="BW21" t="inlineStr"/>
      <c r="BX21" t="inlineStr"/>
      <c r="BY21" t="inlineStr"/>
      <c r="BZ21" t="inlineStr"/>
      <c r="CA21" t="inlineStr"/>
      <c r="CB21" t="inlineStr"/>
      <c r="CC21" t="inlineStr"/>
      <c r="CD21" t="inlineStr"/>
      <c r="CE21" t="inlineStr"/>
      <c r="CF21" t="inlineStr">
        <is>
          <t>x</t>
        </is>
      </c>
      <c r="CG21" t="inlineStr">
        <is>
          <t>x</t>
        </is>
      </c>
      <c r="CH21" t="inlineStr"/>
      <c r="CI21" t="inlineStr">
        <is>
          <t>v</t>
        </is>
      </c>
      <c r="CJ21" t="inlineStr"/>
      <c r="CK21" t="inlineStr"/>
      <c r="CL21" t="inlineStr"/>
      <c r="CM21" t="inlineStr"/>
      <c r="CN21" t="inlineStr"/>
      <c r="CO21" t="inlineStr"/>
      <c r="CP21" t="inlineStr"/>
      <c r="CQ21" t="inlineStr"/>
      <c r="CR21" t="n">
        <v>1</v>
      </c>
      <c r="CS21" t="inlineStr">
        <is>
          <t>Gelenk nur oben und unten sichern</t>
        </is>
      </c>
      <c r="CT21" t="inlineStr"/>
      <c r="CU21" t="inlineStr"/>
      <c r="CV21" t="inlineStr"/>
      <c r="CW21" t="inlineStr"/>
      <c r="CX21" t="inlineStr"/>
      <c r="CY21" t="inlineStr"/>
      <c r="CZ21" t="inlineStr"/>
      <c r="DA21" t="inlineStr"/>
      <c r="DB21" t="inlineStr"/>
      <c r="DC21" t="inlineStr"/>
      <c r="DD21" t="inlineStr"/>
      <c r="DE21" t="inlineStr"/>
      <c r="DF21" t="inlineStr"/>
      <c r="DG21" t="inlineStr"/>
      <c r="DH21" t="inlineStr"/>
      <c r="DI21" t="inlineStr"/>
      <c r="DJ21" t="inlineStr"/>
      <c r="DK21" t="inlineStr"/>
      <c r="DL21" t="inlineStr"/>
    </row>
    <row r="22">
      <c r="A22" t="inlineStr">
        <is>
          <t>Schreibmeister</t>
        </is>
      </c>
      <c r="B22" t="b">
        <v>1</v>
      </c>
      <c r="C22" t="inlineStr"/>
      <c r="D22" t="inlineStr"/>
      <c r="E22" t="n">
        <v>15</v>
      </c>
      <c r="F22">
        <f>HYPERLINK("https://portal.dnb.de/opac.htm?method=simpleSearch&amp;cqlMode=true&amp;query=idn%3D994698852", "Portal")</f>
        <v/>
      </c>
      <c r="G22" t="inlineStr">
        <is>
          <t>Aal</t>
        </is>
      </c>
      <c r="H22">
        <f>HYPERLINK("https://portal.dnb.de/opac.htm?method=simpleSearch&amp;cqlMode=true&amp;query=idn%3D994698852", "Portal")</f>
        <v/>
      </c>
      <c r="I22" t="inlineStr">
        <is>
          <t>L-1829-15757489X</t>
        </is>
      </c>
      <c r="J22" t="inlineStr">
        <is>
          <t>994698852</t>
        </is>
      </c>
      <c r="K22" t="inlineStr">
        <is>
          <t>Bö B I 334</t>
        </is>
      </c>
      <c r="L22" t="inlineStr">
        <is>
          <t>Bö B I 334</t>
        </is>
      </c>
      <c r="M22" t="inlineStr">
        <is>
          <t>Bö B I 334</t>
        </is>
      </c>
      <c r="N22" t="inlineStr">
        <is>
          <t xml:space="preserve">Metodo di G. Carstairs, falsamente chiamato metodo Americano ossia l'arte d'imparare a scrivere o migliorare la scrittura in poche lezioni : </t>
        </is>
      </c>
      <c r="O22" t="inlineStr">
        <is>
          <t xml:space="preserve"> : </t>
        </is>
      </c>
      <c r="P22" t="inlineStr">
        <is>
          <t>Bö B I 334</t>
        </is>
      </c>
      <c r="Q22" t="inlineStr"/>
      <c r="R22" t="inlineStr"/>
      <c r="S22" t="inlineStr">
        <is>
          <t xml:space="preserve">Metodo di G. Carstairs, falsamente chiamato metodo Americano ossia l'arte d'imparare a scrivere o migliorare la scrittura in poche lezioni : </t>
        </is>
      </c>
      <c r="T22" t="inlineStr">
        <is>
          <t xml:space="preserve"> : </t>
        </is>
      </c>
      <c r="U22" t="inlineStr">
        <is>
          <t>X</t>
        </is>
      </c>
      <c r="V22" t="inlineStr"/>
      <c r="W22" t="inlineStr">
        <is>
          <t>Papier- oder Pappeinband</t>
        </is>
      </c>
      <c r="X22" t="inlineStr">
        <is>
          <t>bis 25 cm</t>
        </is>
      </c>
      <c r="Y22" t="inlineStr">
        <is>
          <t>180°</t>
        </is>
      </c>
      <c r="Z22" t="inlineStr"/>
      <c r="AA22" t="inlineStr"/>
      <c r="AB22" t="inlineStr">
        <is>
          <t>Archivkarton</t>
        </is>
      </c>
      <c r="AC22" t="inlineStr">
        <is>
          <t>Nein</t>
        </is>
      </c>
      <c r="AD22" t="n">
        <v>0</v>
      </c>
      <c r="AE22" t="inlineStr"/>
      <c r="AF22" t="inlineStr"/>
      <c r="AG22" t="inlineStr"/>
      <c r="AH22" t="inlineStr"/>
      <c r="AI22" t="inlineStr"/>
      <c r="AJ22" t="inlineStr"/>
      <c r="AK22" t="inlineStr"/>
      <c r="AL22" t="inlineStr"/>
      <c r="AM22" t="inlineStr"/>
      <c r="AN22" t="inlineStr">
        <is>
          <t>Pa</t>
        </is>
      </c>
      <c r="AO22" t="inlineStr"/>
      <c r="AP22" t="inlineStr"/>
      <c r="AQ22" t="inlineStr"/>
      <c r="AR22" t="inlineStr">
        <is>
          <t>h/E</t>
        </is>
      </c>
      <c r="AS22" t="inlineStr"/>
      <c r="AT22" t="inlineStr"/>
      <c r="AU22" t="inlineStr"/>
      <c r="AV22" t="inlineStr"/>
      <c r="AW22" t="inlineStr"/>
      <c r="AX22" t="inlineStr">
        <is>
          <t>Pa</t>
        </is>
      </c>
      <c r="AY22" t="inlineStr"/>
      <c r="AZ22" t="inlineStr"/>
      <c r="BA22" t="inlineStr"/>
      <c r="BB22" t="inlineStr"/>
      <c r="BC22" t="inlineStr"/>
      <c r="BD22" t="inlineStr"/>
      <c r="BE22" t="inlineStr"/>
      <c r="BF22" t="inlineStr"/>
      <c r="BG22" t="inlineStr"/>
      <c r="BH22" t="inlineStr"/>
      <c r="BI22" t="inlineStr"/>
      <c r="BJ22" t="inlineStr"/>
      <c r="BK22" t="inlineStr"/>
      <c r="BL22" t="n">
        <v>110</v>
      </c>
      <c r="BM22" t="inlineStr"/>
      <c r="BN22" t="inlineStr"/>
      <c r="BO22" t="inlineStr"/>
      <c r="BP22" t="inlineStr"/>
      <c r="BQ22" t="inlineStr"/>
      <c r="BR22" t="inlineStr">
        <is>
          <t>n</t>
        </is>
      </c>
      <c r="BS22" t="n">
        <v>0</v>
      </c>
      <c r="BT22" t="inlineStr"/>
      <c r="BU22" t="inlineStr">
        <is>
          <t>Wellpappe</t>
        </is>
      </c>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c r="DH22" t="inlineStr"/>
      <c r="DI22" t="inlineStr"/>
      <c r="DJ22" t="inlineStr"/>
      <c r="DK22" t="inlineStr"/>
      <c r="DL22" t="inlineStr"/>
    </row>
    <row r="23">
      <c r="A23" t="inlineStr">
        <is>
          <t>Schreibmeister</t>
        </is>
      </c>
      <c r="B23" t="b">
        <v>1</v>
      </c>
      <c r="C23" t="inlineStr">
        <is>
          <t>x</t>
        </is>
      </c>
      <c r="D23" t="inlineStr"/>
      <c r="E23" t="n">
        <v>16</v>
      </c>
      <c r="F23">
        <f>HYPERLINK("https://portal.dnb.de/opac.htm?method=simpleSearch&amp;cqlMode=true&amp;query=idn%3D994521820", "Portal")</f>
        <v/>
      </c>
      <c r="G23" t="inlineStr">
        <is>
          <t>Aal</t>
        </is>
      </c>
      <c r="H23">
        <f>HYPERLINK("https://portal.dnb.de/opac.htm?method=simpleSearch&amp;cqlMode=true&amp;query=idn%3D994521820", "Portal")</f>
        <v/>
      </c>
      <c r="I23" t="inlineStr">
        <is>
          <t>L-1758-156363704</t>
        </is>
      </c>
      <c r="J23" t="inlineStr">
        <is>
          <t>994521820</t>
        </is>
      </c>
      <c r="K23" t="inlineStr">
        <is>
          <t>Bö B I 338/4°</t>
        </is>
      </c>
      <c r="L23" t="inlineStr">
        <is>
          <t>Bö B I 338/4°</t>
        </is>
      </c>
      <c r="M23" t="inlineStr">
        <is>
          <t>Bö B I 338/4°</t>
        </is>
      </c>
      <c r="N23" t="inlineStr">
        <is>
          <t>Practical and ornamental Penmanship : a new copy book</t>
        </is>
      </c>
      <c r="O23" t="inlineStr">
        <is>
          <t xml:space="preserve"> : </t>
        </is>
      </c>
      <c r="P23" t="inlineStr">
        <is>
          <t>Bö B I 338/4°</t>
        </is>
      </c>
      <c r="Q23" t="inlineStr"/>
      <c r="R23" t="inlineStr"/>
      <c r="S23" t="inlineStr">
        <is>
          <t>Practical and ornamental Penmanship : a new copy book</t>
        </is>
      </c>
      <c r="T23" t="inlineStr">
        <is>
          <t xml:space="preserve"> : </t>
        </is>
      </c>
      <c r="U23" t="inlineStr">
        <is>
          <t>X</t>
        </is>
      </c>
      <c r="V23" t="inlineStr"/>
      <c r="W23" t="inlineStr">
        <is>
          <t>Halbpergamentband</t>
        </is>
      </c>
      <c r="X23" t="inlineStr">
        <is>
          <t>bis 35 cm</t>
        </is>
      </c>
      <c r="Y23" t="inlineStr">
        <is>
          <t>180°</t>
        </is>
      </c>
      <c r="Z23" t="inlineStr">
        <is>
          <t>hohler Rücken</t>
        </is>
      </c>
      <c r="AA23" t="inlineStr"/>
      <c r="AB23" t="inlineStr"/>
      <c r="AC23" t="inlineStr"/>
      <c r="AD23" t="n">
        <v>0</v>
      </c>
      <c r="AE23" t="inlineStr"/>
      <c r="AF23" t="inlineStr"/>
      <c r="AG23" t="inlineStr"/>
      <c r="AH23" t="inlineStr"/>
      <c r="AI23" t="inlineStr"/>
      <c r="AJ23" t="inlineStr"/>
      <c r="AK23" t="inlineStr">
        <is>
          <t>QF (43x32)</t>
        </is>
      </c>
      <c r="AL23" t="inlineStr"/>
      <c r="AM23" t="inlineStr"/>
      <c r="AN23" t="inlineStr">
        <is>
          <t>HPg</t>
        </is>
      </c>
      <c r="AO23" t="inlineStr"/>
      <c r="AP23" t="inlineStr"/>
      <c r="AQ23" t="inlineStr"/>
      <c r="AR23" t="inlineStr">
        <is>
          <t>h/E</t>
        </is>
      </c>
      <c r="AS23" t="inlineStr"/>
      <c r="AT23" t="inlineStr"/>
      <c r="AU23" t="inlineStr"/>
      <c r="AV23" t="inlineStr"/>
      <c r="AW23" t="inlineStr"/>
      <c r="AX23" t="inlineStr">
        <is>
          <t>Pa</t>
        </is>
      </c>
      <c r="AY23" t="inlineStr"/>
      <c r="AZ23" t="inlineStr"/>
      <c r="BA23" t="inlineStr"/>
      <c r="BB23" t="inlineStr"/>
      <c r="BC23" t="inlineStr"/>
      <c r="BD23" t="inlineStr"/>
      <c r="BE23" t="inlineStr"/>
      <c r="BF23" t="inlineStr"/>
      <c r="BG23" t="inlineStr">
        <is>
          <t>x</t>
        </is>
      </c>
      <c r="BH23" t="inlineStr"/>
      <c r="BI23" t="inlineStr"/>
      <c r="BJ23" t="inlineStr"/>
      <c r="BK23" t="inlineStr"/>
      <c r="BL23" t="n">
        <v>110</v>
      </c>
      <c r="BM23" t="inlineStr"/>
      <c r="BN23" t="inlineStr"/>
      <c r="BO23" t="inlineStr"/>
      <c r="BP23" t="inlineStr"/>
      <c r="BQ23" t="inlineStr"/>
      <c r="BR23" t="inlineStr">
        <is>
          <t>ja vor</t>
        </is>
      </c>
      <c r="BS23" t="n">
        <v>0.5</v>
      </c>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is>
          <t>x</t>
        </is>
      </c>
      <c r="DB23" t="inlineStr"/>
      <c r="DC23" t="inlineStr"/>
      <c r="DD23" t="inlineStr"/>
      <c r="DE23" t="inlineStr"/>
      <c r="DF23" t="inlineStr"/>
      <c r="DG23" t="inlineStr">
        <is>
          <t>x</t>
        </is>
      </c>
      <c r="DH23" t="inlineStr"/>
      <c r="DI23" t="inlineStr"/>
      <c r="DJ23" t="inlineStr"/>
      <c r="DK23" t="n">
        <v>0.5</v>
      </c>
      <c r="DL23" t="inlineStr"/>
    </row>
    <row r="24">
      <c r="A24" t="inlineStr">
        <is>
          <t>Schreibmeister</t>
        </is>
      </c>
      <c r="B24" t="b">
        <v>1</v>
      </c>
      <c r="C24" t="inlineStr"/>
      <c r="D24" t="inlineStr"/>
      <c r="E24" t="n">
        <v>17</v>
      </c>
      <c r="F24">
        <f>HYPERLINK("https://portal.dnb.de/opac.htm?method=simpleSearch&amp;cqlMode=true&amp;query=idn%3D994540655", "Portal")</f>
        <v/>
      </c>
      <c r="G24" t="inlineStr">
        <is>
          <t>Aal</t>
        </is>
      </c>
      <c r="H24">
        <f>HYPERLINK("https://portal.dnb.de/opac.htm?method=simpleSearch&amp;cqlMode=true&amp;query=idn%3D994540655", "Portal")</f>
        <v/>
      </c>
      <c r="I24" t="inlineStr">
        <is>
          <t>L-1813-156399652</t>
        </is>
      </c>
      <c r="J24" t="inlineStr">
        <is>
          <t>994540655</t>
        </is>
      </c>
      <c r="K24" t="inlineStr">
        <is>
          <t>Bö B I 343/4°</t>
        </is>
      </c>
      <c r="L24" t="inlineStr">
        <is>
          <t>Bö B I 343/4°</t>
        </is>
      </c>
      <c r="M24" t="inlineStr">
        <is>
          <t>Bö B I 343/4°</t>
        </is>
      </c>
      <c r="N24" t="inlineStr">
        <is>
          <t xml:space="preserve">Nuova Raccolta di diversi caratteri scritti da Angelo Cominotti in Livorno : </t>
        </is>
      </c>
      <c r="O24" t="inlineStr">
        <is>
          <t xml:space="preserve"> : </t>
        </is>
      </c>
      <c r="P24" t="inlineStr">
        <is>
          <t>Bö B I 343/4°</t>
        </is>
      </c>
      <c r="Q24" t="inlineStr"/>
      <c r="R24" t="inlineStr"/>
      <c r="S24" t="inlineStr">
        <is>
          <t xml:space="preserve">Nuova Raccolta di diversi caratteri scritti da Angelo Cominotti in Livorno : </t>
        </is>
      </c>
      <c r="T24" t="inlineStr">
        <is>
          <t xml:space="preserve"> : </t>
        </is>
      </c>
      <c r="U24" t="inlineStr">
        <is>
          <t>X</t>
        </is>
      </c>
      <c r="V24" t="inlineStr"/>
      <c r="W24" t="inlineStr">
        <is>
          <t>Halbgewebeband</t>
        </is>
      </c>
      <c r="X24" t="inlineStr">
        <is>
          <t>bis 35 cm</t>
        </is>
      </c>
      <c r="Y24" t="inlineStr">
        <is>
          <t>180°</t>
        </is>
      </c>
      <c r="Z24" t="inlineStr"/>
      <c r="AA24" t="inlineStr"/>
      <c r="AB24" t="inlineStr"/>
      <c r="AC24" t="inlineStr"/>
      <c r="AD24" t="n">
        <v>0</v>
      </c>
      <c r="AE24" t="inlineStr"/>
      <c r="AF24" t="inlineStr"/>
      <c r="AG24" t="inlineStr"/>
      <c r="AH24" t="inlineStr"/>
      <c r="AI24" t="inlineStr"/>
      <c r="AJ24" t="inlineStr"/>
      <c r="AK24" t="inlineStr">
        <is>
          <t>QF (43x30)</t>
        </is>
      </c>
      <c r="AL24" t="inlineStr"/>
      <c r="AM24" t="inlineStr"/>
      <c r="AN24" t="inlineStr">
        <is>
          <t>HG</t>
        </is>
      </c>
      <c r="AO24" t="inlineStr"/>
      <c r="AP24" t="inlineStr"/>
      <c r="AQ24" t="inlineStr"/>
      <c r="AR24" t="inlineStr">
        <is>
          <t>h/E</t>
        </is>
      </c>
      <c r="AS24" t="inlineStr"/>
      <c r="AT24" t="inlineStr"/>
      <c r="AU24" t="inlineStr"/>
      <c r="AV24" t="inlineStr"/>
      <c r="AW24" t="inlineStr"/>
      <c r="AX24" t="inlineStr">
        <is>
          <t>Pa</t>
        </is>
      </c>
      <c r="AY24" t="inlineStr"/>
      <c r="AZ24" t="inlineStr"/>
      <c r="BA24" t="inlineStr"/>
      <c r="BB24" t="inlineStr"/>
      <c r="BC24" t="inlineStr"/>
      <c r="BD24" t="inlineStr"/>
      <c r="BE24" t="inlineStr"/>
      <c r="BF24" t="inlineStr"/>
      <c r="BG24" t="inlineStr">
        <is>
          <t>x</t>
        </is>
      </c>
      <c r="BH24" t="inlineStr"/>
      <c r="BI24" t="inlineStr"/>
      <c r="BJ24" t="inlineStr"/>
      <c r="BK24" t="inlineStr"/>
      <c r="BL24" t="n">
        <v>110</v>
      </c>
      <c r="BM24" t="inlineStr"/>
      <c r="BN24" t="inlineStr"/>
      <c r="BO24" t="inlineStr"/>
      <c r="BP24" t="inlineStr"/>
      <c r="BQ24" t="inlineStr"/>
      <c r="BR24" t="inlineStr">
        <is>
          <t>n</t>
        </is>
      </c>
      <c r="BS24" t="n">
        <v>0</v>
      </c>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c r="DH24" t="inlineStr"/>
      <c r="DI24" t="inlineStr"/>
      <c r="DJ24" t="inlineStr"/>
      <c r="DK24" t="inlineStr"/>
      <c r="DL24" t="inlineStr"/>
    </row>
    <row r="25">
      <c r="A25" t="inlineStr">
        <is>
          <t>Schreibmeister</t>
        </is>
      </c>
      <c r="B25" t="b">
        <v>1</v>
      </c>
      <c r="C25" t="inlineStr"/>
      <c r="D25" t="inlineStr"/>
      <c r="E25" t="n">
        <v>18</v>
      </c>
      <c r="F25">
        <f>HYPERLINK("https://portal.dnb.de/opac.htm?method=simpleSearch&amp;cqlMode=true&amp;query=idn%3D994578091", "Portal")</f>
        <v/>
      </c>
      <c r="G25" t="inlineStr">
        <is>
          <t>Aal</t>
        </is>
      </c>
      <c r="H25">
        <f>HYPERLINK("https://portal.dnb.de/opac.htm?method=simpleSearch&amp;cqlMode=true&amp;query=idn%3D994578091", "Portal")</f>
        <v/>
      </c>
      <c r="I25" t="inlineStr">
        <is>
          <t>L-1559-15687587X</t>
        </is>
      </c>
      <c r="J25" t="inlineStr">
        <is>
          <t>994578091</t>
        </is>
      </c>
      <c r="K25" t="inlineStr">
        <is>
          <t>Bö B I 345</t>
        </is>
      </c>
      <c r="L25" t="inlineStr">
        <is>
          <t>Bö B I 345</t>
        </is>
      </c>
      <c r="M25" t="inlineStr">
        <is>
          <t>Bö B I 345</t>
        </is>
      </c>
      <c r="N25" t="inlineStr">
        <is>
          <t xml:space="preserve">La|| @Vera Maniera|| del Scriver Corsivo|| Cancellaresco : </t>
        </is>
      </c>
      <c r="O25" t="inlineStr">
        <is>
          <t xml:space="preserve"> : </t>
        </is>
      </c>
      <c r="P25" t="inlineStr">
        <is>
          <t>Bö B I 345</t>
        </is>
      </c>
      <c r="Q25" t="inlineStr"/>
      <c r="R25" t="inlineStr"/>
      <c r="S25" t="inlineStr">
        <is>
          <t xml:space="preserve">La|| @Vera Maniera|| del Scriver Corsivo|| Cancellaresco : </t>
        </is>
      </c>
      <c r="T25" t="inlineStr">
        <is>
          <t xml:space="preserve"> : </t>
        </is>
      </c>
      <c r="U25" t="inlineStr">
        <is>
          <t>X</t>
        </is>
      </c>
      <c r="V25" t="inlineStr"/>
      <c r="W25" t="inlineStr">
        <is>
          <t>Halbledereinband</t>
        </is>
      </c>
      <c r="X25" t="inlineStr">
        <is>
          <t>bis 25 cm</t>
        </is>
      </c>
      <c r="Y25" t="inlineStr">
        <is>
          <t>180°</t>
        </is>
      </c>
      <c r="Z25" t="inlineStr"/>
      <c r="AA25" t="inlineStr"/>
      <c r="AB25" t="inlineStr">
        <is>
          <t>Archivkarton</t>
        </is>
      </c>
      <c r="AC25" t="inlineStr">
        <is>
          <t>Nein</t>
        </is>
      </c>
      <c r="AD25" t="n">
        <v>0</v>
      </c>
      <c r="AE25" t="inlineStr"/>
      <c r="AF25" t="inlineStr"/>
      <c r="AG25" t="inlineStr"/>
      <c r="AH25" t="inlineStr"/>
      <c r="AI25" t="inlineStr"/>
      <c r="AJ25" t="inlineStr"/>
      <c r="AK25" t="inlineStr">
        <is>
          <t>QF (20,5x15)</t>
        </is>
      </c>
      <c r="AL25" t="inlineStr"/>
      <c r="AM25" t="inlineStr"/>
      <c r="AN25" t="inlineStr">
        <is>
          <t>HPg</t>
        </is>
      </c>
      <c r="AO25" t="inlineStr"/>
      <c r="AP25" t="inlineStr"/>
      <c r="AQ25" t="inlineStr"/>
      <c r="AR25" t="inlineStr">
        <is>
          <t>h/E</t>
        </is>
      </c>
      <c r="AS25" t="inlineStr"/>
      <c r="AT25" t="inlineStr"/>
      <c r="AU25" t="inlineStr"/>
      <c r="AV25" t="inlineStr"/>
      <c r="AW25" t="inlineStr"/>
      <c r="AX25" t="inlineStr">
        <is>
          <t>Pa</t>
        </is>
      </c>
      <c r="AY25" t="inlineStr"/>
      <c r="AZ25" t="inlineStr"/>
      <c r="BA25" t="inlineStr"/>
      <c r="BB25" t="inlineStr"/>
      <c r="BC25" t="inlineStr"/>
      <c r="BD25" t="inlineStr"/>
      <c r="BE25" t="inlineStr"/>
      <c r="BF25" t="inlineStr"/>
      <c r="BG25" t="inlineStr">
        <is>
          <t>x</t>
        </is>
      </c>
      <c r="BH25" t="inlineStr"/>
      <c r="BI25" t="inlineStr">
        <is>
          <t>x</t>
        </is>
      </c>
      <c r="BJ25" t="inlineStr"/>
      <c r="BK25" t="inlineStr"/>
      <c r="BL25" t="n">
        <v>110</v>
      </c>
      <c r="BM25" t="inlineStr"/>
      <c r="BN25" t="inlineStr"/>
      <c r="BO25" t="inlineStr"/>
      <c r="BP25" t="inlineStr"/>
      <c r="BQ25" t="inlineStr">
        <is>
          <t>x</t>
        </is>
      </c>
      <c r="BR25" t="inlineStr">
        <is>
          <t>n</t>
        </is>
      </c>
      <c r="BS25" t="n">
        <v>0</v>
      </c>
      <c r="BT25" t="inlineStr"/>
      <c r="BU25" t="inlineStr">
        <is>
          <t>Wellpappe</t>
        </is>
      </c>
      <c r="BV25" t="inlineStr"/>
      <c r="BW25" t="inlineStr"/>
      <c r="BX25" t="inlineStr"/>
      <c r="BY25" t="inlineStr"/>
      <c r="BZ25" t="inlineStr"/>
      <c r="CA25" t="inlineStr"/>
      <c r="CB25" t="inlineStr">
        <is>
          <t>x 110</t>
        </is>
      </c>
      <c r="CC25" t="inlineStr">
        <is>
          <t xml:space="preserve">
QF, mit eingeklebten Notizzettel</t>
        </is>
      </c>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c r="DH25" t="inlineStr"/>
      <c r="DI25" t="inlineStr"/>
      <c r="DJ25" t="inlineStr"/>
      <c r="DK25" t="inlineStr"/>
      <c r="DL25" t="inlineStr"/>
    </row>
    <row r="26">
      <c r="A26" t="inlineStr">
        <is>
          <t>Schreibmeister</t>
        </is>
      </c>
      <c r="B26" t="b">
        <v>1</v>
      </c>
      <c r="C26" t="inlineStr"/>
      <c r="D26" t="inlineStr"/>
      <c r="E26" t="n">
        <v>20</v>
      </c>
      <c r="F26">
        <f>HYPERLINK("https://portal.dnb.de/opac.htm?method=simpleSearch&amp;cqlMode=true&amp;query=idn%3D994643535", "Portal")</f>
        <v/>
      </c>
      <c r="G26" t="inlineStr">
        <is>
          <t>Afl</t>
        </is>
      </c>
      <c r="H26">
        <f>HYPERLINK("https://portal.dnb.de/opac.htm?method=simpleSearch&amp;cqlMode=true&amp;query=idn%3D994643535", "Portal")</f>
        <v/>
      </c>
      <c r="I26" t="inlineStr">
        <is>
          <t>L-1593-157184188</t>
        </is>
      </c>
      <c r="J26" t="inlineStr">
        <is>
          <t>994643535</t>
        </is>
      </c>
      <c r="K26" t="inlineStr">
        <is>
          <t>Bö B I 349</t>
        </is>
      </c>
      <c r="L26" t="inlineStr">
        <is>
          <t>Bö B I 349</t>
        </is>
      </c>
      <c r="M26" t="inlineStr">
        <is>
          <t>Bö B I 349</t>
        </is>
      </c>
      <c r="N26" t="inlineStr">
        <is>
          <t>La @notomia delle Cancellaresche corsiue &amp; altre Maniere di Lettere</t>
        </is>
      </c>
      <c r="O26" t="inlineStr">
        <is>
          <t>3. : Il Teatro delle Cancellaresche corsiue per Secretari et altre maniere di Lettere</t>
        </is>
      </c>
      <c r="P26" t="inlineStr">
        <is>
          <t>Bö B I 349 (angebunden)</t>
        </is>
      </c>
      <c r="Q26" t="inlineStr"/>
      <c r="R26" t="inlineStr"/>
      <c r="S26" t="inlineStr">
        <is>
          <t>La @notomia delle Cancellaresche corsiue &amp; altre Maniere di Lettere</t>
        </is>
      </c>
      <c r="T26" t="inlineStr">
        <is>
          <t>3. : Il Teatro delle Cancellaresche corsiue per Secretari et altre maniere di Lettere</t>
        </is>
      </c>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BR26" t="inlineStr"/>
      <c r="BS26" t="n">
        <v>0</v>
      </c>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c r="DH26" t="inlineStr"/>
      <c r="DI26" t="inlineStr"/>
      <c r="DJ26" t="inlineStr"/>
      <c r="DK26" t="inlineStr"/>
      <c r="DL26" t="inlineStr"/>
    </row>
    <row r="27">
      <c r="A27" t="inlineStr">
        <is>
          <t>Schreibmeister</t>
        </is>
      </c>
      <c r="B27" t="b">
        <v>1</v>
      </c>
      <c r="C27" t="inlineStr"/>
      <c r="D27" t="inlineStr"/>
      <c r="E27" t="n">
        <v>19</v>
      </c>
      <c r="F27">
        <f>HYPERLINK("https://portal.dnb.de/opac.htm?method=simpleSearch&amp;cqlMode=true&amp;query=idn%3D994643454", "Portal")</f>
        <v/>
      </c>
      <c r="G27" t="inlineStr">
        <is>
          <t>Afl</t>
        </is>
      </c>
      <c r="H27">
        <f>HYPERLINK("https://portal.dnb.de/opac.htm?method=simpleSearch&amp;cqlMode=true&amp;query=idn%3D994643454", "Portal")</f>
        <v/>
      </c>
      <c r="I27" t="inlineStr">
        <is>
          <t>L-1588-157184129</t>
        </is>
      </c>
      <c r="J27" t="inlineStr">
        <is>
          <t>994643454</t>
        </is>
      </c>
      <c r="K27" t="inlineStr">
        <is>
          <t>Bö B I 349</t>
        </is>
      </c>
      <c r="L27" t="inlineStr">
        <is>
          <t>Bö B I 349</t>
        </is>
      </c>
      <c r="M27" t="inlineStr">
        <is>
          <t>Bö B I 349</t>
        </is>
      </c>
      <c r="N27" t="inlineStr">
        <is>
          <t>La @notomia delle Cancellaresche corsiue &amp; altre Maniere di Lettere</t>
        </is>
      </c>
      <c r="O27" t="inlineStr">
        <is>
          <t xml:space="preserve">2 : </t>
        </is>
      </c>
      <c r="P27" t="inlineStr">
        <is>
          <t>Bö B I 349 - 2</t>
        </is>
      </c>
      <c r="Q27" t="inlineStr"/>
      <c r="R27" t="inlineStr"/>
      <c r="S27" t="inlineStr">
        <is>
          <t>La @notomia delle Cancellaresche corsiue &amp; altre Maniere di Lettere</t>
        </is>
      </c>
      <c r="T27" t="inlineStr">
        <is>
          <t xml:space="preserve">2 : </t>
        </is>
      </c>
      <c r="U27" t="inlineStr">
        <is>
          <t>X</t>
        </is>
      </c>
      <c r="V27" t="inlineStr"/>
      <c r="W27" t="inlineStr">
        <is>
          <t>Halbpergamentband</t>
        </is>
      </c>
      <c r="X27" t="inlineStr">
        <is>
          <t>bis 25 cm</t>
        </is>
      </c>
      <c r="Y27" t="inlineStr">
        <is>
          <t>180°</t>
        </is>
      </c>
      <c r="Z27" t="inlineStr">
        <is>
          <t>hohler Rücken</t>
        </is>
      </c>
      <c r="AA27" t="inlineStr"/>
      <c r="AB27" t="inlineStr">
        <is>
          <t>Archivkarton</t>
        </is>
      </c>
      <c r="AC27" t="inlineStr">
        <is>
          <t>Nein</t>
        </is>
      </c>
      <c r="AD27" t="n">
        <v>0</v>
      </c>
      <c r="AE27" t="inlineStr"/>
      <c r="AF27" t="inlineStr"/>
      <c r="AG27" t="inlineStr"/>
      <c r="AH27" t="inlineStr"/>
      <c r="AI27" t="inlineStr"/>
      <c r="AJ27" t="inlineStr"/>
      <c r="AK27" t="inlineStr">
        <is>
          <t>QF (28x21)</t>
        </is>
      </c>
      <c r="AL27" t="inlineStr"/>
      <c r="AM27" t="inlineStr"/>
      <c r="AN27" t="inlineStr">
        <is>
          <t>HPg</t>
        </is>
      </c>
      <c r="AO27" t="inlineStr"/>
      <c r="AP27" t="inlineStr"/>
      <c r="AQ27" t="inlineStr"/>
      <c r="AR27" t="inlineStr">
        <is>
          <t>h/E</t>
        </is>
      </c>
      <c r="AS27" t="inlineStr"/>
      <c r="AT27" t="inlineStr"/>
      <c r="AU27" t="inlineStr"/>
      <c r="AV27" t="inlineStr"/>
      <c r="AW27" t="inlineStr"/>
      <c r="AX27" t="inlineStr">
        <is>
          <t>Pa</t>
        </is>
      </c>
      <c r="AY27" t="inlineStr"/>
      <c r="AZ27" t="inlineStr"/>
      <c r="BA27" t="inlineStr"/>
      <c r="BB27" t="inlineStr"/>
      <c r="BC27" t="inlineStr"/>
      <c r="BD27" t="inlineStr"/>
      <c r="BE27" t="inlineStr"/>
      <c r="BF27" t="inlineStr"/>
      <c r="BG27" t="inlineStr">
        <is>
          <t>x</t>
        </is>
      </c>
      <c r="BH27" t="inlineStr"/>
      <c r="BI27" t="inlineStr">
        <is>
          <t>x</t>
        </is>
      </c>
      <c r="BJ27" t="inlineStr"/>
      <c r="BK27" t="inlineStr"/>
      <c r="BL27" t="n">
        <v>110</v>
      </c>
      <c r="BM27" t="inlineStr"/>
      <c r="BN27" t="inlineStr"/>
      <c r="BO27" t="inlineStr"/>
      <c r="BP27" t="inlineStr"/>
      <c r="BQ27" t="inlineStr"/>
      <c r="BR27" t="inlineStr">
        <is>
          <t>n</t>
        </is>
      </c>
      <c r="BS27" t="n">
        <v>0</v>
      </c>
      <c r="BT27" t="inlineStr"/>
      <c r="BU27" t="inlineStr">
        <is>
          <t>Wellpappe</t>
        </is>
      </c>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c r="DH27" t="inlineStr"/>
      <c r="DI27" t="inlineStr"/>
      <c r="DJ27" t="inlineStr"/>
      <c r="DK27" t="inlineStr"/>
      <c r="DL27" t="inlineStr"/>
    </row>
    <row r="28">
      <c r="A28" t="inlineStr">
        <is>
          <t>Schreibmeister</t>
        </is>
      </c>
      <c r="B28" t="b">
        <v>1</v>
      </c>
      <c r="C28" t="inlineStr">
        <is>
          <t>x</t>
        </is>
      </c>
      <c r="D28" t="inlineStr"/>
      <c r="E28" t="n">
        <v>21</v>
      </c>
      <c r="F28">
        <f>HYPERLINK("https://portal.dnb.de/opac.htm?method=simpleSearch&amp;cqlMode=true&amp;query=idn%3D994693214", "Portal")</f>
        <v/>
      </c>
      <c r="G28" t="inlineStr">
        <is>
          <t>Aal</t>
        </is>
      </c>
      <c r="H28">
        <f>HYPERLINK("https://portal.dnb.de/opac.htm?method=simpleSearch&amp;cqlMode=true&amp;query=idn%3D994693214", "Portal")</f>
        <v/>
      </c>
      <c r="I28" t="inlineStr">
        <is>
          <t>L-1772-157568423</t>
        </is>
      </c>
      <c r="J28" t="inlineStr">
        <is>
          <t>994693214</t>
        </is>
      </c>
      <c r="K28" t="inlineStr">
        <is>
          <t>Bö B I 351/2°</t>
        </is>
      </c>
      <c r="L28" t="inlineStr">
        <is>
          <t>Bö B I 351/2°</t>
        </is>
      </c>
      <c r="M28" t="inlineStr">
        <is>
          <t>Bö B I 351/2°</t>
        </is>
      </c>
      <c r="N28" t="inlineStr">
        <is>
          <t xml:space="preserve">Ammaestramenti Teorieopratici Indirizzati ad agevolare il modo d'imparare da per se La Scrittura Moderna : </t>
        </is>
      </c>
      <c r="O28" t="inlineStr">
        <is>
          <t xml:space="preserve"> : </t>
        </is>
      </c>
      <c r="P28" t="inlineStr">
        <is>
          <t>Bö B I 351/2°</t>
        </is>
      </c>
      <c r="Q28" t="inlineStr"/>
      <c r="R28" t="inlineStr"/>
      <c r="S28" t="inlineStr">
        <is>
          <t xml:space="preserve">Ammaestramenti Teorieopratici Indirizzati ad agevolare il modo d'imparare da per se La Scrittura Moderna : </t>
        </is>
      </c>
      <c r="T28" t="inlineStr">
        <is>
          <t xml:space="preserve"> : </t>
        </is>
      </c>
      <c r="U28" t="inlineStr">
        <is>
          <t>X</t>
        </is>
      </c>
      <c r="V28" t="inlineStr"/>
      <c r="W28" t="inlineStr">
        <is>
          <t>Papier- oder Pappeinband</t>
        </is>
      </c>
      <c r="X28" t="inlineStr">
        <is>
          <t>&gt; 42 cm</t>
        </is>
      </c>
      <c r="Y28" t="inlineStr">
        <is>
          <t>180°</t>
        </is>
      </c>
      <c r="Z28" t="inlineStr"/>
      <c r="AA28" t="inlineStr"/>
      <c r="AB28" t="inlineStr">
        <is>
          <t xml:space="preserve">Papierumschlag </t>
        </is>
      </c>
      <c r="AC28" t="inlineStr">
        <is>
          <t>Ja</t>
        </is>
      </c>
      <c r="AD28" t="n">
        <v>2</v>
      </c>
      <c r="AE28" t="inlineStr"/>
      <c r="AF28" t="inlineStr"/>
      <c r="AG28" t="inlineStr"/>
      <c r="AH28" t="inlineStr"/>
      <c r="AI28" t="inlineStr"/>
      <c r="AJ28" t="inlineStr">
        <is>
          <t>41x52</t>
        </is>
      </c>
      <c r="AK28" t="inlineStr"/>
      <c r="AL28" t="inlineStr"/>
      <c r="AM28" t="inlineStr"/>
      <c r="AN28" t="inlineStr">
        <is>
          <t>Br</t>
        </is>
      </c>
      <c r="AO28" t="inlineStr"/>
      <c r="AP28" t="inlineStr"/>
      <c r="AQ28" t="inlineStr"/>
      <c r="AR28" t="inlineStr">
        <is>
          <t>h/E</t>
        </is>
      </c>
      <c r="AS28" t="inlineStr"/>
      <c r="AT28" t="inlineStr"/>
      <c r="AU28" t="inlineStr"/>
      <c r="AV28" t="inlineStr"/>
      <c r="AW28" t="inlineStr"/>
      <c r="AX28" t="inlineStr">
        <is>
          <t>Pa</t>
        </is>
      </c>
      <c r="AY28" t="inlineStr"/>
      <c r="AZ28" t="inlineStr"/>
      <c r="BA28" t="inlineStr"/>
      <c r="BB28" t="inlineStr"/>
      <c r="BC28" t="inlineStr"/>
      <c r="BD28" t="inlineStr"/>
      <c r="BE28" t="inlineStr"/>
      <c r="BF28" t="inlineStr"/>
      <c r="BG28" t="inlineStr">
        <is>
          <t>x</t>
        </is>
      </c>
      <c r="BH28" t="inlineStr"/>
      <c r="BI28" t="inlineStr"/>
      <c r="BJ28" t="inlineStr"/>
      <c r="BK28" t="inlineStr"/>
      <c r="BL28" t="n">
        <v>110</v>
      </c>
      <c r="BM28" t="inlineStr"/>
      <c r="BN28" t="inlineStr"/>
      <c r="BO28" t="inlineStr"/>
      <c r="BP28" t="inlineStr"/>
      <c r="BQ28" t="inlineStr"/>
      <c r="BR28" t="inlineStr">
        <is>
          <t>ja vor</t>
        </is>
      </c>
      <c r="BS28" t="n">
        <v>3</v>
      </c>
      <c r="BT28" t="inlineStr"/>
      <c r="BU28" t="inlineStr"/>
      <c r="BV28" t="inlineStr"/>
      <c r="BW28" t="inlineStr"/>
      <c r="BX28" t="inlineStr"/>
      <c r="BY28" t="inlineStr">
        <is>
          <t>x sauer</t>
        </is>
      </c>
      <c r="BZ28" t="inlineStr">
        <is>
          <t>x</t>
        </is>
      </c>
      <c r="CA28" t="inlineStr">
        <is>
          <t>Mappe anfertigen</t>
        </is>
      </c>
      <c r="CB28" t="inlineStr"/>
      <c r="CC28" t="inlineStr"/>
      <c r="CD28" t="inlineStr"/>
      <c r="CE28" t="inlineStr"/>
      <c r="CF28" t="inlineStr"/>
      <c r="CG28" t="inlineStr">
        <is>
          <t>x</t>
        </is>
      </c>
      <c r="CH28" t="inlineStr"/>
      <c r="CI28" t="inlineStr">
        <is>
          <t>v</t>
        </is>
      </c>
      <c r="CJ28" t="inlineStr"/>
      <c r="CK28" t="inlineStr"/>
      <c r="CL28" t="inlineStr"/>
      <c r="CM28" t="inlineStr"/>
      <c r="CN28" t="inlineStr"/>
      <c r="CO28" t="inlineStr"/>
      <c r="CP28" t="inlineStr"/>
      <c r="CQ28" t="inlineStr"/>
      <c r="CR28" t="n">
        <v>2</v>
      </c>
      <c r="CS28" t="inlineStr"/>
      <c r="CT28" t="inlineStr"/>
      <c r="CU28" t="inlineStr"/>
      <c r="CV28" t="inlineStr"/>
      <c r="CW28" t="inlineStr"/>
      <c r="CX28" t="inlineStr"/>
      <c r="CY28" t="inlineStr"/>
      <c r="CZ28" t="inlineStr"/>
      <c r="DA28" t="inlineStr"/>
      <c r="DB28" t="inlineStr"/>
      <c r="DC28" t="inlineStr">
        <is>
          <t>x</t>
        </is>
      </c>
      <c r="DD28" t="inlineStr"/>
      <c r="DE28" t="inlineStr"/>
      <c r="DF28" t="inlineStr"/>
      <c r="DG28" t="inlineStr"/>
      <c r="DH28" t="inlineStr"/>
      <c r="DI28" t="inlineStr"/>
      <c r="DJ28" t="inlineStr"/>
      <c r="DK28" t="n">
        <v>1</v>
      </c>
      <c r="DL28" t="inlineStr"/>
    </row>
    <row r="29">
      <c r="A29" t="inlineStr">
        <is>
          <t>Schreibmeister</t>
        </is>
      </c>
      <c r="B29" t="b">
        <v>1</v>
      </c>
      <c r="C29" t="inlineStr"/>
      <c r="D29" t="inlineStr"/>
      <c r="E29" t="n">
        <v>22</v>
      </c>
      <c r="F29">
        <f>HYPERLINK("https://portal.dnb.de/opac.htm?method=simpleSearch&amp;cqlMode=true&amp;query=idn%3D994693214", "Portal")</f>
        <v/>
      </c>
      <c r="G29" t="inlineStr">
        <is>
          <t>Aal</t>
        </is>
      </c>
      <c r="H29">
        <f>HYPERLINK("https://portal.dnb.de/opac.htm?method=simpleSearch&amp;cqlMode=true&amp;query=idn%3D994693214", "Portal")</f>
        <v/>
      </c>
      <c r="I29" t="inlineStr">
        <is>
          <t>L-1772-157568458</t>
        </is>
      </c>
      <c r="J29" t="inlineStr">
        <is>
          <t>994693214</t>
        </is>
      </c>
      <c r="K29" t="inlineStr">
        <is>
          <t>Bö B I 351 a/2°</t>
        </is>
      </c>
      <c r="L29" t="inlineStr">
        <is>
          <t>Bö B I 351 a/2°</t>
        </is>
      </c>
      <c r="M29" t="inlineStr">
        <is>
          <t>Bö B I 351 a/2°</t>
        </is>
      </c>
      <c r="N29" t="inlineStr">
        <is>
          <t xml:space="preserve">Ammaestramenti Teorieopratici Indirizzati ad agevolare il modo d'imparare da per se La Scrittura Moderna : </t>
        </is>
      </c>
      <c r="O29" t="inlineStr">
        <is>
          <t xml:space="preserve"> : </t>
        </is>
      </c>
      <c r="P29" t="inlineStr">
        <is>
          <t>Bö B I 351a/2°</t>
        </is>
      </c>
      <c r="Q29" t="inlineStr"/>
      <c r="R29" t="inlineStr"/>
      <c r="S29" t="inlineStr">
        <is>
          <t xml:space="preserve">Ammaestramenti Teorieopratici Indirizzati ad agevolare il modo d'imparare da per se La Scrittura Moderna : </t>
        </is>
      </c>
      <c r="T29" t="inlineStr">
        <is>
          <t xml:space="preserve"> : </t>
        </is>
      </c>
      <c r="U29" t="inlineStr">
        <is>
          <t>X</t>
        </is>
      </c>
      <c r="V29" t="inlineStr"/>
      <c r="W29" t="inlineStr">
        <is>
          <t>Halbpergamentband</t>
        </is>
      </c>
      <c r="X29" t="inlineStr">
        <is>
          <t>&gt; 42 cm</t>
        </is>
      </c>
      <c r="Y29" t="inlineStr">
        <is>
          <t>180°</t>
        </is>
      </c>
      <c r="Z29" t="inlineStr"/>
      <c r="AA29" t="inlineStr"/>
      <c r="AB29" t="inlineStr"/>
      <c r="AC29" t="inlineStr"/>
      <c r="AD29" t="n">
        <v>1</v>
      </c>
      <c r="AE29" t="inlineStr"/>
      <c r="AF29" t="inlineStr"/>
      <c r="AG29" t="inlineStr"/>
      <c r="AH29" t="inlineStr"/>
      <c r="AI29" t="inlineStr"/>
      <c r="AJ29" t="inlineStr">
        <is>
          <t>39x52</t>
        </is>
      </c>
      <c r="AK29" t="inlineStr"/>
      <c r="AL29" t="inlineStr"/>
      <c r="AM29" t="inlineStr"/>
      <c r="AN29" t="inlineStr">
        <is>
          <t>HPg</t>
        </is>
      </c>
      <c r="AO29" t="inlineStr"/>
      <c r="AP29" t="inlineStr"/>
      <c r="AQ29" t="inlineStr"/>
      <c r="AR29" t="inlineStr">
        <is>
          <t>h/E</t>
        </is>
      </c>
      <c r="AS29" t="inlineStr"/>
      <c r="AT29" t="inlineStr"/>
      <c r="AU29" t="inlineStr"/>
      <c r="AV29" t="inlineStr"/>
      <c r="AW29" t="inlineStr"/>
      <c r="AX29" t="inlineStr">
        <is>
          <t>Pa</t>
        </is>
      </c>
      <c r="AY29" t="inlineStr"/>
      <c r="AZ29" t="inlineStr"/>
      <c r="BA29" t="inlineStr"/>
      <c r="BB29" t="inlineStr"/>
      <c r="BC29" t="inlineStr">
        <is>
          <t>x</t>
        </is>
      </c>
      <c r="BD29" t="inlineStr"/>
      <c r="BE29" t="inlineStr"/>
      <c r="BF29" t="inlineStr"/>
      <c r="BG29" t="inlineStr">
        <is>
          <t>x</t>
        </is>
      </c>
      <c r="BH29" t="inlineStr"/>
      <c r="BI29" t="inlineStr"/>
      <c r="BJ29" t="inlineStr"/>
      <c r="BK29" t="inlineStr"/>
      <c r="BL29" t="n">
        <v>110</v>
      </c>
      <c r="BM29" t="inlineStr"/>
      <c r="BN29" t="inlineStr"/>
      <c r="BO29" t="inlineStr"/>
      <c r="BP29" t="inlineStr"/>
      <c r="BQ29" t="inlineStr"/>
      <c r="BR29" t="inlineStr">
        <is>
          <t>n</t>
        </is>
      </c>
      <c r="BS29" t="n">
        <v>0</v>
      </c>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c r="DH29" t="inlineStr"/>
      <c r="DI29" t="inlineStr"/>
      <c r="DJ29" t="inlineStr"/>
      <c r="DK29" t="inlineStr"/>
      <c r="DL29" t="inlineStr"/>
    </row>
    <row r="30">
      <c r="A30" t="inlineStr">
        <is>
          <t>Schreibmeister</t>
        </is>
      </c>
      <c r="B30" t="b">
        <v>1</v>
      </c>
      <c r="C30" t="inlineStr"/>
      <c r="D30" t="inlineStr"/>
      <c r="E30" t="n">
        <v>23</v>
      </c>
      <c r="F30">
        <f>HYPERLINK("https://portal.dnb.de/opac.htm?method=simpleSearch&amp;cqlMode=true&amp;query=idn%3D994693214", "Portal")</f>
        <v/>
      </c>
      <c r="G30" t="inlineStr">
        <is>
          <t>Aal</t>
        </is>
      </c>
      <c r="H30">
        <f>HYPERLINK("https://portal.dnb.de/opac.htm?method=simpleSearch&amp;cqlMode=true&amp;query=idn%3D994693214", "Portal")</f>
        <v/>
      </c>
      <c r="I30" t="inlineStr">
        <is>
          <t>L-1772-157568520</t>
        </is>
      </c>
      <c r="J30" t="inlineStr">
        <is>
          <t>994693214</t>
        </is>
      </c>
      <c r="K30" t="inlineStr">
        <is>
          <t>Bö B I 351 b/2°</t>
        </is>
      </c>
      <c r="L30" t="inlineStr">
        <is>
          <t>Bö B I 351 b/2°</t>
        </is>
      </c>
      <c r="M30" t="inlineStr">
        <is>
          <t>Bö B I 351 b/2°</t>
        </is>
      </c>
      <c r="N30" t="inlineStr">
        <is>
          <t xml:space="preserve">Ammaestramenti Teorieopratici Indirizzati ad agevolare il modo d'imparare da per se La Scrittura Moderna : </t>
        </is>
      </c>
      <c r="O30" t="inlineStr">
        <is>
          <t xml:space="preserve"> : </t>
        </is>
      </c>
      <c r="P30" t="inlineStr">
        <is>
          <t>Bö B I 351b/2°</t>
        </is>
      </c>
      <c r="Q30" t="inlineStr"/>
      <c r="R30" t="inlineStr"/>
      <c r="S30" t="inlineStr">
        <is>
          <t xml:space="preserve">Ammaestramenti Teorieopratici Indirizzati ad agevolare il modo d'imparare da per se La Scrittura Moderna : </t>
        </is>
      </c>
      <c r="T30" t="inlineStr">
        <is>
          <t xml:space="preserve"> : </t>
        </is>
      </c>
      <c r="U30" t="inlineStr">
        <is>
          <t>X</t>
        </is>
      </c>
      <c r="V30" t="inlineStr"/>
      <c r="W30" t="inlineStr">
        <is>
          <t>Halbledereinband</t>
        </is>
      </c>
      <c r="X30" t="inlineStr">
        <is>
          <t>&gt; 42 cm</t>
        </is>
      </c>
      <c r="Y30" t="inlineStr">
        <is>
          <t>80° bis 110°, einseitig digitalisierbar?</t>
        </is>
      </c>
      <c r="Z30" t="inlineStr">
        <is>
          <t>stark brüchiges Einbandmaterial</t>
        </is>
      </c>
      <c r="AA30" t="inlineStr"/>
      <c r="AB30" t="inlineStr"/>
      <c r="AC30" t="inlineStr"/>
      <c r="AD30" t="n">
        <v>1</v>
      </c>
      <c r="AE30" t="inlineStr"/>
      <c r="AF30" t="inlineStr"/>
      <c r="AG30" t="inlineStr"/>
      <c r="AH30" t="inlineStr"/>
      <c r="AI30" t="inlineStr"/>
      <c r="AJ30" t="inlineStr">
        <is>
          <t>39x50</t>
        </is>
      </c>
      <c r="AK30" t="inlineStr"/>
      <c r="AL30" t="inlineStr"/>
      <c r="AM30" t="inlineStr"/>
      <c r="AN30" t="inlineStr">
        <is>
          <t>HL</t>
        </is>
      </c>
      <c r="AO30" t="inlineStr"/>
      <c r="AP30" t="inlineStr"/>
      <c r="AQ30" t="inlineStr"/>
      <c r="AR30" t="inlineStr">
        <is>
          <t>h/E</t>
        </is>
      </c>
      <c r="AS30" t="inlineStr"/>
      <c r="AT30" t="inlineStr">
        <is>
          <t>x</t>
        </is>
      </c>
      <c r="AU30" t="inlineStr"/>
      <c r="AV30" t="inlineStr"/>
      <c r="AW30" t="inlineStr"/>
      <c r="AX30" t="inlineStr">
        <is>
          <t>Pa</t>
        </is>
      </c>
      <c r="AY30" t="inlineStr"/>
      <c r="AZ30" t="inlineStr"/>
      <c r="BA30" t="inlineStr"/>
      <c r="BB30" t="inlineStr"/>
      <c r="BC30" t="inlineStr"/>
      <c r="BD30" t="inlineStr"/>
      <c r="BE30" t="inlineStr"/>
      <c r="BF30" t="inlineStr"/>
      <c r="BG30" t="inlineStr">
        <is>
          <t>x</t>
        </is>
      </c>
      <c r="BH30" t="inlineStr"/>
      <c r="BI30" t="inlineStr"/>
      <c r="BJ30" t="inlineStr"/>
      <c r="BK30" t="inlineStr"/>
      <c r="BL30" t="n">
        <v>110</v>
      </c>
      <c r="BM30" t="inlineStr"/>
      <c r="BN30" t="inlineStr"/>
      <c r="BO30" t="inlineStr"/>
      <c r="BP30" t="inlineStr"/>
      <c r="BQ30" t="inlineStr"/>
      <c r="BR30" t="inlineStr">
        <is>
          <t>n</t>
        </is>
      </c>
      <c r="BS30" t="n">
        <v>0</v>
      </c>
      <c r="BT30" t="inlineStr"/>
      <c r="BU30" t="inlineStr"/>
      <c r="BV30" t="inlineStr"/>
      <c r="BW30" t="inlineStr"/>
      <c r="BX30" t="inlineStr"/>
      <c r="BY30" t="inlineStr"/>
      <c r="BZ30" t="inlineStr">
        <is>
          <t>x</t>
        </is>
      </c>
      <c r="CA30" t="inlineStr">
        <is>
          <t>mind. Umschlag wegen pudernden Leder</t>
        </is>
      </c>
      <c r="CB30" t="inlineStr"/>
      <c r="CC30" t="inlineStr"/>
      <c r="CD30" t="inlineStr">
        <is>
          <t>Umschlag (Leder pudert)</t>
        </is>
      </c>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c r="DH30" t="inlineStr"/>
      <c r="DI30" t="inlineStr"/>
      <c r="DJ30" t="inlineStr"/>
      <c r="DK30" t="inlineStr"/>
      <c r="DL30" t="inlineStr"/>
    </row>
    <row r="31">
      <c r="A31" t="inlineStr">
        <is>
          <t>Schreibmeister</t>
        </is>
      </c>
      <c r="B31" t="b">
        <v>1</v>
      </c>
      <c r="C31" t="inlineStr"/>
      <c r="D31" t="inlineStr"/>
      <c r="E31" t="n">
        <v>24</v>
      </c>
      <c r="F31">
        <f>HYPERLINK("https://portal.dnb.de/opac.htm?method=simpleSearch&amp;cqlMode=true&amp;query=idn%3D995118566", "Portal")</f>
        <v/>
      </c>
      <c r="G31" t="inlineStr">
        <is>
          <t>Aal</t>
        </is>
      </c>
      <c r="H31">
        <f>HYPERLINK("https://portal.dnb.de/opac.htm?method=simpleSearch&amp;cqlMode=true&amp;query=idn%3D995118566", "Portal")</f>
        <v/>
      </c>
      <c r="I31" t="inlineStr">
        <is>
          <t>L-1719-158797752</t>
        </is>
      </c>
      <c r="J31" t="inlineStr">
        <is>
          <t>995118566</t>
        </is>
      </c>
      <c r="K31" t="inlineStr">
        <is>
          <t>Bö B I 352/2</t>
        </is>
      </c>
      <c r="L31" t="inlineStr">
        <is>
          <t>(Großformate)</t>
        </is>
      </c>
      <c r="M31" t="inlineStr">
        <is>
          <t>Bö B I 352/2</t>
        </is>
      </c>
      <c r="N31" t="inlineStr">
        <is>
          <t>Le @Trésor|| Des Novvelles|| Escritures de Finances|| et Italiennes bastardes|| A la Mode|| Auec les belles Instructions &amp;|| Secrets dudit Art|| Dedié</t>
        </is>
      </c>
      <c r="O31" t="inlineStr">
        <is>
          <t xml:space="preserve"> : </t>
        </is>
      </c>
      <c r="P31" t="inlineStr">
        <is>
          <t>Bö B I 352/2°</t>
        </is>
      </c>
      <c r="Q31" t="inlineStr"/>
      <c r="R31" t="inlineStr"/>
      <c r="S31" t="inlineStr">
        <is>
          <t>Le @Trésor|| Des Novvelles|| Escritures de Finances|| et Italiennes bastardes|| A la Mode|| Auec les belles Instructions &amp;|| Secrets dudit Art|| Dedié</t>
        </is>
      </c>
      <c r="T31" t="inlineStr">
        <is>
          <t xml:space="preserve"> : </t>
        </is>
      </c>
      <c r="U31" t="inlineStr">
        <is>
          <t>X</t>
        </is>
      </c>
      <c r="V31" t="inlineStr"/>
      <c r="W31" t="inlineStr">
        <is>
          <t>Gewebeeinband</t>
        </is>
      </c>
      <c r="X31" t="inlineStr">
        <is>
          <t>bis 42 cm</t>
        </is>
      </c>
      <c r="Y31" t="inlineStr">
        <is>
          <t>80° bis 110°, einseitig digitalisierbar?</t>
        </is>
      </c>
      <c r="Z31" t="inlineStr">
        <is>
          <t>Schrift bis in den Falz</t>
        </is>
      </c>
      <c r="AA31" t="inlineStr"/>
      <c r="AB31" t="inlineStr"/>
      <c r="AC31" t="inlineStr"/>
      <c r="AD31" t="n">
        <v>0</v>
      </c>
      <c r="AE31" t="inlineStr"/>
      <c r="AF31" t="inlineStr"/>
      <c r="AG31" t="inlineStr"/>
      <c r="AH31" t="inlineStr"/>
      <c r="AI31" t="inlineStr"/>
      <c r="AJ31" t="inlineStr"/>
      <c r="AK31" t="inlineStr"/>
      <c r="AL31" t="inlineStr"/>
      <c r="AM31" t="inlineStr"/>
      <c r="AN31" t="inlineStr">
        <is>
          <t>HPg</t>
        </is>
      </c>
      <c r="AO31" t="inlineStr"/>
      <c r="AP31" t="inlineStr"/>
      <c r="AQ31" t="inlineStr"/>
      <c r="AR31" t="inlineStr">
        <is>
          <t>h/E</t>
        </is>
      </c>
      <c r="AS31" t="inlineStr"/>
      <c r="AT31" t="inlineStr"/>
      <c r="AU31" t="inlineStr"/>
      <c r="AV31" t="inlineStr"/>
      <c r="AW31" t="inlineStr"/>
      <c r="AX31" t="inlineStr">
        <is>
          <t>Pa</t>
        </is>
      </c>
      <c r="AY31" t="inlineStr"/>
      <c r="AZ31" t="inlineStr"/>
      <c r="BA31" t="inlineStr"/>
      <c r="BB31" t="inlineStr"/>
      <c r="BC31" t="inlineStr"/>
      <c r="BD31" t="inlineStr"/>
      <c r="BE31" t="inlineStr"/>
      <c r="BF31" t="inlineStr"/>
      <c r="BG31" t="inlineStr">
        <is>
          <t>x</t>
        </is>
      </c>
      <c r="BH31" t="inlineStr"/>
      <c r="BI31" t="inlineStr"/>
      <c r="BJ31" t="inlineStr"/>
      <c r="BK31" t="inlineStr"/>
      <c r="BL31" t="n">
        <v>110</v>
      </c>
      <c r="BM31" t="inlineStr"/>
      <c r="BN31" t="inlineStr"/>
      <c r="BO31" t="inlineStr"/>
      <c r="BP31" t="inlineStr"/>
      <c r="BQ31" t="inlineStr"/>
      <c r="BR31" t="inlineStr">
        <is>
          <t>n</t>
        </is>
      </c>
      <c r="BS31" t="n">
        <v>0</v>
      </c>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c r="DH31" t="inlineStr"/>
      <c r="DI31" t="inlineStr"/>
      <c r="DJ31" t="inlineStr"/>
      <c r="DK31" t="inlineStr"/>
      <c r="DL31" t="inlineStr"/>
    </row>
    <row r="32">
      <c r="A32" t="inlineStr">
        <is>
          <t>Schreibmeister</t>
        </is>
      </c>
      <c r="B32" t="b">
        <v>1</v>
      </c>
      <c r="C32" t="inlineStr"/>
      <c r="D32" t="inlineStr"/>
      <c r="E32" t="n">
        <v>25</v>
      </c>
      <c r="F32">
        <f>HYPERLINK("https://portal.dnb.de/opac.htm?method=simpleSearch&amp;cqlMode=true&amp;query=idn%3D996389113", "Portal")</f>
        <v/>
      </c>
      <c r="G32" t="inlineStr">
        <is>
          <t>Aal</t>
        </is>
      </c>
      <c r="H32">
        <f>HYPERLINK("https://portal.dnb.de/opac.htm?method=simpleSearch&amp;cqlMode=true&amp;query=idn%3D996389113", "Portal")</f>
        <v/>
      </c>
      <c r="I32" t="inlineStr">
        <is>
          <t>L-1797-162081979</t>
        </is>
      </c>
      <c r="J32" t="inlineStr">
        <is>
          <t>996389113</t>
        </is>
      </c>
      <c r="K32" t="inlineStr">
        <is>
          <t>Bö B I 361/2°</t>
        </is>
      </c>
      <c r="L32" t="inlineStr">
        <is>
          <t>Bö B I 361/2°</t>
        </is>
      </c>
      <c r="M32" t="inlineStr">
        <is>
          <t>Bö B I 361/2°</t>
        </is>
      </c>
      <c r="N32" t="inlineStr">
        <is>
          <t xml:space="preserve">Alfabeto di Lettere Iniziali Adorno Di Animali e proseguito Da Vaga Serie Di Caratteri : </t>
        </is>
      </c>
      <c r="O32" t="inlineStr">
        <is>
          <t xml:space="preserve"> : </t>
        </is>
      </c>
      <c r="P32" t="inlineStr">
        <is>
          <t>Bö B I 361/2°</t>
        </is>
      </c>
      <c r="Q32" t="inlineStr">
        <is>
          <t>900,00 EUR</t>
        </is>
      </c>
      <c r="R32" t="inlineStr"/>
      <c r="S32" t="inlineStr">
        <is>
          <t xml:space="preserve">Alfabeto di Lettere Iniziali Adorno Di Animali e proseguito Da Vaga Serie Di Caratteri : </t>
        </is>
      </c>
      <c r="T32" t="inlineStr">
        <is>
          <t xml:space="preserve"> : </t>
        </is>
      </c>
      <c r="U32" t="inlineStr">
        <is>
          <t>X</t>
        </is>
      </c>
      <c r="V32" t="inlineStr">
        <is>
          <t>900,00 EUR</t>
        </is>
      </c>
      <c r="W32" t="inlineStr">
        <is>
          <t>Halbledereinband</t>
        </is>
      </c>
      <c r="X32" t="inlineStr">
        <is>
          <t>bis 42 cm</t>
        </is>
      </c>
      <c r="Y32" t="inlineStr">
        <is>
          <t>80° bis 110°, einseitig digitalisierbar?</t>
        </is>
      </c>
      <c r="Z32" t="inlineStr"/>
      <c r="AA32" t="inlineStr"/>
      <c r="AB32" t="inlineStr"/>
      <c r="AC32" t="inlineStr"/>
      <c r="AD32" t="n">
        <v>0</v>
      </c>
      <c r="AE32" t="inlineStr"/>
      <c r="AF32" t="inlineStr"/>
      <c r="AG32" t="inlineStr"/>
      <c r="AH32" t="inlineStr"/>
      <c r="AI32" t="inlineStr"/>
      <c r="AJ32" t="inlineStr"/>
      <c r="AK32" t="inlineStr"/>
      <c r="AL32" t="inlineStr"/>
      <c r="AM32" t="inlineStr"/>
      <c r="AN32" t="inlineStr">
        <is>
          <t>HPg</t>
        </is>
      </c>
      <c r="AO32" t="inlineStr"/>
      <c r="AP32" t="inlineStr"/>
      <c r="AQ32" t="inlineStr"/>
      <c r="AR32" t="inlineStr">
        <is>
          <t>h</t>
        </is>
      </c>
      <c r="AS32" t="inlineStr"/>
      <c r="AT32" t="inlineStr"/>
      <c r="AU32" t="inlineStr"/>
      <c r="AV32" t="inlineStr"/>
      <c r="AW32" t="inlineStr"/>
      <c r="AX32" t="inlineStr">
        <is>
          <t>Pa</t>
        </is>
      </c>
      <c r="AY32" t="inlineStr"/>
      <c r="AZ32" t="inlineStr"/>
      <c r="BA32" t="inlineStr"/>
      <c r="BB32" t="inlineStr"/>
      <c r="BC32" t="inlineStr"/>
      <c r="BD32" t="inlineStr"/>
      <c r="BE32" t="inlineStr"/>
      <c r="BF32" t="inlineStr"/>
      <c r="BG32" t="inlineStr">
        <is>
          <t>x</t>
        </is>
      </c>
      <c r="BH32" t="inlineStr"/>
      <c r="BI32" t="inlineStr"/>
      <c r="BJ32" t="inlineStr"/>
      <c r="BK32" t="inlineStr"/>
      <c r="BL32" t="n">
        <v>110</v>
      </c>
      <c r="BM32" t="inlineStr"/>
      <c r="BN32" t="inlineStr"/>
      <c r="BO32" t="inlineStr"/>
      <c r="BP32" t="inlineStr"/>
      <c r="BQ32" t="inlineStr"/>
      <c r="BR32" t="inlineStr">
        <is>
          <t>n</t>
        </is>
      </c>
      <c r="BS32" t="n">
        <v>0</v>
      </c>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c r="DH32" t="inlineStr"/>
      <c r="DI32" t="inlineStr"/>
      <c r="DJ32" t="inlineStr"/>
      <c r="DK32" t="inlineStr"/>
      <c r="DL32" t="inlineStr"/>
    </row>
    <row r="33">
      <c r="A33" t="inlineStr">
        <is>
          <t>Schreibmeister</t>
        </is>
      </c>
      <c r="B33" t="b">
        <v>1</v>
      </c>
      <c r="C33" t="inlineStr"/>
      <c r="D33" t="inlineStr"/>
      <c r="E33" t="n">
        <v>26</v>
      </c>
      <c r="F33">
        <f>HYPERLINK("https://portal.dnb.de/opac.htm?method=simpleSearch&amp;cqlMode=true&amp;query=idn%3D997039345", "Portal")</f>
        <v/>
      </c>
      <c r="G33" t="inlineStr">
        <is>
          <t>Afl</t>
        </is>
      </c>
      <c r="H33">
        <f>HYPERLINK("https://portal.dnb.de/opac.htm?method=simpleSearch&amp;cqlMode=true&amp;query=idn%3D997039345", "Portal")</f>
        <v/>
      </c>
      <c r="I33" t="inlineStr">
        <is>
          <t>L-1820-163256233</t>
        </is>
      </c>
      <c r="J33" t="inlineStr">
        <is>
          <t>997039345</t>
        </is>
      </c>
      <c r="K33" t="inlineStr">
        <is>
          <t>Bö B I 365/4° - 1</t>
        </is>
      </c>
      <c r="L33" t="inlineStr">
        <is>
          <t>Bö B I 365/4° - 1</t>
        </is>
      </c>
      <c r="M33" t="inlineStr">
        <is>
          <t>Bö B I 365/4° - 1</t>
        </is>
      </c>
      <c r="N33" t="inlineStr">
        <is>
          <t>Musterblätter für Liebhaber der höhern Kaligraphie</t>
        </is>
      </c>
      <c r="O33" t="inlineStr">
        <is>
          <t xml:space="preserve">H. 1 : </t>
        </is>
      </c>
      <c r="P33" t="inlineStr">
        <is>
          <t>Bö B I 365/4° - 1</t>
        </is>
      </c>
      <c r="Q33" t="inlineStr"/>
      <c r="R33" t="inlineStr"/>
      <c r="S33" t="inlineStr">
        <is>
          <t>Musterblätter für Liebhaber der höhern Kaligraphie</t>
        </is>
      </c>
      <c r="T33" t="inlineStr">
        <is>
          <t xml:space="preserve">H. 1 : </t>
        </is>
      </c>
      <c r="U33" t="inlineStr">
        <is>
          <t>X</t>
        </is>
      </c>
      <c r="V33" t="inlineStr"/>
      <c r="W33" t="inlineStr">
        <is>
          <t>Halbgewebeband</t>
        </is>
      </c>
      <c r="X33" t="inlineStr">
        <is>
          <t>bis 35 cm</t>
        </is>
      </c>
      <c r="Y33" t="inlineStr">
        <is>
          <t>80° bis 110°, einseitig digitalisierbar?</t>
        </is>
      </c>
      <c r="Z33" t="inlineStr">
        <is>
          <t>hohler Rücken</t>
        </is>
      </c>
      <c r="AA33" t="inlineStr"/>
      <c r="AB33" t="inlineStr"/>
      <c r="AC33" t="inlineStr"/>
      <c r="AD33" t="n">
        <v>1</v>
      </c>
      <c r="AE33" t="inlineStr"/>
      <c r="AF33" t="inlineStr"/>
      <c r="AG33" t="inlineStr"/>
      <c r="AH33" t="inlineStr"/>
      <c r="AI33" t="inlineStr"/>
      <c r="AJ33" t="inlineStr"/>
      <c r="AK33" t="inlineStr">
        <is>
          <t>QF (49x34)</t>
        </is>
      </c>
      <c r="AL33" t="inlineStr"/>
      <c r="AM33" t="inlineStr"/>
      <c r="AN33" t="inlineStr">
        <is>
          <t>HL</t>
        </is>
      </c>
      <c r="AO33" t="inlineStr"/>
      <c r="AP33" t="inlineStr"/>
      <c r="AQ33" t="inlineStr">
        <is>
          <t>x</t>
        </is>
      </c>
      <c r="AR33" t="inlineStr">
        <is>
          <t>h/E</t>
        </is>
      </c>
      <c r="AS33" t="inlineStr"/>
      <c r="AT33" t="inlineStr"/>
      <c r="AU33" t="inlineStr"/>
      <c r="AV33" t="inlineStr"/>
      <c r="AW33" t="inlineStr"/>
      <c r="AX33" t="inlineStr">
        <is>
          <t>Pa</t>
        </is>
      </c>
      <c r="AY33" t="inlineStr"/>
      <c r="AZ33" t="inlineStr"/>
      <c r="BA33" t="inlineStr"/>
      <c r="BB33" t="inlineStr"/>
      <c r="BC33" t="inlineStr"/>
      <c r="BD33" t="inlineStr"/>
      <c r="BE33" t="inlineStr"/>
      <c r="BF33" t="inlineStr"/>
      <c r="BG33" t="inlineStr">
        <is>
          <t>x</t>
        </is>
      </c>
      <c r="BH33" t="inlineStr"/>
      <c r="BI33" t="inlineStr"/>
      <c r="BJ33" t="inlineStr"/>
      <c r="BK33" t="inlineStr"/>
      <c r="BL33" t="n">
        <v>110</v>
      </c>
      <c r="BM33" t="inlineStr"/>
      <c r="BN33" t="inlineStr"/>
      <c r="BO33" t="inlineStr"/>
      <c r="BP33" t="inlineStr"/>
      <c r="BQ33" t="inlineStr"/>
      <c r="BR33" t="inlineStr">
        <is>
          <t>n</t>
        </is>
      </c>
      <c r="BS33" t="n">
        <v>0</v>
      </c>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c r="DH33" t="inlineStr"/>
      <c r="DI33" t="inlineStr"/>
      <c r="DJ33" t="inlineStr"/>
      <c r="DK33" t="inlineStr"/>
      <c r="DL33" t="inlineStr"/>
    </row>
    <row r="34">
      <c r="A34" t="inlineStr">
        <is>
          <t>Schreibmeister</t>
        </is>
      </c>
      <c r="B34" t="b">
        <v>1</v>
      </c>
      <c r="C34" t="inlineStr"/>
      <c r="D34" t="inlineStr"/>
      <c r="E34" t="n">
        <v>27</v>
      </c>
      <c r="F34">
        <f>HYPERLINK("https://portal.dnb.de/opac.htm?method=simpleSearch&amp;cqlMode=true&amp;query=idn%3D997039469", "Portal")</f>
        <v/>
      </c>
      <c r="G34" t="inlineStr">
        <is>
          <t>Afl</t>
        </is>
      </c>
      <c r="H34">
        <f>HYPERLINK("https://portal.dnb.de/opac.htm?method=simpleSearch&amp;cqlMode=true&amp;query=idn%3D997039469", "Portal")</f>
        <v/>
      </c>
      <c r="I34" t="inlineStr">
        <is>
          <t>L-1820-163256357</t>
        </is>
      </c>
      <c r="J34" t="inlineStr">
        <is>
          <t>997039469</t>
        </is>
      </c>
      <c r="K34" t="inlineStr">
        <is>
          <t>Bö B I 365/4° - 2</t>
        </is>
      </c>
      <c r="L34" t="inlineStr">
        <is>
          <t>Bö B I 365/4° - 2</t>
        </is>
      </c>
      <c r="M34" t="inlineStr">
        <is>
          <t>Bö B I 365/4° - 2</t>
        </is>
      </c>
      <c r="N34" t="inlineStr">
        <is>
          <t>Musterblätter für Liebhaber der höhern Kaligraphie</t>
        </is>
      </c>
      <c r="O34" t="inlineStr">
        <is>
          <t xml:space="preserve">H. 2 : </t>
        </is>
      </c>
      <c r="P34" t="inlineStr">
        <is>
          <t>Bö B I 365/4° - 2 (angebunden)</t>
        </is>
      </c>
      <c r="Q34" t="inlineStr"/>
      <c r="R34" t="inlineStr"/>
      <c r="S34" t="inlineStr">
        <is>
          <t>Musterblätter für Liebhaber der höhern Kaligraphie</t>
        </is>
      </c>
      <c r="T34" t="inlineStr">
        <is>
          <t xml:space="preserve">H. 2 : </t>
        </is>
      </c>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BR34" t="inlineStr"/>
      <c r="BS34" t="n">
        <v>0</v>
      </c>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c r="DH34" t="inlineStr"/>
      <c r="DI34" t="inlineStr"/>
      <c r="DJ34" t="inlineStr"/>
      <c r="DK34" t="inlineStr"/>
      <c r="DL34" t="inlineStr"/>
    </row>
    <row r="35">
      <c r="A35" t="inlineStr">
        <is>
          <t>Schreibmeister</t>
        </is>
      </c>
      <c r="B35" t="b">
        <v>1</v>
      </c>
      <c r="C35" t="inlineStr"/>
      <c r="D35" t="inlineStr"/>
      <c r="E35" t="n">
        <v>28</v>
      </c>
      <c r="F35">
        <f>HYPERLINK("https://portal.dnb.de/opac.htm?method=simpleSearch&amp;cqlMode=true&amp;query=idn%3D997039620", "Portal")</f>
        <v/>
      </c>
      <c r="G35" t="inlineStr">
        <is>
          <t>Afl</t>
        </is>
      </c>
      <c r="H35">
        <f>HYPERLINK("https://portal.dnb.de/opac.htm?method=simpleSearch&amp;cqlMode=true&amp;query=idn%3D997039620", "Portal")</f>
        <v/>
      </c>
      <c r="I35" t="inlineStr">
        <is>
          <t>L-1820-163256535</t>
        </is>
      </c>
      <c r="J35" t="inlineStr">
        <is>
          <t>997039620</t>
        </is>
      </c>
      <c r="K35" t="inlineStr">
        <is>
          <t>Bö B I 365/4° -3</t>
        </is>
      </c>
      <c r="L35" t="inlineStr">
        <is>
          <t>Bö B I 365/4° - 3</t>
        </is>
      </c>
      <c r="M35" t="inlineStr">
        <is>
          <t>Bö B I 365/4° -3</t>
        </is>
      </c>
      <c r="N35" t="inlineStr">
        <is>
          <t>Musterblätter für Liebhaber der höhern Kaligraphie</t>
        </is>
      </c>
      <c r="O35" t="inlineStr">
        <is>
          <t xml:space="preserve">H. 3 : </t>
        </is>
      </c>
      <c r="P35" t="inlineStr">
        <is>
          <t>Bö B I 365/4° - 3 (angebunden)</t>
        </is>
      </c>
      <c r="Q35" t="inlineStr"/>
      <c r="R35" t="inlineStr"/>
      <c r="S35" t="inlineStr">
        <is>
          <t>Musterblätter für Liebhaber der höhern Kaligraphie</t>
        </is>
      </c>
      <c r="T35" t="inlineStr">
        <is>
          <t xml:space="preserve">H. 3 : </t>
        </is>
      </c>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n">
        <v>0</v>
      </c>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c r="DH35" t="inlineStr"/>
      <c r="DI35" t="inlineStr"/>
      <c r="DJ35" t="inlineStr"/>
      <c r="DK35" t="inlineStr"/>
      <c r="DL35" t="inlineStr"/>
    </row>
    <row r="36">
      <c r="A36" t="inlineStr">
        <is>
          <t>Schreibmeister</t>
        </is>
      </c>
      <c r="B36" t="b">
        <v>1</v>
      </c>
      <c r="C36" t="inlineStr">
        <is>
          <t>x</t>
        </is>
      </c>
      <c r="D36" t="inlineStr"/>
      <c r="E36" t="n">
        <v>29</v>
      </c>
      <c r="F36">
        <f>HYPERLINK("https://portal.dnb.de/opac.htm?method=simpleSearch&amp;cqlMode=true&amp;query=idn%3D997140933", "Portal")</f>
        <v/>
      </c>
      <c r="G36" t="inlineStr">
        <is>
          <t>Afl</t>
        </is>
      </c>
      <c r="H36">
        <f>HYPERLINK("https://portal.dnb.de/opac.htm?method=simpleSearch&amp;cqlMode=true&amp;query=idn%3D997140933", "Portal")</f>
        <v/>
      </c>
      <c r="I36" t="inlineStr">
        <is>
          <t>L-1798-16342294X</t>
        </is>
      </c>
      <c r="J36" t="inlineStr">
        <is>
          <t>997140933</t>
        </is>
      </c>
      <c r="K36" t="inlineStr">
        <is>
          <t>Bö B I 368/4°</t>
        </is>
      </c>
      <c r="L36" t="inlineStr">
        <is>
          <t>Bö B I 368/4°</t>
        </is>
      </c>
      <c r="M36" t="inlineStr">
        <is>
          <t>Bö B I 368/4°</t>
        </is>
      </c>
      <c r="N36" t="inlineStr">
        <is>
          <t>Anleitung zur Schönschreibkunst vom Schreibmeister Joseph Anton Heß, Würzburg</t>
        </is>
      </c>
      <c r="O36" t="inlineStr">
        <is>
          <t xml:space="preserve">H. 1 : </t>
        </is>
      </c>
      <c r="P36" t="inlineStr">
        <is>
          <t>Bö B I 368/4°</t>
        </is>
      </c>
      <c r="Q36" t="inlineStr"/>
      <c r="R36" t="inlineStr"/>
      <c r="S36" t="inlineStr">
        <is>
          <t>Anleitung zur Schönschreibkunst vom Schreibmeister Joseph Anton Heß, Würzburg</t>
        </is>
      </c>
      <c r="T36" t="inlineStr">
        <is>
          <t xml:space="preserve">H. 1 : </t>
        </is>
      </c>
      <c r="U36" t="inlineStr">
        <is>
          <t>X</t>
        </is>
      </c>
      <c r="V36" t="inlineStr"/>
      <c r="W36" t="inlineStr">
        <is>
          <t>Halbledereinband</t>
        </is>
      </c>
      <c r="X36" t="inlineStr">
        <is>
          <t>bis 35 cm</t>
        </is>
      </c>
      <c r="Y36" t="inlineStr">
        <is>
          <t>180°</t>
        </is>
      </c>
      <c r="Z36" t="inlineStr"/>
      <c r="AA36" t="inlineStr"/>
      <c r="AB36" t="inlineStr">
        <is>
          <t xml:space="preserve">Papierumschlag </t>
        </is>
      </c>
      <c r="AC36" t="inlineStr">
        <is>
          <t>Ja</t>
        </is>
      </c>
      <c r="AD36" t="n">
        <v>2</v>
      </c>
      <c r="AE36" t="inlineStr"/>
      <c r="AF36" t="inlineStr"/>
      <c r="AG36" t="inlineStr"/>
      <c r="AH36" t="inlineStr"/>
      <c r="AI36" t="inlineStr"/>
      <c r="AJ36" t="inlineStr"/>
      <c r="AK36" t="inlineStr">
        <is>
          <t>QF (44x28)</t>
        </is>
      </c>
      <c r="AL36" t="inlineStr"/>
      <c r="AM36" t="inlineStr"/>
      <c r="AN36" t="inlineStr">
        <is>
          <t>HL</t>
        </is>
      </c>
      <c r="AO36" t="inlineStr"/>
      <c r="AP36" t="inlineStr"/>
      <c r="AQ36" t="inlineStr"/>
      <c r="AR36" t="inlineStr">
        <is>
          <t>f</t>
        </is>
      </c>
      <c r="AS36" t="inlineStr"/>
      <c r="AT36" t="inlineStr"/>
      <c r="AU36" t="inlineStr"/>
      <c r="AV36" t="inlineStr"/>
      <c r="AW36" t="inlineStr"/>
      <c r="AX36" t="inlineStr">
        <is>
          <t>Pa</t>
        </is>
      </c>
      <c r="AY36" t="inlineStr"/>
      <c r="AZ36" t="inlineStr"/>
      <c r="BA36" t="inlineStr"/>
      <c r="BB36" t="inlineStr"/>
      <c r="BC36" t="inlineStr"/>
      <c r="BD36" t="inlineStr"/>
      <c r="BE36" t="inlineStr"/>
      <c r="BF36" t="inlineStr"/>
      <c r="BG36" t="inlineStr">
        <is>
          <t>x</t>
        </is>
      </c>
      <c r="BH36" t="inlineStr"/>
      <c r="BI36" t="inlineStr"/>
      <c r="BJ36" t="inlineStr"/>
      <c r="BK36" t="inlineStr"/>
      <c r="BL36" t="inlineStr">
        <is>
          <t>nur 110</t>
        </is>
      </c>
      <c r="BM36" t="inlineStr"/>
      <c r="BN36" t="inlineStr"/>
      <c r="BO36" t="inlineStr"/>
      <c r="BP36" t="inlineStr"/>
      <c r="BQ36" t="inlineStr"/>
      <c r="BR36" t="inlineStr">
        <is>
          <t>ja vor</t>
        </is>
      </c>
      <c r="BS36" t="n">
        <v>6.5</v>
      </c>
      <c r="BT36" t="inlineStr"/>
      <c r="BU36" t="inlineStr"/>
      <c r="BV36" t="inlineStr"/>
      <c r="BW36" t="inlineStr"/>
      <c r="BX36" t="inlineStr"/>
      <c r="BY36" t="inlineStr">
        <is>
          <t>x sauer</t>
        </is>
      </c>
      <c r="BZ36" t="inlineStr">
        <is>
          <t>x</t>
        </is>
      </c>
      <c r="CA36" t="inlineStr"/>
      <c r="CB36" t="inlineStr"/>
      <c r="CC36" t="inlineStr"/>
      <c r="CD36" t="inlineStr"/>
      <c r="CE36" t="inlineStr"/>
      <c r="CF36" t="inlineStr"/>
      <c r="CG36" t="inlineStr">
        <is>
          <t>x</t>
        </is>
      </c>
      <c r="CH36" t="inlineStr"/>
      <c r="CI36" t="inlineStr">
        <is>
          <t>v/h</t>
        </is>
      </c>
      <c r="CJ36" t="inlineStr"/>
      <c r="CK36" t="inlineStr"/>
      <c r="CL36" t="inlineStr"/>
      <c r="CM36" t="inlineStr"/>
      <c r="CN36" t="inlineStr"/>
      <c r="CO36" t="inlineStr"/>
      <c r="CP36" t="inlineStr"/>
      <c r="CQ36" t="inlineStr"/>
      <c r="CR36" t="n">
        <v>1.5</v>
      </c>
      <c r="CS36" t="inlineStr">
        <is>
          <t>nur das Nötigste --&gt; nur Gelenk am VD stabilisieren; RD ist fest genug; Ecken belassen</t>
        </is>
      </c>
      <c r="CT36" t="inlineStr"/>
      <c r="CU36" t="inlineStr"/>
      <c r="CV36" t="inlineStr"/>
      <c r="CW36" t="inlineStr"/>
      <c r="CX36" t="inlineStr"/>
      <c r="CY36" t="inlineStr"/>
      <c r="CZ36" t="inlineStr"/>
      <c r="DA36" t="inlineStr"/>
      <c r="DB36" t="inlineStr"/>
      <c r="DC36" t="inlineStr"/>
      <c r="DD36" t="inlineStr"/>
      <c r="DE36" t="inlineStr"/>
      <c r="DF36" t="inlineStr">
        <is>
          <t>x</t>
        </is>
      </c>
      <c r="DG36" t="inlineStr"/>
      <c r="DH36" t="inlineStr"/>
      <c r="DI36" t="inlineStr"/>
      <c r="DJ36" t="inlineStr"/>
      <c r="DK36" t="n">
        <v>5</v>
      </c>
      <c r="DL36" t="inlineStr"/>
    </row>
    <row r="37">
      <c r="A37" t="inlineStr">
        <is>
          <t>Schreibmeister</t>
        </is>
      </c>
      <c r="B37" t="b">
        <v>1</v>
      </c>
      <c r="C37" t="inlineStr"/>
      <c r="D37" t="inlineStr"/>
      <c r="E37" t="n">
        <v>30</v>
      </c>
      <c r="F37">
        <f>HYPERLINK("https://portal.dnb.de/opac.htm?method=simpleSearch&amp;cqlMode=true&amp;query=idn%3D997141042", "Portal")</f>
        <v/>
      </c>
      <c r="G37" t="inlineStr">
        <is>
          <t>Afl</t>
        </is>
      </c>
      <c r="H37">
        <f>HYPERLINK("https://portal.dnb.de/opac.htm?method=simpleSearch&amp;cqlMode=true&amp;query=idn%3D997141042", "Portal")</f>
        <v/>
      </c>
      <c r="I37" t="inlineStr">
        <is>
          <t>L-1798-163423059</t>
        </is>
      </c>
      <c r="J37" t="inlineStr">
        <is>
          <t>997141042</t>
        </is>
      </c>
      <c r="K37" t="inlineStr">
        <is>
          <t>Bö B I 368/4°</t>
        </is>
      </c>
      <c r="L37" t="inlineStr">
        <is>
          <t>Bö B I 368/4°</t>
        </is>
      </c>
      <c r="M37" t="inlineStr">
        <is>
          <t>Bö B I 368/4°</t>
        </is>
      </c>
      <c r="N37" t="inlineStr">
        <is>
          <t>Anleitung zur Schönschreibkunst vom Schreibmeister Joseph Anton Heß, Würzburg</t>
        </is>
      </c>
      <c r="O37" t="inlineStr">
        <is>
          <t xml:space="preserve">H. 2 : </t>
        </is>
      </c>
      <c r="P37" t="inlineStr">
        <is>
          <t>Bö B I 368/4°</t>
        </is>
      </c>
      <c r="Q37" t="inlineStr"/>
      <c r="R37" t="inlineStr"/>
      <c r="S37" t="inlineStr">
        <is>
          <t>Anleitung zur Schönschreibkunst vom Schreibmeister Joseph Anton Heß, Würzburg</t>
        </is>
      </c>
      <c r="T37" t="inlineStr">
        <is>
          <t xml:space="preserve">H. 2 : </t>
        </is>
      </c>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BR37" t="inlineStr"/>
      <c r="BS37" t="n">
        <v>0</v>
      </c>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c r="DH37" t="inlineStr"/>
      <c r="DI37" t="inlineStr"/>
      <c r="DJ37" t="inlineStr"/>
      <c r="DK37" t="inlineStr"/>
      <c r="DL37" t="inlineStr"/>
    </row>
    <row r="38">
      <c r="A38" t="inlineStr">
        <is>
          <t>Schreibmeister</t>
        </is>
      </c>
      <c r="B38" t="b">
        <v>1</v>
      </c>
      <c r="C38" t="inlineStr"/>
      <c r="D38" t="inlineStr"/>
      <c r="E38" t="n">
        <v>31</v>
      </c>
      <c r="F38">
        <f>HYPERLINK("https://portal.dnb.de/opac.htm?method=simpleSearch&amp;cqlMode=true&amp;query=idn%3D997141115", "Portal")</f>
        <v/>
      </c>
      <c r="G38" t="inlineStr">
        <is>
          <t>Afl</t>
        </is>
      </c>
      <c r="H38">
        <f>HYPERLINK("https://portal.dnb.de/opac.htm?method=simpleSearch&amp;cqlMode=true&amp;query=idn%3D997141115", "Portal")</f>
        <v/>
      </c>
      <c r="I38" t="inlineStr">
        <is>
          <t>L-1798-163423180</t>
        </is>
      </c>
      <c r="J38" t="inlineStr">
        <is>
          <t>997141115</t>
        </is>
      </c>
      <c r="K38" t="inlineStr">
        <is>
          <t>Bö B I 368/4°</t>
        </is>
      </c>
      <c r="L38" t="inlineStr">
        <is>
          <t>Bö B I 368/4°</t>
        </is>
      </c>
      <c r="M38" t="inlineStr">
        <is>
          <t>Bö B I 368/4°</t>
        </is>
      </c>
      <c r="N38" t="inlineStr">
        <is>
          <t>Anleitung zur Schönschreibkunst vom Schreibmeister Joseph Anton Heß, Würzburg</t>
        </is>
      </c>
      <c r="O38" t="inlineStr">
        <is>
          <t xml:space="preserve">H. 3 : </t>
        </is>
      </c>
      <c r="P38" t="inlineStr">
        <is>
          <t>Bö B I 368/4°</t>
        </is>
      </c>
      <c r="Q38" t="inlineStr"/>
      <c r="R38" t="inlineStr"/>
      <c r="S38" t="inlineStr">
        <is>
          <t>Anleitung zur Schönschreibkunst vom Schreibmeister Joseph Anton Heß, Würzburg</t>
        </is>
      </c>
      <c r="T38" t="inlineStr">
        <is>
          <t xml:space="preserve">H. 3 : </t>
        </is>
      </c>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BR38" t="inlineStr"/>
      <c r="BS38" t="n">
        <v>0</v>
      </c>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c r="DH38" t="inlineStr"/>
      <c r="DI38" t="inlineStr"/>
      <c r="DJ38" t="inlineStr"/>
      <c r="DK38" t="inlineStr"/>
      <c r="DL38" t="inlineStr"/>
    </row>
    <row r="39">
      <c r="A39" t="inlineStr">
        <is>
          <t>Schreibmeister</t>
        </is>
      </c>
      <c r="B39" t="b">
        <v>1</v>
      </c>
      <c r="C39" t="inlineStr"/>
      <c r="D39" t="inlineStr"/>
      <c r="E39" t="n">
        <v>32</v>
      </c>
      <c r="F39">
        <f>HYPERLINK("https://portal.dnb.de/opac.htm?method=simpleSearch&amp;cqlMode=true&amp;query=idn%3D997141247", "Portal")</f>
        <v/>
      </c>
      <c r="G39" t="inlineStr">
        <is>
          <t>Afl</t>
        </is>
      </c>
      <c r="H39">
        <f>HYPERLINK("https://portal.dnb.de/opac.htm?method=simpleSearch&amp;cqlMode=true&amp;query=idn%3D997141247", "Portal")</f>
        <v/>
      </c>
      <c r="I39" t="inlineStr">
        <is>
          <t>L-1799-163423369</t>
        </is>
      </c>
      <c r="J39" t="inlineStr">
        <is>
          <t>997141247</t>
        </is>
      </c>
      <c r="K39" t="inlineStr">
        <is>
          <t>Bö B I 368/4°</t>
        </is>
      </c>
      <c r="L39" t="inlineStr">
        <is>
          <t>Bö B I 368/4°</t>
        </is>
      </c>
      <c r="M39" t="inlineStr">
        <is>
          <t>Bö B I 368/4°</t>
        </is>
      </c>
      <c r="N39" t="inlineStr">
        <is>
          <t>Anleitung zur Schönschreibkunst vom Schreibmeister Joseph Anton Heß, Würzburg</t>
        </is>
      </c>
      <c r="O39" t="inlineStr">
        <is>
          <t xml:space="preserve">H. 4 : </t>
        </is>
      </c>
      <c r="P39" t="inlineStr">
        <is>
          <t>Bö B I 368/4°</t>
        </is>
      </c>
      <c r="Q39" t="inlineStr"/>
      <c r="R39" t="inlineStr"/>
      <c r="S39" t="inlineStr">
        <is>
          <t>Anleitung zur Schönschreibkunst vom Schreibmeister Joseph Anton Heß, Würzburg</t>
        </is>
      </c>
      <c r="T39" t="inlineStr">
        <is>
          <t xml:space="preserve">H. 4 : </t>
        </is>
      </c>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n">
        <v>0</v>
      </c>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c r="DH39" t="inlineStr"/>
      <c r="DI39" t="inlineStr"/>
      <c r="DJ39" t="inlineStr"/>
      <c r="DK39" t="inlineStr"/>
      <c r="DL39" t="inlineStr"/>
    </row>
    <row r="40">
      <c r="A40" t="inlineStr">
        <is>
          <t>Schreibmeister</t>
        </is>
      </c>
      <c r="B40" t="b">
        <v>1</v>
      </c>
      <c r="C40" t="inlineStr"/>
      <c r="D40" t="inlineStr"/>
      <c r="E40" t="n">
        <v>33</v>
      </c>
      <c r="F40">
        <f>HYPERLINK("https://portal.dnb.de/opac.htm?method=simpleSearch&amp;cqlMode=true&amp;query=idn%3D997141360", "Portal")</f>
        <v/>
      </c>
      <c r="G40" t="inlineStr">
        <is>
          <t>Afl</t>
        </is>
      </c>
      <c r="H40">
        <f>HYPERLINK("https://portal.dnb.de/opac.htm?method=simpleSearch&amp;cqlMode=true&amp;query=idn%3D997141360", "Portal")</f>
        <v/>
      </c>
      <c r="I40" t="inlineStr">
        <is>
          <t>L-1799-163423520</t>
        </is>
      </c>
      <c r="J40" t="inlineStr">
        <is>
          <t>997141360</t>
        </is>
      </c>
      <c r="K40" t="inlineStr">
        <is>
          <t>Bö B I 368/4°</t>
        </is>
      </c>
      <c r="L40" t="inlineStr">
        <is>
          <t>Bö B I 368/4°</t>
        </is>
      </c>
      <c r="M40" t="inlineStr">
        <is>
          <t>Bö B I 368/4°</t>
        </is>
      </c>
      <c r="N40" t="inlineStr">
        <is>
          <t>Anleitung zur Schönschreibkunst vom Schreibmeister Joseph Anton Heß, Würzburg</t>
        </is>
      </c>
      <c r="O40" t="inlineStr">
        <is>
          <t xml:space="preserve">H. 5 : </t>
        </is>
      </c>
      <c r="P40" t="inlineStr">
        <is>
          <t>Bö B I 368/4°</t>
        </is>
      </c>
      <c r="Q40" t="inlineStr"/>
      <c r="R40" t="inlineStr"/>
      <c r="S40" t="inlineStr">
        <is>
          <t>Anleitung zur Schönschreibkunst vom Schreibmeister Joseph Anton Heß, Würzburg</t>
        </is>
      </c>
      <c r="T40" t="inlineStr">
        <is>
          <t xml:space="preserve">H. 5 : </t>
        </is>
      </c>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BR40" t="inlineStr"/>
      <c r="BS40" t="n">
        <v>0</v>
      </c>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c r="DH40" t="inlineStr"/>
      <c r="DI40" t="inlineStr"/>
      <c r="DJ40" t="inlineStr"/>
      <c r="DK40" t="inlineStr"/>
      <c r="DL40" t="inlineStr"/>
    </row>
    <row r="41">
      <c r="A41" t="inlineStr">
        <is>
          <t>Schreibmeister</t>
        </is>
      </c>
      <c r="B41" t="b">
        <v>1</v>
      </c>
      <c r="C41" t="inlineStr"/>
      <c r="D41" t="inlineStr"/>
      <c r="E41" t="n">
        <v>34</v>
      </c>
      <c r="F41">
        <f>HYPERLINK("https://portal.dnb.de/opac.htm?method=simpleSearch&amp;cqlMode=true&amp;query=idn%3D997141425", "Portal")</f>
        <v/>
      </c>
      <c r="G41" t="inlineStr">
        <is>
          <t>Afl</t>
        </is>
      </c>
      <c r="H41">
        <f>HYPERLINK("https://portal.dnb.de/opac.htm?method=simpleSearch&amp;cqlMode=true&amp;query=idn%3D997141425", "Portal")</f>
        <v/>
      </c>
      <c r="I41" t="inlineStr">
        <is>
          <t>L-1799-163423601</t>
        </is>
      </c>
      <c r="J41" t="inlineStr">
        <is>
          <t>997141425</t>
        </is>
      </c>
      <c r="K41" t="inlineStr">
        <is>
          <t>Bö B I 368/4°</t>
        </is>
      </c>
      <c r="L41" t="inlineStr">
        <is>
          <t>Bö B I 368/4°</t>
        </is>
      </c>
      <c r="M41" t="inlineStr">
        <is>
          <t>Bö B I 368/4°</t>
        </is>
      </c>
      <c r="N41" t="inlineStr">
        <is>
          <t>Anleitung zur Schönschreibkunst vom Schreibmeister Joseph Anton Heß, Würzburg</t>
        </is>
      </c>
      <c r="O41" t="inlineStr">
        <is>
          <t xml:space="preserve">H. 6. : </t>
        </is>
      </c>
      <c r="P41" t="inlineStr">
        <is>
          <t>Bö B I 368/4°</t>
        </is>
      </c>
      <c r="Q41" t="inlineStr"/>
      <c r="R41" t="inlineStr"/>
      <c r="S41" t="inlineStr">
        <is>
          <t>Anleitung zur Schönschreibkunst vom Schreibmeister Joseph Anton Heß, Würzburg</t>
        </is>
      </c>
      <c r="T41" t="inlineStr">
        <is>
          <t xml:space="preserve">H. 6. : </t>
        </is>
      </c>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BR41" t="inlineStr"/>
      <c r="BS41" t="n">
        <v>0</v>
      </c>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c r="DH41" t="inlineStr"/>
      <c r="DI41" t="inlineStr"/>
      <c r="DJ41" t="inlineStr"/>
      <c r="DK41" t="inlineStr"/>
      <c r="DL41" t="inlineStr"/>
    </row>
    <row r="42">
      <c r="A42" t="inlineStr">
        <is>
          <t>Schreibmeister</t>
        </is>
      </c>
      <c r="B42" t="b">
        <v>1</v>
      </c>
      <c r="C42" t="inlineStr"/>
      <c r="D42" t="inlineStr"/>
      <c r="E42" t="n">
        <v>35</v>
      </c>
      <c r="F42">
        <f>HYPERLINK("https://portal.dnb.de/opac.htm?method=simpleSearch&amp;cqlMode=true&amp;query=idn%3D997241047", "Portal")</f>
        <v/>
      </c>
      <c r="G42" t="inlineStr">
        <is>
          <t>Aal</t>
        </is>
      </c>
      <c r="H42">
        <f>HYPERLINK("https://portal.dnb.de/opac.htm?method=simpleSearch&amp;cqlMode=true&amp;query=idn%3D997241047", "Portal")</f>
        <v/>
      </c>
      <c r="I42" t="inlineStr">
        <is>
          <t>L-1820-163537127</t>
        </is>
      </c>
      <c r="J42" t="inlineStr">
        <is>
          <t>997241047</t>
        </is>
      </c>
      <c r="K42" t="inlineStr">
        <is>
          <t>Bö B I 371</t>
        </is>
      </c>
      <c r="L42" t="inlineStr">
        <is>
          <t>Bö B I 371</t>
        </is>
      </c>
      <c r="M42" t="inlineStr">
        <is>
          <t>Bö B I 371</t>
        </is>
      </c>
      <c r="N42" t="inlineStr">
        <is>
          <t xml:space="preserve">An @Introduction to writing and grammar : </t>
        </is>
      </c>
      <c r="O42" t="inlineStr">
        <is>
          <t xml:space="preserve"> : </t>
        </is>
      </c>
      <c r="P42" t="inlineStr">
        <is>
          <t>Bö B I 371</t>
        </is>
      </c>
      <c r="Q42" t="inlineStr"/>
      <c r="R42" t="inlineStr"/>
      <c r="S42" t="inlineStr">
        <is>
          <t xml:space="preserve">An @Introduction to writing and grammar : </t>
        </is>
      </c>
      <c r="T42" t="inlineStr">
        <is>
          <t xml:space="preserve"> : </t>
        </is>
      </c>
      <c r="U42" t="inlineStr">
        <is>
          <t>X</t>
        </is>
      </c>
      <c r="V42" t="inlineStr"/>
      <c r="W42" t="inlineStr">
        <is>
          <t>Papier- oder Pappeinband</t>
        </is>
      </c>
      <c r="X42" t="inlineStr">
        <is>
          <t>bis 25 cm</t>
        </is>
      </c>
      <c r="Y42" t="inlineStr">
        <is>
          <t>180°</t>
        </is>
      </c>
      <c r="Z42" t="inlineStr"/>
      <c r="AA42" t="inlineStr"/>
      <c r="AB42" t="inlineStr">
        <is>
          <t>Archivkarton</t>
        </is>
      </c>
      <c r="AC42" t="inlineStr">
        <is>
          <t>Nein</t>
        </is>
      </c>
      <c r="AD42" t="n">
        <v>2</v>
      </c>
      <c r="AE42" t="inlineStr"/>
      <c r="AF42" t="inlineStr"/>
      <c r="AG42" t="inlineStr"/>
      <c r="AH42" t="inlineStr"/>
      <c r="AI42" t="inlineStr"/>
      <c r="AJ42" t="inlineStr"/>
      <c r="AK42" t="inlineStr">
        <is>
          <t>QF (26x14)</t>
        </is>
      </c>
      <c r="AL42" t="inlineStr"/>
      <c r="AM42" t="inlineStr"/>
      <c r="AN42" t="inlineStr">
        <is>
          <t>Pa</t>
        </is>
      </c>
      <c r="AO42" t="inlineStr"/>
      <c r="AP42" t="inlineStr"/>
      <c r="AQ42" t="inlineStr"/>
      <c r="AR42" t="inlineStr">
        <is>
          <t>h/E</t>
        </is>
      </c>
      <c r="AS42" t="inlineStr"/>
      <c r="AT42" t="inlineStr"/>
      <c r="AU42" t="inlineStr"/>
      <c r="AV42" t="inlineStr"/>
      <c r="AW42" t="inlineStr"/>
      <c r="AX42" t="inlineStr">
        <is>
          <t>Pa</t>
        </is>
      </c>
      <c r="AY42" t="inlineStr"/>
      <c r="AZ42" t="inlineStr"/>
      <c r="BA42" t="inlineStr"/>
      <c r="BB42" t="inlineStr"/>
      <c r="BC42" t="inlineStr"/>
      <c r="BD42" t="inlineStr"/>
      <c r="BE42" t="inlineStr"/>
      <c r="BF42" t="inlineStr"/>
      <c r="BG42" t="inlineStr">
        <is>
          <t>x</t>
        </is>
      </c>
      <c r="BH42" t="inlineStr"/>
      <c r="BI42" t="inlineStr">
        <is>
          <t>x</t>
        </is>
      </c>
      <c r="BJ42" t="inlineStr"/>
      <c r="BK42" t="inlineStr"/>
      <c r="BL42" t="inlineStr">
        <is>
          <t>nur 110</t>
        </is>
      </c>
      <c r="BM42" t="inlineStr"/>
      <c r="BN42" t="inlineStr"/>
      <c r="BO42" t="inlineStr"/>
      <c r="BP42" t="inlineStr"/>
      <c r="BQ42" t="inlineStr"/>
      <c r="BR42" t="inlineStr">
        <is>
          <t>n</t>
        </is>
      </c>
      <c r="BS42" t="n">
        <v>0</v>
      </c>
      <c r="BT42" t="inlineStr"/>
      <c r="BU42" t="inlineStr">
        <is>
          <t>Wellpappe</t>
        </is>
      </c>
      <c r="BV42" t="inlineStr"/>
      <c r="BW42" t="inlineStr"/>
      <c r="BX42" t="inlineStr"/>
      <c r="BY42" t="inlineStr"/>
      <c r="BZ42" t="inlineStr"/>
      <c r="CA42" t="inlineStr">
        <is>
          <t>Einband und Vorsatz lose beiliegend</t>
        </is>
      </c>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c r="DH42" t="inlineStr"/>
      <c r="DI42" t="inlineStr"/>
      <c r="DJ42" t="inlineStr"/>
      <c r="DK42" t="inlineStr"/>
      <c r="DL42" t="inlineStr"/>
    </row>
    <row r="43">
      <c r="A43" t="inlineStr">
        <is>
          <t>Schreibmeister</t>
        </is>
      </c>
      <c r="B43" t="b">
        <v>1</v>
      </c>
      <c r="C43" t="inlineStr"/>
      <c r="D43" t="inlineStr"/>
      <c r="E43" t="n">
        <v>36</v>
      </c>
      <c r="F43">
        <f>HYPERLINK("https://portal.dnb.de/opac.htm?method=simpleSearch&amp;cqlMode=true&amp;query=idn%3D998631450", "Portal")</f>
        <v/>
      </c>
      <c r="G43" t="inlineStr">
        <is>
          <t>Aal</t>
        </is>
      </c>
      <c r="H43">
        <f>HYPERLINK("https://portal.dnb.de/opac.htm?method=simpleSearch&amp;cqlMode=true&amp;query=idn%3D998631450", "Portal")</f>
        <v/>
      </c>
      <c r="I43" t="inlineStr">
        <is>
          <t>L-1830-166610070</t>
        </is>
      </c>
      <c r="J43" t="inlineStr">
        <is>
          <t>998631450</t>
        </is>
      </c>
      <c r="K43" t="inlineStr">
        <is>
          <t>Bö B I 388</t>
        </is>
      </c>
      <c r="L43" t="inlineStr">
        <is>
          <t>Bö B I 388</t>
        </is>
      </c>
      <c r="M43" t="inlineStr">
        <is>
          <t>Bö B I 388</t>
        </is>
      </c>
      <c r="N43" t="inlineStr">
        <is>
          <t xml:space="preserve">Cinquanta tavole alfabetiche che formano un curso di calligrafia interessante a qualunque classe di persone : </t>
        </is>
      </c>
      <c r="O43" t="inlineStr">
        <is>
          <t xml:space="preserve"> : </t>
        </is>
      </c>
      <c r="P43" t="inlineStr">
        <is>
          <t>Bö B I 388</t>
        </is>
      </c>
      <c r="Q43" t="inlineStr">
        <is>
          <t>2200,00 EUR</t>
        </is>
      </c>
      <c r="R43" t="inlineStr"/>
      <c r="S43" t="inlineStr">
        <is>
          <t xml:space="preserve">Cinquanta tavole alfabetiche che formano un curso di calligrafia interessante a qualunque classe di persone : </t>
        </is>
      </c>
      <c r="T43" t="inlineStr">
        <is>
          <t xml:space="preserve"> : </t>
        </is>
      </c>
      <c r="U43" t="inlineStr">
        <is>
          <t>X</t>
        </is>
      </c>
      <c r="V43" t="inlineStr">
        <is>
          <t>2200,00 EUR</t>
        </is>
      </c>
      <c r="W43" t="inlineStr">
        <is>
          <t>Halbledereinband</t>
        </is>
      </c>
      <c r="X43" t="inlineStr">
        <is>
          <t>bis 25 cm</t>
        </is>
      </c>
      <c r="Y43" t="inlineStr">
        <is>
          <t>80° bis 110°, einseitig digitalisierbar?</t>
        </is>
      </c>
      <c r="Z43" t="inlineStr">
        <is>
          <t>hohler Rücken, stark brüchiges Einbandmaterial</t>
        </is>
      </c>
      <c r="AA43" t="inlineStr"/>
      <c r="AB43" t="inlineStr"/>
      <c r="AC43" t="inlineStr"/>
      <c r="AD43" t="n">
        <v>1</v>
      </c>
      <c r="AE43" t="inlineStr"/>
      <c r="AF43" t="inlineStr"/>
      <c r="AG43" t="inlineStr"/>
      <c r="AH43" t="inlineStr"/>
      <c r="AI43" t="inlineStr"/>
      <c r="AJ43" t="inlineStr"/>
      <c r="AK43" t="inlineStr">
        <is>
          <t>QF (44x16)</t>
        </is>
      </c>
      <c r="AL43" t="inlineStr"/>
      <c r="AM43" t="inlineStr"/>
      <c r="AN43" t="inlineStr">
        <is>
          <t>HL</t>
        </is>
      </c>
      <c r="AO43" t="inlineStr"/>
      <c r="AP43" t="inlineStr"/>
      <c r="AQ43" t="inlineStr"/>
      <c r="AR43" t="inlineStr">
        <is>
          <t>h/E</t>
        </is>
      </c>
      <c r="AS43" t="inlineStr"/>
      <c r="AT43" t="inlineStr"/>
      <c r="AU43" t="inlineStr"/>
      <c r="AV43" t="inlineStr"/>
      <c r="AW43" t="inlineStr"/>
      <c r="AX43" t="inlineStr">
        <is>
          <t>Pa</t>
        </is>
      </c>
      <c r="AY43" t="inlineStr"/>
      <c r="AZ43" t="inlineStr"/>
      <c r="BA43" t="inlineStr"/>
      <c r="BB43" t="inlineStr"/>
      <c r="BC43" t="inlineStr"/>
      <c r="BD43" t="inlineStr"/>
      <c r="BE43" t="inlineStr"/>
      <c r="BF43" t="inlineStr"/>
      <c r="BG43" t="inlineStr">
        <is>
          <t>x</t>
        </is>
      </c>
      <c r="BH43" t="inlineStr"/>
      <c r="BI43" t="inlineStr"/>
      <c r="BJ43" t="inlineStr"/>
      <c r="BK43" t="inlineStr"/>
      <c r="BL43" t="n">
        <v>110</v>
      </c>
      <c r="BM43" t="inlineStr"/>
      <c r="BN43" t="inlineStr"/>
      <c r="BO43" t="inlineStr"/>
      <c r="BP43" t="inlineStr"/>
      <c r="BQ43" t="inlineStr"/>
      <c r="BR43" t="inlineStr">
        <is>
          <t>n</t>
        </is>
      </c>
      <c r="BS43" t="n">
        <v>0</v>
      </c>
      <c r="BT43" t="inlineStr"/>
      <c r="BU43" t="inlineStr"/>
      <c r="BV43" t="inlineStr"/>
      <c r="BW43" t="inlineStr"/>
      <c r="BX43" t="inlineStr"/>
      <c r="BY43" t="inlineStr"/>
      <c r="BZ43" t="inlineStr"/>
      <c r="CA43" t="inlineStr">
        <is>
          <t>sehr außergewöhnliches Buchformat (QF)</t>
        </is>
      </c>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c r="DH43" t="inlineStr"/>
      <c r="DI43" t="inlineStr"/>
      <c r="DJ43" t="inlineStr"/>
      <c r="DK43" t="inlineStr"/>
      <c r="DL43" t="inlineStr"/>
    </row>
    <row r="44">
      <c r="A44" t="inlineStr">
        <is>
          <t>Schreibmeister</t>
        </is>
      </c>
      <c r="B44" t="b">
        <v>0</v>
      </c>
      <c r="C44" t="inlineStr"/>
      <c r="D44" t="inlineStr"/>
      <c r="E44" t="n">
        <v>38</v>
      </c>
      <c r="F44">
        <f>HYPERLINK("https://portal.dnb.de/opac.htm?method=simpleSearch&amp;cqlMode=true&amp;query=idn%3D998553425", "Portal")</f>
        <v/>
      </c>
      <c r="G44" t="inlineStr">
        <is>
          <t>Aal</t>
        </is>
      </c>
      <c r="H44">
        <f>HYPERLINK("https://portal.dnb.de/opac.htm?method=simpleSearch&amp;cqlMode=true&amp;query=idn%3D998553425", "Portal")</f>
        <v/>
      </c>
      <c r="I44" t="inlineStr">
        <is>
          <t>L-1752-166480266</t>
        </is>
      </c>
      <c r="J44" t="inlineStr">
        <is>
          <t>998553425</t>
        </is>
      </c>
      <c r="K44" t="inlineStr"/>
      <c r="L44" t="inlineStr">
        <is>
          <t>Bö B I 390</t>
        </is>
      </c>
      <c r="M44" t="inlineStr"/>
      <c r="N44" t="inlineStr"/>
      <c r="O44" t="inlineStr"/>
      <c r="P44" t="inlineStr">
        <is>
          <t>Bö B I 390</t>
        </is>
      </c>
      <c r="Q44" t="inlineStr"/>
      <c r="R44" t="inlineStr"/>
      <c r="S44" t="inlineStr"/>
      <c r="T44" t="inlineStr"/>
      <c r="U44" t="inlineStr"/>
      <c r="V44" t="inlineStr"/>
      <c r="W44" t="inlineStr"/>
      <c r="X44" t="inlineStr">
        <is>
          <t>bis 25 cm</t>
        </is>
      </c>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is>
          <t>L</t>
        </is>
      </c>
      <c r="AO44" t="inlineStr"/>
      <c r="AP44" t="inlineStr"/>
      <c r="AQ44" t="inlineStr">
        <is>
          <t>x</t>
        </is>
      </c>
      <c r="AR44" t="inlineStr">
        <is>
          <t>f/V</t>
        </is>
      </c>
      <c r="AS44" t="inlineStr"/>
      <c r="AT44" t="inlineStr"/>
      <c r="AU44" t="inlineStr"/>
      <c r="AV44" t="inlineStr"/>
      <c r="AW44" t="inlineStr"/>
      <c r="AX44" t="inlineStr">
        <is>
          <t>Pa</t>
        </is>
      </c>
      <c r="AY44" t="inlineStr"/>
      <c r="AZ44" t="inlineStr"/>
      <c r="BA44" t="inlineStr"/>
      <c r="BB44" t="inlineStr"/>
      <c r="BC44" t="inlineStr"/>
      <c r="BD44" t="inlineStr"/>
      <c r="BE44" t="inlineStr"/>
      <c r="BF44" t="inlineStr"/>
      <c r="BG44" t="inlineStr">
        <is>
          <t>x</t>
        </is>
      </c>
      <c r="BH44" t="inlineStr"/>
      <c r="BI44" t="inlineStr">
        <is>
          <t>x</t>
        </is>
      </c>
      <c r="BJ44" t="inlineStr"/>
      <c r="BK44" t="inlineStr"/>
      <c r="BL44" t="n">
        <v>45</v>
      </c>
      <c r="BM44" t="inlineStr"/>
      <c r="BN44" t="inlineStr"/>
      <c r="BO44" t="inlineStr"/>
      <c r="BP44" t="inlineStr"/>
      <c r="BQ44" t="inlineStr"/>
      <c r="BR44" t="inlineStr">
        <is>
          <t>n</t>
        </is>
      </c>
      <c r="BS44" t="n">
        <v>0</v>
      </c>
      <c r="BT44" t="inlineStr"/>
      <c r="BU44" t="inlineStr">
        <is>
          <t>Wellpappe</t>
        </is>
      </c>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c r="DH44" t="inlineStr"/>
      <c r="DI44" t="inlineStr"/>
      <c r="DJ44" t="inlineStr"/>
      <c r="DK44" t="inlineStr"/>
      <c r="DL44" t="inlineStr"/>
    </row>
    <row r="45">
      <c r="A45" t="inlineStr">
        <is>
          <t>Schreibmeister</t>
        </is>
      </c>
      <c r="B45" t="b">
        <v>0</v>
      </c>
      <c r="C45" t="inlineStr">
        <is>
          <t>x</t>
        </is>
      </c>
      <c r="D45" t="inlineStr"/>
      <c r="E45" t="n">
        <v>40</v>
      </c>
      <c r="F45">
        <f>HYPERLINK("https://portal.dnb.de/opac.htm?method=simpleSearch&amp;cqlMode=true&amp;query=idn%3D999198246", "Portal")</f>
        <v/>
      </c>
      <c r="G45" t="inlineStr">
        <is>
          <t>Aal</t>
        </is>
      </c>
      <c r="H45">
        <f>HYPERLINK("https://portal.dnb.de/opac.htm?method=simpleSearch&amp;cqlMode=true&amp;query=idn%3D999198246", "Portal")</f>
        <v/>
      </c>
      <c r="I45" t="inlineStr">
        <is>
          <t>L-1775-16770382X</t>
        </is>
      </c>
      <c r="J45" t="inlineStr">
        <is>
          <t>999198246</t>
        </is>
      </c>
      <c r="K45" t="inlineStr"/>
      <c r="L45" t="inlineStr">
        <is>
          <t>Bö B I 397 (Angebundenes Werk)</t>
        </is>
      </c>
      <c r="M45" t="inlineStr"/>
      <c r="N45" t="inlineStr"/>
      <c r="O45" t="inlineStr"/>
      <c r="P45" t="inlineStr">
        <is>
          <t>Bö B I 397</t>
        </is>
      </c>
      <c r="Q45" t="inlineStr"/>
      <c r="R45" t="inlineStr"/>
      <c r="S45" t="inlineStr"/>
      <c r="T45" t="inlineStr"/>
      <c r="U45" t="inlineStr">
        <is>
          <t>X</t>
        </is>
      </c>
      <c r="V45" t="inlineStr"/>
      <c r="W45" t="inlineStr">
        <is>
          <t>Papier- oder Pappeinband</t>
        </is>
      </c>
      <c r="X45" t="inlineStr">
        <is>
          <t>bis 25 cm</t>
        </is>
      </c>
      <c r="Y45" t="inlineStr">
        <is>
          <t>180°</t>
        </is>
      </c>
      <c r="Z45" t="inlineStr">
        <is>
          <t>hohler Rücken</t>
        </is>
      </c>
      <c r="AA45" t="inlineStr"/>
      <c r="AB45" t="inlineStr">
        <is>
          <t>Archivkarton</t>
        </is>
      </c>
      <c r="AC45" t="inlineStr">
        <is>
          <t>Nein</t>
        </is>
      </c>
      <c r="AD45" t="n">
        <v>0</v>
      </c>
      <c r="AE45" t="inlineStr"/>
      <c r="AF45" t="inlineStr">
        <is>
          <t>Papierumschlag muss erneuert werden</t>
        </is>
      </c>
      <c r="AG45" t="inlineStr"/>
      <c r="AH45" t="inlineStr"/>
      <c r="AI45" t="inlineStr"/>
      <c r="AJ45" t="inlineStr"/>
      <c r="AK45" t="inlineStr">
        <is>
          <t>QF (30x18)</t>
        </is>
      </c>
      <c r="AL45" t="inlineStr"/>
      <c r="AM45" t="inlineStr"/>
      <c r="AN45" t="inlineStr">
        <is>
          <t>Pa</t>
        </is>
      </c>
      <c r="AO45" t="inlineStr"/>
      <c r="AP45" t="inlineStr"/>
      <c r="AQ45" t="inlineStr"/>
      <c r="AR45" t="inlineStr">
        <is>
          <t>h/E</t>
        </is>
      </c>
      <c r="AS45" t="inlineStr"/>
      <c r="AT45" t="inlineStr"/>
      <c r="AU45" t="inlineStr"/>
      <c r="AV45" t="inlineStr"/>
      <c r="AW45" t="inlineStr"/>
      <c r="AX45" t="inlineStr">
        <is>
          <t>Pa</t>
        </is>
      </c>
      <c r="AY45" t="inlineStr"/>
      <c r="AZ45" t="inlineStr"/>
      <c r="BA45" t="inlineStr"/>
      <c r="BB45" t="inlineStr"/>
      <c r="BC45" t="inlineStr"/>
      <c r="BD45" t="inlineStr"/>
      <c r="BE45" t="inlineStr"/>
      <c r="BF45" t="inlineStr"/>
      <c r="BG45" t="inlineStr"/>
      <c r="BH45" t="inlineStr"/>
      <c r="BI45" t="inlineStr">
        <is>
          <t>x</t>
        </is>
      </c>
      <c r="BJ45" t="inlineStr"/>
      <c r="BK45" t="inlineStr"/>
      <c r="BL45" t="inlineStr">
        <is>
          <t>nur 110</t>
        </is>
      </c>
      <c r="BM45" t="inlineStr"/>
      <c r="BN45" t="inlineStr"/>
      <c r="BO45" t="inlineStr"/>
      <c r="BP45" t="inlineStr"/>
      <c r="BQ45" t="inlineStr">
        <is>
          <t>x</t>
        </is>
      </c>
      <c r="BR45" t="inlineStr">
        <is>
          <t>ja vor</t>
        </is>
      </c>
      <c r="BS45" t="n">
        <v>7</v>
      </c>
      <c r="BT45" t="inlineStr"/>
      <c r="BU45" t="inlineStr">
        <is>
          <t>Wellpappe</t>
        </is>
      </c>
      <c r="BV45" t="inlineStr"/>
      <c r="BW45" t="inlineStr"/>
      <c r="BX45" t="inlineStr"/>
      <c r="BY45" t="inlineStr">
        <is>
          <t>x sauer</t>
        </is>
      </c>
      <c r="BZ45" t="inlineStr">
        <is>
          <t>x</t>
        </is>
      </c>
      <c r="CA45" t="inlineStr"/>
      <c r="CB45" t="inlineStr"/>
      <c r="CC45" t="inlineStr"/>
      <c r="CD45" t="inlineStr"/>
      <c r="CE45" t="inlineStr">
        <is>
          <t>x</t>
        </is>
      </c>
      <c r="CF45" t="inlineStr"/>
      <c r="CG45" t="inlineStr">
        <is>
          <t>x</t>
        </is>
      </c>
      <c r="CH45" t="inlineStr"/>
      <c r="CI45" t="inlineStr"/>
      <c r="CJ45" t="inlineStr"/>
      <c r="CK45" t="inlineStr"/>
      <c r="CL45" t="inlineStr"/>
      <c r="CM45" t="inlineStr"/>
      <c r="CN45" t="inlineStr">
        <is>
          <t>x</t>
        </is>
      </c>
      <c r="CO45" t="inlineStr"/>
      <c r="CP45" t="inlineStr"/>
      <c r="CQ45" t="inlineStr"/>
      <c r="CR45" t="n">
        <v>2</v>
      </c>
      <c r="CS45" t="inlineStr">
        <is>
          <t>nur das Notwendigste, Rücken nicht ergänzen (ist stabil und hat Box)</t>
        </is>
      </c>
      <c r="CT45" t="inlineStr">
        <is>
          <t>x</t>
        </is>
      </c>
      <c r="CU45" t="inlineStr"/>
      <c r="CV45" t="inlineStr"/>
      <c r="CW45" t="inlineStr"/>
      <c r="CX45" t="inlineStr"/>
      <c r="CY45" t="inlineStr">
        <is>
          <t>x</t>
        </is>
      </c>
      <c r="CZ45" t="inlineStr"/>
      <c r="DA45" t="inlineStr"/>
      <c r="DB45" t="inlineStr"/>
      <c r="DC45" t="inlineStr">
        <is>
          <t>x</t>
        </is>
      </c>
      <c r="DD45" t="inlineStr"/>
      <c r="DE45" t="inlineStr"/>
      <c r="DF45" t="inlineStr">
        <is>
          <t>x</t>
        </is>
      </c>
      <c r="DG45" t="inlineStr"/>
      <c r="DH45" t="inlineStr"/>
      <c r="DI45" t="inlineStr"/>
      <c r="DJ45" t="inlineStr"/>
      <c r="DK45" t="n">
        <v>5</v>
      </c>
      <c r="DL45" t="inlineStr">
        <is>
          <t>nur das Nötigste, trocken reinigen, alles in sito bearbeiten, "Bruch" ca. mittig im BB belassen (ist stabil), beigelegtes Einzelblatt glätten</t>
        </is>
      </c>
    </row>
    <row r="46">
      <c r="A46" t="inlineStr">
        <is>
          <t>Schreibmeister</t>
        </is>
      </c>
      <c r="B46" t="b">
        <v>1</v>
      </c>
      <c r="C46" t="inlineStr"/>
      <c r="D46" t="inlineStr"/>
      <c r="E46" t="n">
        <v>41</v>
      </c>
      <c r="F46">
        <f>HYPERLINK("https://portal.dnb.de/opac.htm?method=simpleSearch&amp;cqlMode=true&amp;query=idn%3D999398075", "Portal")</f>
        <v/>
      </c>
      <c r="G46" t="inlineStr">
        <is>
          <t>Aal</t>
        </is>
      </c>
      <c r="H46">
        <f>HYPERLINK("https://portal.dnb.de/opac.htm?method=simpleSearch&amp;cqlMode=true&amp;query=idn%3D999398075", "Portal")</f>
        <v/>
      </c>
      <c r="I46" t="inlineStr">
        <is>
          <t>L-1800-168292319</t>
        </is>
      </c>
      <c r="J46" t="inlineStr">
        <is>
          <t>999398075</t>
        </is>
      </c>
      <c r="K46" t="inlineStr">
        <is>
          <t>Bö B I 405/2°</t>
        </is>
      </c>
      <c r="L46" t="inlineStr">
        <is>
          <t>(Großformate)</t>
        </is>
      </c>
      <c r="M46" t="inlineStr">
        <is>
          <t>Bö B I 405/2°</t>
        </is>
      </c>
      <c r="N46" t="inlineStr">
        <is>
          <t xml:space="preserve">Principes de lʹ Écriture : </t>
        </is>
      </c>
      <c r="O46" t="inlineStr">
        <is>
          <t xml:space="preserve"> : </t>
        </is>
      </c>
      <c r="P46" t="inlineStr">
        <is>
          <t>Bö B I 405/2°</t>
        </is>
      </c>
      <c r="Q46" t="inlineStr"/>
      <c r="R46" t="inlineStr"/>
      <c r="S46" t="inlineStr">
        <is>
          <t xml:space="preserve">Principes de lʹ Écriture : </t>
        </is>
      </c>
      <c r="T46" t="inlineStr">
        <is>
          <t xml:space="preserve"> : </t>
        </is>
      </c>
      <c r="U46" t="inlineStr">
        <is>
          <t>X</t>
        </is>
      </c>
      <c r="V46" t="inlineStr"/>
      <c r="W46" t="inlineStr">
        <is>
          <t>Halbledereinband</t>
        </is>
      </c>
      <c r="X46" t="inlineStr">
        <is>
          <t>bis 42 cm</t>
        </is>
      </c>
      <c r="Y46" t="inlineStr">
        <is>
          <t>80° bis 110°, einseitig digitalisierbar?</t>
        </is>
      </c>
      <c r="Z46" t="inlineStr"/>
      <c r="AA46" t="inlineStr"/>
      <c r="AB46" t="inlineStr"/>
      <c r="AC46" t="inlineStr"/>
      <c r="AD46" t="n">
        <v>1</v>
      </c>
      <c r="AE46" t="inlineStr"/>
      <c r="AF46" t="inlineStr"/>
      <c r="AG46" t="inlineStr"/>
      <c r="AH46" t="inlineStr"/>
      <c r="AI46" t="inlineStr"/>
      <c r="AJ46" t="inlineStr"/>
      <c r="AK46" t="inlineStr"/>
      <c r="AL46" t="inlineStr"/>
      <c r="AM46" t="inlineStr"/>
      <c r="AN46" t="inlineStr">
        <is>
          <t>HPg</t>
        </is>
      </c>
      <c r="AO46" t="inlineStr"/>
      <c r="AP46" t="inlineStr"/>
      <c r="AQ46" t="inlineStr"/>
      <c r="AR46" t="inlineStr">
        <is>
          <t>h</t>
        </is>
      </c>
      <c r="AS46" t="inlineStr"/>
      <c r="AT46" t="inlineStr"/>
      <c r="AU46" t="inlineStr"/>
      <c r="AV46" t="inlineStr"/>
      <c r="AW46" t="inlineStr"/>
      <c r="AX46" t="inlineStr">
        <is>
          <t>Pa</t>
        </is>
      </c>
      <c r="AY46" t="inlineStr"/>
      <c r="AZ46" t="inlineStr"/>
      <c r="BA46" t="inlineStr"/>
      <c r="BB46" t="inlineStr"/>
      <c r="BC46" t="inlineStr"/>
      <c r="BD46" t="inlineStr"/>
      <c r="BE46" t="inlineStr"/>
      <c r="BF46" t="inlineStr"/>
      <c r="BG46" t="inlineStr">
        <is>
          <t>x</t>
        </is>
      </c>
      <c r="BH46" t="inlineStr"/>
      <c r="BI46" t="inlineStr"/>
      <c r="BJ46" t="inlineStr"/>
      <c r="BK46" t="inlineStr"/>
      <c r="BL46" t="n">
        <v>110</v>
      </c>
      <c r="BM46" t="inlineStr"/>
      <c r="BN46" t="inlineStr"/>
      <c r="BO46" t="inlineStr"/>
      <c r="BP46" t="inlineStr"/>
      <c r="BQ46" t="inlineStr"/>
      <c r="BR46" t="inlineStr">
        <is>
          <t>n</t>
        </is>
      </c>
      <c r="BS46" t="n">
        <v>0</v>
      </c>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c r="DH46" t="inlineStr"/>
      <c r="DI46" t="inlineStr"/>
      <c r="DJ46" t="inlineStr"/>
      <c r="DK46" t="inlineStr"/>
      <c r="DL46" t="inlineStr"/>
    </row>
    <row r="47">
      <c r="A47" t="inlineStr">
        <is>
          <t>Schreibmeister</t>
        </is>
      </c>
      <c r="B47" t="b">
        <v>0</v>
      </c>
      <c r="C47" t="inlineStr"/>
      <c r="D47" t="inlineStr"/>
      <c r="E47" t="inlineStr"/>
      <c r="F47">
        <f>HYPERLINK("https://portal.dnb.de/opac.htm?method=simpleSearch&amp;cqlMode=true&amp;query=idn%3D999590898", "Portal")</f>
        <v/>
      </c>
      <c r="G47" t="inlineStr">
        <is>
          <t>Afl</t>
        </is>
      </c>
      <c r="H47">
        <f>HYPERLINK("https://portal.dnb.de/opac.htm?method=simpleSearch&amp;cqlMode=true&amp;query=idn%3D999590898", "Portal")</f>
        <v/>
      </c>
      <c r="I47" t="inlineStr">
        <is>
          <t>L-1601-168582546</t>
        </is>
      </c>
      <c r="J47" t="inlineStr">
        <is>
          <t>999590898</t>
        </is>
      </c>
      <c r="K47" t="inlineStr"/>
      <c r="L47" t="inlineStr">
        <is>
          <t>Bö B I 408 (angebundenes Werk, Theil 1)</t>
        </is>
      </c>
      <c r="M47" t="inlineStr"/>
      <c r="N47" t="inlineStr"/>
      <c r="O47" t="inlineStr"/>
      <c r="P47" t="inlineStr">
        <is>
          <t>Bö B I 408</t>
        </is>
      </c>
      <c r="Q47" t="inlineStr"/>
      <c r="R47" t="inlineStr">
        <is>
          <t>ist das der 2. (andere) Teil, der angebunden ist?</t>
        </is>
      </c>
      <c r="S47" t="inlineStr"/>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BR47" t="inlineStr"/>
      <c r="BS47" t="n">
        <v>0</v>
      </c>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c r="DH47" t="inlineStr"/>
      <c r="DI47" t="inlineStr"/>
      <c r="DJ47" t="inlineStr"/>
      <c r="DK47" t="inlineStr"/>
      <c r="DL47" t="inlineStr"/>
    </row>
    <row r="48">
      <c r="A48" t="inlineStr">
        <is>
          <t>Schreibmeister</t>
        </is>
      </c>
      <c r="B48" t="b">
        <v>0</v>
      </c>
      <c r="C48" t="inlineStr"/>
      <c r="D48" t="inlineStr"/>
      <c r="E48" t="n">
        <v>42</v>
      </c>
      <c r="F48">
        <f>HYPERLINK("https://portal.dnb.de/opac.htm?method=simpleSearch&amp;cqlMode=true&amp;query=idn%3D999591398", "Portal")</f>
        <v/>
      </c>
      <c r="G48" t="inlineStr">
        <is>
          <t>Afl</t>
        </is>
      </c>
      <c r="H48">
        <f>HYPERLINK("https://portal.dnb.de/opac.htm?method=simpleSearch&amp;cqlMode=true&amp;query=idn%3D999591398", "Portal")</f>
        <v/>
      </c>
      <c r="I48" t="inlineStr">
        <is>
          <t>L-1601-168582988</t>
        </is>
      </c>
      <c r="J48" t="inlineStr">
        <is>
          <t>999591398</t>
        </is>
      </c>
      <c r="K48" t="inlineStr"/>
      <c r="L48" t="inlineStr">
        <is>
          <t>Bö B I 408 (Angebundenes Werk, Theil 2)</t>
        </is>
      </c>
      <c r="M48" t="inlineStr"/>
      <c r="N48" t="inlineStr"/>
      <c r="O48" t="inlineStr"/>
      <c r="P48" t="inlineStr">
        <is>
          <t>Bö B I 408</t>
        </is>
      </c>
      <c r="Q48" t="inlineStr"/>
      <c r="R48" t="inlineStr"/>
      <c r="S48" t="inlineStr"/>
      <c r="T48" t="inlineStr"/>
      <c r="U48" t="inlineStr">
        <is>
          <t>X</t>
        </is>
      </c>
      <c r="V48" t="inlineStr"/>
      <c r="W48" t="inlineStr">
        <is>
          <t>Ledereinband</t>
        </is>
      </c>
      <c r="X48" t="inlineStr">
        <is>
          <t>bis 25 cm</t>
        </is>
      </c>
      <c r="Y48" t="inlineStr">
        <is>
          <t>80° bis 110°, einseitig digitalisierbar?</t>
        </is>
      </c>
      <c r="Z48" t="inlineStr">
        <is>
          <t>gefaltete Blätter</t>
        </is>
      </c>
      <c r="AA48" t="inlineStr"/>
      <c r="AB48" t="inlineStr">
        <is>
          <t>Kassette</t>
        </is>
      </c>
      <c r="AC48" t="inlineStr">
        <is>
          <t>Nein</t>
        </is>
      </c>
      <c r="AD48" t="n">
        <v>0</v>
      </c>
      <c r="AE48" t="inlineStr"/>
      <c r="AF48" t="inlineStr"/>
      <c r="AG48" t="inlineStr"/>
      <c r="AH48" t="inlineStr"/>
      <c r="AI48" t="inlineStr"/>
      <c r="AJ48" t="inlineStr"/>
      <c r="AK48" t="inlineStr"/>
      <c r="AL48" t="inlineStr"/>
      <c r="AM48" t="inlineStr"/>
      <c r="AN48" t="inlineStr">
        <is>
          <t>L</t>
        </is>
      </c>
      <c r="AO48" t="inlineStr"/>
      <c r="AP48" t="inlineStr"/>
      <c r="AQ48" t="inlineStr">
        <is>
          <t>x</t>
        </is>
      </c>
      <c r="AR48" t="inlineStr">
        <is>
          <t>f</t>
        </is>
      </c>
      <c r="AS48" t="inlineStr"/>
      <c r="AT48" t="inlineStr"/>
      <c r="AU48" t="inlineStr"/>
      <c r="AV48" t="inlineStr"/>
      <c r="AW48" t="inlineStr"/>
      <c r="AX48" t="inlineStr">
        <is>
          <t>Pa</t>
        </is>
      </c>
      <c r="AY48" t="inlineStr"/>
      <c r="AZ48" t="inlineStr"/>
      <c r="BA48" t="inlineStr"/>
      <c r="BB48" t="inlineStr"/>
      <c r="BC48" t="inlineStr"/>
      <c r="BD48" t="inlineStr"/>
      <c r="BE48" t="inlineStr">
        <is>
          <t>x</t>
        </is>
      </c>
      <c r="BF48" t="inlineStr">
        <is>
          <t>B: 17x21
F: 25x36</t>
        </is>
      </c>
      <c r="BG48" t="inlineStr">
        <is>
          <t>x</t>
        </is>
      </c>
      <c r="BH48" t="inlineStr"/>
      <c r="BI48" t="inlineStr">
        <is>
          <t>x</t>
        </is>
      </c>
      <c r="BJ48" t="inlineStr"/>
      <c r="BK48" t="inlineStr"/>
      <c r="BL48" t="n">
        <v>110</v>
      </c>
      <c r="BM48" t="inlineStr"/>
      <c r="BN48" t="inlineStr"/>
      <c r="BO48" t="inlineStr"/>
      <c r="BP48" t="inlineStr"/>
      <c r="BQ48" t="inlineStr">
        <is>
          <t>x</t>
        </is>
      </c>
      <c r="BR48" t="inlineStr">
        <is>
          <t>n</t>
        </is>
      </c>
      <c r="BS48" t="n">
        <v>0</v>
      </c>
      <c r="BT48" t="inlineStr"/>
      <c r="BU48" t="inlineStr">
        <is>
          <t>Wellpappe</t>
        </is>
      </c>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c r="DH48" t="inlineStr"/>
      <c r="DI48" t="inlineStr"/>
      <c r="DJ48" t="inlineStr"/>
      <c r="DK48" t="inlineStr"/>
      <c r="DL48" t="inlineStr"/>
    </row>
    <row r="49">
      <c r="A49" t="inlineStr">
        <is>
          <t>Schreibmeister</t>
        </is>
      </c>
      <c r="B49" t="b">
        <v>1</v>
      </c>
      <c r="C49" t="inlineStr"/>
      <c r="D49" t="inlineStr"/>
      <c r="E49" t="n">
        <v>43</v>
      </c>
      <c r="F49">
        <f>HYPERLINK("https://portal.dnb.de/opac.htm?method=simpleSearch&amp;cqlMode=true&amp;query=idn%3D99974187X", "Portal")</f>
        <v/>
      </c>
      <c r="G49" t="inlineStr">
        <is>
          <t>Aal</t>
        </is>
      </c>
      <c r="H49">
        <f>HYPERLINK("https://portal.dnb.de/opac.htm?method=simpleSearch&amp;cqlMode=true&amp;query=idn%3D99974187X", "Portal")</f>
        <v/>
      </c>
      <c r="I49" t="inlineStr">
        <is>
          <t>L-1766-169081966</t>
        </is>
      </c>
      <c r="J49" t="inlineStr">
        <is>
          <t>99974187X</t>
        </is>
      </c>
      <c r="K49" t="inlineStr">
        <is>
          <t>Bö B I 411</t>
        </is>
      </c>
      <c r="L49" t="inlineStr">
        <is>
          <t>Bö B I 411</t>
        </is>
      </c>
      <c r="M49" t="inlineStr">
        <is>
          <t>Bö B I 411</t>
        </is>
      </c>
      <c r="N49" t="inlineStr">
        <is>
          <t>Tratado del origen, y arte de escribir bien: ilustrado con veinte y cinco laminas : Obra utilisima para que asi maestros, como discipulos, y quantos s</t>
        </is>
      </c>
      <c r="O49" t="inlineStr">
        <is>
          <t xml:space="preserve"> : </t>
        </is>
      </c>
      <c r="P49" t="inlineStr">
        <is>
          <t>Bö B I 411</t>
        </is>
      </c>
      <c r="Q49" t="inlineStr">
        <is>
          <t>1500,00 EUR</t>
        </is>
      </c>
      <c r="R49" t="inlineStr"/>
      <c r="S49" t="inlineStr">
        <is>
          <t>Tratado del origen, y arte de escribir bien: ilustrado con veinte y cinco laminas : Obra utilisima para que asi maestros, como discipulos, y quantos s</t>
        </is>
      </c>
      <c r="T49" t="inlineStr">
        <is>
          <t xml:space="preserve"> : </t>
        </is>
      </c>
      <c r="U49" t="inlineStr">
        <is>
          <t>X</t>
        </is>
      </c>
      <c r="V49" t="inlineStr">
        <is>
          <t>1500,00 EUR</t>
        </is>
      </c>
      <c r="W49" t="inlineStr">
        <is>
          <t>Ledereinband</t>
        </is>
      </c>
      <c r="X49" t="inlineStr">
        <is>
          <t>bis 35 cm</t>
        </is>
      </c>
      <c r="Y49" t="inlineStr">
        <is>
          <t>180°</t>
        </is>
      </c>
      <c r="Z49" t="inlineStr">
        <is>
          <t>hohler Rücken</t>
        </is>
      </c>
      <c r="AA49" t="inlineStr"/>
      <c r="AB49" t="inlineStr">
        <is>
          <t>Archivkarton</t>
        </is>
      </c>
      <c r="AC49" t="inlineStr">
        <is>
          <t>Nein</t>
        </is>
      </c>
      <c r="AD49" t="n">
        <v>0</v>
      </c>
      <c r="AE49" t="inlineStr"/>
      <c r="AF49" t="inlineStr"/>
      <c r="AG49" t="inlineStr"/>
      <c r="AH49" t="inlineStr"/>
      <c r="AI49" t="inlineStr"/>
      <c r="AJ49" t="inlineStr"/>
      <c r="AK49" t="inlineStr"/>
      <c r="AL49" t="inlineStr"/>
      <c r="AM49" t="inlineStr"/>
      <c r="AN49" t="inlineStr">
        <is>
          <t>Pg</t>
        </is>
      </c>
      <c r="AO49" t="inlineStr">
        <is>
          <t xml:space="preserve">
flexibler Pg</t>
        </is>
      </c>
      <c r="AP49" t="inlineStr"/>
      <c r="AQ49" t="inlineStr"/>
      <c r="AR49" t="inlineStr">
        <is>
          <t>h</t>
        </is>
      </c>
      <c r="AS49" t="inlineStr"/>
      <c r="AT49" t="inlineStr"/>
      <c r="AU49" t="inlineStr"/>
      <c r="AV49" t="inlineStr"/>
      <c r="AW49" t="inlineStr"/>
      <c r="AX49" t="inlineStr">
        <is>
          <t>Pa</t>
        </is>
      </c>
      <c r="AY49" t="inlineStr"/>
      <c r="AZ49" t="inlineStr"/>
      <c r="BA49" t="inlineStr"/>
      <c r="BB49" t="inlineStr"/>
      <c r="BC49" t="inlineStr"/>
      <c r="BD49" t="inlineStr"/>
      <c r="BE49" t="inlineStr"/>
      <c r="BF49" t="inlineStr"/>
      <c r="BG49" t="inlineStr"/>
      <c r="BH49" t="inlineStr"/>
      <c r="BI49" t="inlineStr"/>
      <c r="BJ49" t="inlineStr"/>
      <c r="BK49" t="inlineStr"/>
      <c r="BL49" t="inlineStr">
        <is>
          <t>nur 110</t>
        </is>
      </c>
      <c r="BM49" t="inlineStr"/>
      <c r="BN49" t="inlineStr"/>
      <c r="BO49" t="inlineStr"/>
      <c r="BP49" t="inlineStr"/>
      <c r="BQ49" t="inlineStr"/>
      <c r="BR49" t="inlineStr">
        <is>
          <t>n</t>
        </is>
      </c>
      <c r="BS49" t="n">
        <v>0</v>
      </c>
      <c r="BT49" t="inlineStr"/>
      <c r="BU49" t="inlineStr">
        <is>
          <t>Wellpappe</t>
        </is>
      </c>
      <c r="BV49" t="inlineStr"/>
      <c r="BW49" t="inlineStr"/>
      <c r="BX49" t="inlineStr"/>
      <c r="BY49" t="inlineStr"/>
      <c r="BZ49" t="inlineStr"/>
      <c r="CA49" t="inlineStr">
        <is>
          <t>Schaden stabil</t>
        </is>
      </c>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c r="DH49" t="inlineStr"/>
      <c r="DI49" t="inlineStr"/>
      <c r="DJ49" t="inlineStr"/>
      <c r="DK49" t="inlineStr"/>
      <c r="DL49" t="inlineStr"/>
    </row>
    <row r="50">
      <c r="A50" t="inlineStr">
        <is>
          <t>Schreibmeister</t>
        </is>
      </c>
      <c r="B50" t="b">
        <v>1</v>
      </c>
      <c r="C50" t="inlineStr"/>
      <c r="D50" t="inlineStr"/>
      <c r="E50" t="n">
        <v>44</v>
      </c>
      <c r="F50">
        <f>HYPERLINK("https://portal.dnb.de/opac.htm?method=simpleSearch&amp;cqlMode=true&amp;query=idn%3D999823469", "Portal")</f>
        <v/>
      </c>
      <c r="G50" t="inlineStr">
        <is>
          <t>Afl</t>
        </is>
      </c>
      <c r="H50">
        <f>HYPERLINK("https://portal.dnb.de/opac.htm?method=simpleSearch&amp;cqlMode=true&amp;query=idn%3D999823469", "Portal")</f>
        <v/>
      </c>
      <c r="I50" t="inlineStr">
        <is>
          <t>L-1765-169505510</t>
        </is>
      </c>
      <c r="J50" t="inlineStr">
        <is>
          <t>999823469</t>
        </is>
      </c>
      <c r="K50" t="inlineStr">
        <is>
          <t>Bö B I 413/2°</t>
        </is>
      </c>
      <c r="L50" t="inlineStr">
        <is>
          <t>Bö B I 413/2°</t>
        </is>
      </c>
      <c r="M50" t="inlineStr">
        <is>
          <t>Bö B I 413/2°</t>
        </is>
      </c>
      <c r="N50" t="inlineStr">
        <is>
          <t>Art dʹEcrire réduit à des démonstrations vraies et faciles</t>
        </is>
      </c>
      <c r="O50" t="inlineStr">
        <is>
          <t xml:space="preserve">T. 2 : </t>
        </is>
      </c>
      <c r="P50" t="inlineStr">
        <is>
          <t>Bö B I 413/2°</t>
        </is>
      </c>
      <c r="Q50" t="inlineStr"/>
      <c r="R50" t="inlineStr"/>
      <c r="S50" t="inlineStr">
        <is>
          <t>Art dʹEcrire réduit à des démonstrations vraies et faciles</t>
        </is>
      </c>
      <c r="T50" t="inlineStr">
        <is>
          <t xml:space="preserve">T. 2 : </t>
        </is>
      </c>
      <c r="U50" t="inlineStr">
        <is>
          <t>X</t>
        </is>
      </c>
      <c r="V50" t="inlineStr"/>
      <c r="W50" t="inlineStr">
        <is>
          <t>Halbgewebeband</t>
        </is>
      </c>
      <c r="X50" t="inlineStr">
        <is>
          <t>bis 42 cm</t>
        </is>
      </c>
      <c r="Y50" t="inlineStr">
        <is>
          <t>80° bis 110°, einseitig digitalisierbar?</t>
        </is>
      </c>
      <c r="Z50" t="inlineStr"/>
      <c r="AA50" t="inlineStr"/>
      <c r="AB50" t="inlineStr"/>
      <c r="AC50" t="inlineStr"/>
      <c r="AD50" t="n">
        <v>0</v>
      </c>
      <c r="AE50" t="inlineStr"/>
      <c r="AF50" t="inlineStr"/>
      <c r="AG50" t="inlineStr"/>
      <c r="AH50" t="inlineStr"/>
      <c r="AI50" t="inlineStr"/>
      <c r="AJ50" t="inlineStr"/>
      <c r="AK50" t="inlineStr"/>
      <c r="AL50" t="inlineStr"/>
      <c r="AM50" t="inlineStr"/>
      <c r="AN50" t="inlineStr">
        <is>
          <t>HPg</t>
        </is>
      </c>
      <c r="AO50" t="inlineStr"/>
      <c r="AP50" t="inlineStr"/>
      <c r="AQ50" t="inlineStr"/>
      <c r="AR50" t="inlineStr">
        <is>
          <t>h/E</t>
        </is>
      </c>
      <c r="AS50" t="inlineStr"/>
      <c r="AT50" t="inlineStr"/>
      <c r="AU50" t="inlineStr"/>
      <c r="AV50" t="inlineStr"/>
      <c r="AW50" t="inlineStr"/>
      <c r="AX50" t="inlineStr">
        <is>
          <t>Pa</t>
        </is>
      </c>
      <c r="AY50" t="inlineStr"/>
      <c r="AZ50" t="inlineStr"/>
      <c r="BA50" t="inlineStr"/>
      <c r="BB50" t="inlineStr"/>
      <c r="BC50" t="inlineStr"/>
      <c r="BD50" t="inlineStr"/>
      <c r="BE50" t="inlineStr"/>
      <c r="BF50" t="inlineStr"/>
      <c r="BG50" t="inlineStr">
        <is>
          <t>x</t>
        </is>
      </c>
      <c r="BH50" t="inlineStr"/>
      <c r="BI50" t="inlineStr">
        <is>
          <t>x</t>
        </is>
      </c>
      <c r="BJ50" t="inlineStr"/>
      <c r="BK50" t="inlineStr"/>
      <c r="BL50" t="n">
        <v>110</v>
      </c>
      <c r="BM50" t="inlineStr"/>
      <c r="BN50" t="inlineStr"/>
      <c r="BO50" t="inlineStr"/>
      <c r="BP50" t="inlineStr"/>
      <c r="BQ50" t="inlineStr"/>
      <c r="BR50" t="inlineStr">
        <is>
          <t>n</t>
        </is>
      </c>
      <c r="BS50" t="n">
        <v>0</v>
      </c>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c r="DH50" t="inlineStr"/>
      <c r="DI50" t="inlineStr"/>
      <c r="DJ50" t="inlineStr"/>
      <c r="DK50" t="inlineStr"/>
      <c r="DL50" t="inlineStr"/>
    </row>
    <row r="51">
      <c r="A51" t="inlineStr">
        <is>
          <t>Schreibmeister</t>
        </is>
      </c>
      <c r="B51" t="b">
        <v>1</v>
      </c>
      <c r="C51" t="inlineStr"/>
      <c r="D51" t="inlineStr"/>
      <c r="E51" t="n">
        <v>45</v>
      </c>
      <c r="F51">
        <f>HYPERLINK("https://portal.dnb.de/opac.htm?method=simpleSearch&amp;cqlMode=true&amp;query=idn%3D999826239", "Portal")</f>
        <v/>
      </c>
      <c r="G51" t="inlineStr">
        <is>
          <t>Aal</t>
        </is>
      </c>
      <c r="H51">
        <f>HYPERLINK("https://portal.dnb.de/opac.htm?method=simpleSearch&amp;cqlMode=true&amp;query=idn%3D999826239", "Portal")</f>
        <v/>
      </c>
      <c r="I51" t="inlineStr">
        <is>
          <t>L-1540-169508250</t>
        </is>
      </c>
      <c r="J51" t="inlineStr">
        <is>
          <t>999826239</t>
        </is>
      </c>
      <c r="K51" t="inlineStr">
        <is>
          <t>Bö B I 415</t>
        </is>
      </c>
      <c r="L51" t="inlineStr">
        <is>
          <t>Bö B I 415</t>
        </is>
      </c>
      <c r="M51" t="inlineStr">
        <is>
          <t>Bö B I 415</t>
        </is>
      </c>
      <c r="N51" t="inlineStr">
        <is>
          <t>Libro Nvovo Da|| Imparare A Scrivere Tvtte|| Sorte Lettere Antiche Et Moderne|| Di Tvtte Nationi, con Nvove|| Regole, Misvre|| Et Essempi|| Con vn bre</t>
        </is>
      </c>
      <c r="O51" t="inlineStr">
        <is>
          <t xml:space="preserve"> : </t>
        </is>
      </c>
      <c r="P51" t="inlineStr">
        <is>
          <t>Bö B I 415</t>
        </is>
      </c>
      <c r="Q51" t="inlineStr"/>
      <c r="R51" t="inlineStr"/>
      <c r="S51" t="inlineStr">
        <is>
          <t>Libro Nvovo Da|| Imparare A Scrivere Tvtte|| Sorte Lettere Antiche Et Moderne|| Di Tvtte Nationi, con Nvove|| Regole, Misvre|| Et Essempi|| Con vn bre</t>
        </is>
      </c>
      <c r="T51" t="inlineStr">
        <is>
          <t xml:space="preserve"> : </t>
        </is>
      </c>
      <c r="U51" t="inlineStr">
        <is>
          <t>X</t>
        </is>
      </c>
      <c r="V51" t="inlineStr"/>
      <c r="W51" t="inlineStr">
        <is>
          <t>Papier- oder Pappeinband</t>
        </is>
      </c>
      <c r="X51" t="inlineStr">
        <is>
          <t>bis 25 cm</t>
        </is>
      </c>
      <c r="Y51" t="inlineStr">
        <is>
          <t>180°</t>
        </is>
      </c>
      <c r="Z51" t="inlineStr">
        <is>
          <t>hohler Rücken</t>
        </is>
      </c>
      <c r="AA51" t="inlineStr"/>
      <c r="AB51" t="inlineStr">
        <is>
          <t>Archivkarton</t>
        </is>
      </c>
      <c r="AC51" t="inlineStr">
        <is>
          <t>Nein</t>
        </is>
      </c>
      <c r="AD51" t="n">
        <v>0</v>
      </c>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BR51" t="inlineStr"/>
      <c r="BS51" t="n">
        <v>0</v>
      </c>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c r="DH51" t="inlineStr"/>
      <c r="DI51" t="inlineStr"/>
      <c r="DJ51" t="inlineStr"/>
      <c r="DK51" t="inlineStr"/>
      <c r="DL51" t="inlineStr"/>
    </row>
    <row r="52">
      <c r="A52" t="inlineStr">
        <is>
          <t>Schreibmeister</t>
        </is>
      </c>
      <c r="B52" t="b">
        <v>1</v>
      </c>
      <c r="C52" t="inlineStr"/>
      <c r="D52" t="inlineStr"/>
      <c r="E52" t="n">
        <v>46</v>
      </c>
      <c r="F52">
        <f>HYPERLINK("https://portal.dnb.de/opac.htm?method=simpleSearch&amp;cqlMode=true&amp;query=idn%3D999827464", "Portal")</f>
        <v/>
      </c>
      <c r="G52" t="inlineStr">
        <is>
          <t>Aal</t>
        </is>
      </c>
      <c r="H52">
        <f>HYPERLINK("https://portal.dnb.de/opac.htm?method=simpleSearch&amp;cqlMode=true&amp;query=idn%3D999827464", "Portal")</f>
        <v/>
      </c>
      <c r="I52" t="inlineStr">
        <is>
          <t>L-1545-169509362</t>
        </is>
      </c>
      <c r="J52" t="inlineStr">
        <is>
          <t>999827464</t>
        </is>
      </c>
      <c r="K52" t="inlineStr">
        <is>
          <t>Bö B I 417</t>
        </is>
      </c>
      <c r="L52" t="inlineStr">
        <is>
          <t>Bö B I 417</t>
        </is>
      </c>
      <c r="M52" t="inlineStr">
        <is>
          <t>Bö B I 417</t>
        </is>
      </c>
      <c r="N52" t="inlineStr">
        <is>
          <t xml:space="preserve">Libro Di M. Giovambattista|| Palatino Cittadino Romano|| Nel qual sʹinsegna a scriuere ogni sorte lettera, antica, &amp; moder||na, di qualunque natione, </t>
        </is>
      </c>
      <c r="O52" t="inlineStr">
        <is>
          <t xml:space="preserve"> : </t>
        </is>
      </c>
      <c r="P52" t="inlineStr">
        <is>
          <t>Bö B I 417</t>
        </is>
      </c>
      <c r="Q52" t="inlineStr"/>
      <c r="R52" t="inlineStr"/>
      <c r="S52" t="inlineStr">
        <is>
          <t xml:space="preserve">Libro Di M. Giovambattista|| Palatino Cittadino Romano|| Nel qual sʹinsegna a scriuere ogni sorte lettera, antica, &amp; moder||na, di qualunque natione, </t>
        </is>
      </c>
      <c r="T52" t="inlineStr">
        <is>
          <t xml:space="preserve"> : </t>
        </is>
      </c>
      <c r="U52" t="inlineStr">
        <is>
          <t>X</t>
        </is>
      </c>
      <c r="V52" t="inlineStr"/>
      <c r="W52" t="inlineStr">
        <is>
          <t>Halbpergamentband</t>
        </is>
      </c>
      <c r="X52" t="inlineStr">
        <is>
          <t>bis 25 cm</t>
        </is>
      </c>
      <c r="Y52" t="inlineStr">
        <is>
          <t>180°</t>
        </is>
      </c>
      <c r="Z52" t="inlineStr">
        <is>
          <t>hohler Rücken</t>
        </is>
      </c>
      <c r="AA52" t="inlineStr"/>
      <c r="AB52" t="inlineStr">
        <is>
          <t>Archivkarton</t>
        </is>
      </c>
      <c r="AC52" t="inlineStr">
        <is>
          <t>Nein</t>
        </is>
      </c>
      <c r="AD52" t="n">
        <v>0</v>
      </c>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n">
        <v>0</v>
      </c>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c r="DH52" t="inlineStr"/>
      <c r="DI52" t="inlineStr"/>
      <c r="DJ52" t="inlineStr"/>
      <c r="DK52" t="inlineStr"/>
      <c r="DL52" t="inlineStr"/>
    </row>
    <row r="53">
      <c r="A53" t="inlineStr">
        <is>
          <t>Schreibmeister</t>
        </is>
      </c>
      <c r="B53" t="b">
        <v>1</v>
      </c>
      <c r="C53" t="inlineStr"/>
      <c r="D53" t="inlineStr"/>
      <c r="E53" t="n">
        <v>47</v>
      </c>
      <c r="F53">
        <f>HYPERLINK("https://portal.dnb.de/opac.htm?method=simpleSearch&amp;cqlMode=true&amp;query=idn%3D999828193", "Portal")</f>
        <v/>
      </c>
      <c r="G53" t="inlineStr">
        <is>
          <t>Aal</t>
        </is>
      </c>
      <c r="H53">
        <f>HYPERLINK("https://portal.dnb.de/opac.htm?method=simpleSearch&amp;cqlMode=true&amp;query=idn%3D999828193", "Portal")</f>
        <v/>
      </c>
      <c r="I53" t="inlineStr">
        <is>
          <t>L-1548-16951014X</t>
        </is>
      </c>
      <c r="J53" t="inlineStr">
        <is>
          <t>999828193</t>
        </is>
      </c>
      <c r="K53" t="inlineStr">
        <is>
          <t>Bö B I 418</t>
        </is>
      </c>
      <c r="L53" t="inlineStr">
        <is>
          <t>Bö B I 418</t>
        </is>
      </c>
      <c r="M53" t="inlineStr">
        <is>
          <t>Bö B I 418</t>
        </is>
      </c>
      <c r="N53" t="inlineStr">
        <is>
          <t xml:space="preserve">Libro Di M. Giovanbattista|| Palatino Cittadino Romano,|| nel qual sʹinsegna à Scriuere ogni lettera, Anti||ca, et Moderna, di qualunque natione, con </t>
        </is>
      </c>
      <c r="O53" t="inlineStr">
        <is>
          <t xml:space="preserve"> : </t>
        </is>
      </c>
      <c r="P53" t="inlineStr">
        <is>
          <t>Bö B I 418</t>
        </is>
      </c>
      <c r="Q53" t="inlineStr"/>
      <c r="R53" t="inlineStr"/>
      <c r="S53" t="inlineStr">
        <is>
          <t xml:space="preserve">Libro Di M. Giovanbattista|| Palatino Cittadino Romano,|| nel qual sʹinsegna à Scriuere ogni lettera, Anti||ca, et Moderna, di qualunque natione, con </t>
        </is>
      </c>
      <c r="T53" t="inlineStr">
        <is>
          <t xml:space="preserve"> : </t>
        </is>
      </c>
      <c r="U53" t="inlineStr">
        <is>
          <t>X</t>
        </is>
      </c>
      <c r="V53" t="inlineStr"/>
      <c r="W53" t="inlineStr">
        <is>
          <t>Ledereinband</t>
        </is>
      </c>
      <c r="X53" t="inlineStr">
        <is>
          <t>bis 25 cm</t>
        </is>
      </c>
      <c r="Y53" t="inlineStr">
        <is>
          <t>180°</t>
        </is>
      </c>
      <c r="Z53" t="inlineStr"/>
      <c r="AA53" t="inlineStr"/>
      <c r="AB53" t="inlineStr">
        <is>
          <t>Archivkarton</t>
        </is>
      </c>
      <c r="AC53" t="inlineStr">
        <is>
          <t>Nein</t>
        </is>
      </c>
      <c r="AD53" t="n">
        <v>0</v>
      </c>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BR53" t="inlineStr"/>
      <c r="BS53" t="n">
        <v>0</v>
      </c>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c r="DH53" t="inlineStr"/>
      <c r="DI53" t="inlineStr"/>
      <c r="DJ53" t="inlineStr"/>
      <c r="DK53" t="inlineStr"/>
      <c r="DL53" t="inlineStr"/>
    </row>
    <row r="54">
      <c r="A54" t="inlineStr">
        <is>
          <t>Schreibmeister</t>
        </is>
      </c>
      <c r="B54" t="b">
        <v>1</v>
      </c>
      <c r="C54" t="inlineStr"/>
      <c r="D54" t="inlineStr"/>
      <c r="E54" t="n">
        <v>48</v>
      </c>
      <c r="F54">
        <f>HYPERLINK("https://portal.dnb.de/opac.htm?method=simpleSearch&amp;cqlMode=true&amp;query=idn%3D999953133", "Portal")</f>
        <v/>
      </c>
      <c r="G54" t="inlineStr">
        <is>
          <t>Aal</t>
        </is>
      </c>
      <c r="H54">
        <f>HYPERLINK("https://portal.dnb.de/opac.htm?method=simpleSearch&amp;cqlMode=true&amp;query=idn%3D999953133", "Portal")</f>
        <v/>
      </c>
      <c r="I54" t="inlineStr">
        <is>
          <t>L-1693-169765539</t>
        </is>
      </c>
      <c r="J54" t="inlineStr">
        <is>
          <t>999953133</t>
        </is>
      </c>
      <c r="K54" t="inlineStr">
        <is>
          <t>Bö B I 430/4°</t>
        </is>
      </c>
      <c r="L54" t="inlineStr">
        <is>
          <t>Bö B I 430/4°</t>
        </is>
      </c>
      <c r="M54" t="inlineStr">
        <is>
          <t>Bö B I 430/4°</t>
        </is>
      </c>
      <c r="N54" t="inlineStr">
        <is>
          <t>[Schriftvorlagen] : [Sammelband, wahrscheinlich aus einer Ausgabe des "Exemplaarboeck" zsgest. Taf. z.T. sign.:] "A. Perling scripts. et sculpt" ; [Ta</t>
        </is>
      </c>
      <c r="O54" t="inlineStr">
        <is>
          <t xml:space="preserve"> : </t>
        </is>
      </c>
      <c r="P54" t="inlineStr">
        <is>
          <t>Bö B I 430/4°</t>
        </is>
      </c>
      <c r="Q54" t="inlineStr"/>
      <c r="R54" t="inlineStr"/>
      <c r="S54" t="inlineStr">
        <is>
          <t>[Schriftvorlagen] : [Sammelband, wahrscheinlich aus einer Ausgabe des "Exemplaarboeck" zsgest. Taf. z.T. sign.:] "A. Perling scripts. et sculpt" ; [Ta</t>
        </is>
      </c>
      <c r="T54" t="inlineStr">
        <is>
          <t xml:space="preserve"> : </t>
        </is>
      </c>
      <c r="U54" t="inlineStr">
        <is>
          <t>X</t>
        </is>
      </c>
      <c r="V54" t="inlineStr"/>
      <c r="W54" t="inlineStr">
        <is>
          <t>Papier- oder Pappeinband</t>
        </is>
      </c>
      <c r="X54" t="inlineStr">
        <is>
          <t>bis 35 cm</t>
        </is>
      </c>
      <c r="Y54" t="inlineStr">
        <is>
          <t>80° bis 110°, einseitig digitalisierbar?</t>
        </is>
      </c>
      <c r="Z54" t="inlineStr"/>
      <c r="AA54" t="inlineStr"/>
      <c r="AB54" t="inlineStr"/>
      <c r="AC54" t="inlineStr"/>
      <c r="AD54" t="n">
        <v>1</v>
      </c>
      <c r="AE54" t="inlineStr"/>
      <c r="AF54" t="inlineStr"/>
      <c r="AG54" t="inlineStr"/>
      <c r="AH54" t="inlineStr"/>
      <c r="AI54" t="inlineStr"/>
      <c r="AJ54" t="inlineStr"/>
      <c r="AK54" t="inlineStr">
        <is>
          <t>QF (47x35)</t>
        </is>
      </c>
      <c r="AL54" t="inlineStr"/>
      <c r="AM54" t="inlineStr"/>
      <c r="AN54" t="inlineStr">
        <is>
          <t>Br</t>
        </is>
      </c>
      <c r="AO54" t="inlineStr"/>
      <c r="AP54" t="inlineStr"/>
      <c r="AQ54" t="inlineStr"/>
      <c r="AR54" t="inlineStr">
        <is>
          <t>f</t>
        </is>
      </c>
      <c r="AS54" t="inlineStr"/>
      <c r="AT54" t="inlineStr"/>
      <c r="AU54" t="inlineStr"/>
      <c r="AV54" t="inlineStr"/>
      <c r="AW54" t="inlineStr"/>
      <c r="AX54" t="inlineStr">
        <is>
          <t>Pa</t>
        </is>
      </c>
      <c r="AY54" t="inlineStr"/>
      <c r="AZ54" t="inlineStr"/>
      <c r="BA54" t="inlineStr"/>
      <c r="BB54" t="inlineStr"/>
      <c r="BC54" t="inlineStr"/>
      <c r="BD54" t="inlineStr"/>
      <c r="BE54" t="inlineStr"/>
      <c r="BF54" t="inlineStr"/>
      <c r="BG54" t="inlineStr">
        <is>
          <t>x</t>
        </is>
      </c>
      <c r="BH54" t="inlineStr"/>
      <c r="BI54" t="inlineStr"/>
      <c r="BJ54" t="inlineStr"/>
      <c r="BK54" t="inlineStr"/>
      <c r="BL54" t="n">
        <v>110</v>
      </c>
      <c r="BM54" t="inlineStr"/>
      <c r="BN54" t="inlineStr"/>
      <c r="BO54" t="inlineStr"/>
      <c r="BP54" t="inlineStr"/>
      <c r="BQ54" t="inlineStr"/>
      <c r="BR54" t="inlineStr">
        <is>
          <t>n</t>
        </is>
      </c>
      <c r="BS54" t="n">
        <v>0</v>
      </c>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c r="DH54" t="inlineStr"/>
      <c r="DI54" t="inlineStr"/>
      <c r="DJ54" t="inlineStr"/>
      <c r="DK54" t="inlineStr"/>
      <c r="DL54" t="inlineStr"/>
    </row>
    <row r="55">
      <c r="A55" t="inlineStr">
        <is>
          <t>Schreibmeister</t>
        </is>
      </c>
      <c r="B55" t="b">
        <v>1</v>
      </c>
      <c r="C55" t="inlineStr"/>
      <c r="D55" t="inlineStr"/>
      <c r="E55" t="n">
        <v>49</v>
      </c>
      <c r="F55">
        <f>HYPERLINK("https://portal.dnb.de/opac.htm?method=simpleSearch&amp;cqlMode=true&amp;query=idn%3D999953575", "Portal")</f>
        <v/>
      </c>
      <c r="G55" t="inlineStr">
        <is>
          <t>Aal</t>
        </is>
      </c>
      <c r="H55">
        <f>HYPERLINK("https://portal.dnb.de/opac.htm?method=simpleSearch&amp;cqlMode=true&amp;query=idn%3D999953575", "Portal")</f>
        <v/>
      </c>
      <c r="I55" t="inlineStr">
        <is>
          <t>L-1685-169765989</t>
        </is>
      </c>
      <c r="J55" t="inlineStr">
        <is>
          <t>999953575</t>
        </is>
      </c>
      <c r="K55" t="inlineStr">
        <is>
          <t>Bö B I 431</t>
        </is>
      </c>
      <c r="L55" t="inlineStr">
        <is>
          <t>Bö B I 431 (Großformate)</t>
        </is>
      </c>
      <c r="M55" t="inlineStr">
        <is>
          <t>Bö B I 431</t>
        </is>
      </c>
      <c r="N55" t="inlineStr">
        <is>
          <t xml:space="preserve">Groote en kleene Voorbeelden van Latynse, Italiaanse, Romeynse Naam en Getal-Letteren, seer dienstig voor Schilders, Merk, Letter en Wapensnyders : </t>
        </is>
      </c>
      <c r="O55" t="inlineStr">
        <is>
          <t xml:space="preserve"> : </t>
        </is>
      </c>
      <c r="P55" t="inlineStr">
        <is>
          <t>Bö B I 431</t>
        </is>
      </c>
      <c r="Q55" t="inlineStr"/>
      <c r="R55" t="inlineStr"/>
      <c r="S55" t="inlineStr">
        <is>
          <t xml:space="preserve">Groote en kleene Voorbeelden van Latynse, Italiaanse, Romeynse Naam en Getal-Letteren, seer dienstig voor Schilders, Merk, Letter en Wapensnyders : </t>
        </is>
      </c>
      <c r="T55" t="inlineStr">
        <is>
          <t xml:space="preserve"> : </t>
        </is>
      </c>
      <c r="U55" t="inlineStr">
        <is>
          <t>X</t>
        </is>
      </c>
      <c r="V55" t="inlineStr"/>
      <c r="W55" t="inlineStr">
        <is>
          <t>Papier- oder Pappeinband</t>
        </is>
      </c>
      <c r="X55" t="inlineStr">
        <is>
          <t>bis 42 cm</t>
        </is>
      </c>
      <c r="Y55" t="inlineStr">
        <is>
          <t>80° bis 110°, einseitig digitalisierbar?</t>
        </is>
      </c>
      <c r="Z55" t="inlineStr"/>
      <c r="AA55" t="inlineStr"/>
      <c r="AB55" t="inlineStr"/>
      <c r="AC55" t="inlineStr"/>
      <c r="AD55" t="n">
        <v>0</v>
      </c>
      <c r="AE55" t="inlineStr"/>
      <c r="AF55" t="inlineStr"/>
      <c r="AG55" t="inlineStr"/>
      <c r="AH55" t="inlineStr"/>
      <c r="AI55" t="inlineStr">
        <is>
          <t>ausgeliehen an Mitarbeiter</t>
        </is>
      </c>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n">
        <v>0</v>
      </c>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c r="DH55" t="inlineStr"/>
      <c r="DI55" t="inlineStr"/>
      <c r="DJ55" t="inlineStr"/>
      <c r="DK55" t="inlineStr"/>
      <c r="DL55" t="inlineStr"/>
    </row>
    <row r="56">
      <c r="A56" t="inlineStr">
        <is>
          <t>Schreibmeister</t>
        </is>
      </c>
      <c r="B56" t="b">
        <v>1</v>
      </c>
      <c r="C56" t="inlineStr"/>
      <c r="D56" t="inlineStr"/>
      <c r="E56" t="n">
        <v>50</v>
      </c>
      <c r="F56">
        <f>HYPERLINK("https://portal.dnb.de/opac.htm?method=simpleSearch&amp;cqlMode=true&amp;query=idn%3D1000041611", "Portal")</f>
        <v/>
      </c>
      <c r="G56" t="inlineStr">
        <is>
          <t>Aal</t>
        </is>
      </c>
      <c r="H56">
        <f>HYPERLINK("https://portal.dnb.de/opac.htm?method=simpleSearch&amp;cqlMode=true&amp;query=idn%3D1000041611", "Portal")</f>
        <v/>
      </c>
      <c r="I56" t="inlineStr">
        <is>
          <t>L-1620-169916529</t>
        </is>
      </c>
      <c r="J56" t="inlineStr">
        <is>
          <t>1000041611</t>
        </is>
      </c>
      <c r="K56" t="inlineStr">
        <is>
          <t>Bö B I 437</t>
        </is>
      </c>
      <c r="L56" t="inlineStr">
        <is>
          <t>Bö B I 437</t>
        </is>
      </c>
      <c r="M56" t="inlineStr">
        <is>
          <t>Bö B I 437</t>
        </is>
      </c>
      <c r="N56" t="inlineStr">
        <is>
          <t>Essempij del Pisenti : Lʹidea del vero scrivere cancellaresco e corsivo de scrittori diversi</t>
        </is>
      </c>
      <c r="O56" t="inlineStr">
        <is>
          <t xml:space="preserve"> : </t>
        </is>
      </c>
      <c r="P56" t="inlineStr">
        <is>
          <t>Bö B I 437</t>
        </is>
      </c>
      <c r="Q56" t="inlineStr"/>
      <c r="R56" t="inlineStr"/>
      <c r="S56" t="inlineStr">
        <is>
          <t>Essempij del Pisenti : Lʹidea del vero scrivere cancellaresco e corsivo de scrittori diversi</t>
        </is>
      </c>
      <c r="T56" t="inlineStr">
        <is>
          <t xml:space="preserve"> : </t>
        </is>
      </c>
      <c r="U56" t="inlineStr">
        <is>
          <t>X</t>
        </is>
      </c>
      <c r="V56" t="inlineStr"/>
      <c r="W56" t="inlineStr">
        <is>
          <t>Halbgewebeband</t>
        </is>
      </c>
      <c r="X56" t="inlineStr">
        <is>
          <t>bis 25 cm</t>
        </is>
      </c>
      <c r="Y56" t="inlineStr">
        <is>
          <t>180°</t>
        </is>
      </c>
      <c r="Z56" t="inlineStr">
        <is>
          <t>hohler Rücken</t>
        </is>
      </c>
      <c r="AA56" t="inlineStr"/>
      <c r="AB56" t="inlineStr">
        <is>
          <t>Archivkarton</t>
        </is>
      </c>
      <c r="AC56" t="inlineStr">
        <is>
          <t>Nein</t>
        </is>
      </c>
      <c r="AD56" t="n">
        <v>0</v>
      </c>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n">
        <v>0</v>
      </c>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c r="DH56" t="inlineStr"/>
      <c r="DI56" t="inlineStr"/>
      <c r="DJ56" t="inlineStr"/>
      <c r="DK56" t="inlineStr"/>
      <c r="DL56" t="inlineStr"/>
    </row>
    <row r="57">
      <c r="A57" t="inlineStr">
        <is>
          <t>Schreibmeister</t>
        </is>
      </c>
      <c r="B57" t="b">
        <v>1</v>
      </c>
      <c r="C57" t="inlineStr">
        <is>
          <t>x</t>
        </is>
      </c>
      <c r="D57" t="inlineStr"/>
      <c r="E57" t="n">
        <v>51</v>
      </c>
      <c r="F57">
        <f>HYPERLINK("https://portal.dnb.de/opac.htm?method=simpleSearch&amp;cqlMode=true&amp;query=idn%3D1000651371", "Portal")</f>
        <v/>
      </c>
      <c r="G57" t="inlineStr">
        <is>
          <t>Aal</t>
        </is>
      </c>
      <c r="H57">
        <f>HYPERLINK("https://portal.dnb.de/opac.htm?method=simpleSearch&amp;cqlMode=true&amp;query=idn%3D1000651371", "Portal")</f>
        <v/>
      </c>
      <c r="I57" t="inlineStr">
        <is>
          <t>L-1758-170985369</t>
        </is>
      </c>
      <c r="J57" t="inlineStr">
        <is>
          <t>1000651371</t>
        </is>
      </c>
      <c r="K57" t="inlineStr">
        <is>
          <t>Bö B I 445/2°</t>
        </is>
      </c>
      <c r="L57" t="inlineStr">
        <is>
          <t>(Großformate)</t>
        </is>
      </c>
      <c r="M57" t="inlineStr">
        <is>
          <t>Bö B I 445/2°</t>
        </is>
      </c>
      <c r="N57" t="inlineStr">
        <is>
          <t xml:space="preserve">Le @Grand-Art|| dʹécrire|| Necessaire à ceux qui veulent se perfectionner dans cette Science|| ... dedié|| Aux Enfans de France|| : </t>
        </is>
      </c>
      <c r="O57" t="inlineStr">
        <is>
          <t xml:space="preserve"> : </t>
        </is>
      </c>
      <c r="P57" t="inlineStr">
        <is>
          <t>Bö B I 445/2°</t>
        </is>
      </c>
      <c r="Q57" t="inlineStr">
        <is>
          <t>1800,00 EUR</t>
        </is>
      </c>
      <c r="R57" t="inlineStr"/>
      <c r="S57" t="inlineStr">
        <is>
          <t xml:space="preserve">Le @Grand-Art|| dʹécrire|| Necessaire à ceux qui veulent se perfectionner dans cette Science|| ... dedié|| Aux Enfans de France|| : </t>
        </is>
      </c>
      <c r="T57" t="inlineStr">
        <is>
          <t xml:space="preserve"> : </t>
        </is>
      </c>
      <c r="U57" t="inlineStr">
        <is>
          <t>X</t>
        </is>
      </c>
      <c r="V57" t="inlineStr">
        <is>
          <t>1800,00 EUR</t>
        </is>
      </c>
      <c r="W57" t="inlineStr">
        <is>
          <t>Halbledereinband</t>
        </is>
      </c>
      <c r="X57" t="inlineStr">
        <is>
          <t>bis 42 cm</t>
        </is>
      </c>
      <c r="Y57" t="inlineStr">
        <is>
          <t>80° bis 110°, einseitig digitalisierbar?</t>
        </is>
      </c>
      <c r="Z57" t="inlineStr">
        <is>
          <t>gefaltete Blätter, stark brüchiges Einbandmaterial</t>
        </is>
      </c>
      <c r="AA57" t="inlineStr"/>
      <c r="AB57" t="inlineStr">
        <is>
          <t xml:space="preserve">Papierumschlag </t>
        </is>
      </c>
      <c r="AC57" t="inlineStr">
        <is>
          <t>Ja</t>
        </is>
      </c>
      <c r="AD57" t="n">
        <v>2</v>
      </c>
      <c r="AE57" t="inlineStr"/>
      <c r="AF57" t="inlineStr"/>
      <c r="AG57" t="inlineStr"/>
      <c r="AH57" t="inlineStr"/>
      <c r="AI57" t="inlineStr"/>
      <c r="AJ57" t="inlineStr"/>
      <c r="AK57" t="inlineStr"/>
      <c r="AL57" t="inlineStr"/>
      <c r="AM57" t="inlineStr"/>
      <c r="AN57" t="inlineStr">
        <is>
          <t>HL</t>
        </is>
      </c>
      <c r="AO57" t="inlineStr"/>
      <c r="AP57" t="inlineStr"/>
      <c r="AQ57" t="inlineStr"/>
      <c r="AR57" t="inlineStr">
        <is>
          <t>f/V</t>
        </is>
      </c>
      <c r="AS57" t="inlineStr"/>
      <c r="AT57" t="inlineStr"/>
      <c r="AU57" t="inlineStr"/>
      <c r="AV57" t="inlineStr"/>
      <c r="AW57" t="inlineStr"/>
      <c r="AX57" t="inlineStr">
        <is>
          <t>Pa</t>
        </is>
      </c>
      <c r="AY57" t="inlineStr"/>
      <c r="AZ57" t="inlineStr"/>
      <c r="BA57" t="inlineStr"/>
      <c r="BB57" t="inlineStr"/>
      <c r="BC57" t="inlineStr"/>
      <c r="BD57" t="inlineStr"/>
      <c r="BE57" t="inlineStr"/>
      <c r="BF57" t="inlineStr"/>
      <c r="BG57" t="inlineStr">
        <is>
          <t>x</t>
        </is>
      </c>
      <c r="BH57" t="inlineStr"/>
      <c r="BI57" t="inlineStr"/>
      <c r="BJ57" t="inlineStr"/>
      <c r="BK57" t="inlineStr"/>
      <c r="BL57" t="inlineStr">
        <is>
          <t>max 110</t>
        </is>
      </c>
      <c r="BM57" t="inlineStr"/>
      <c r="BN57" t="inlineStr"/>
      <c r="BO57" t="inlineStr"/>
      <c r="BP57" t="inlineStr"/>
      <c r="BQ57" t="inlineStr"/>
      <c r="BR57" t="inlineStr">
        <is>
          <t>ja vor</t>
        </is>
      </c>
      <c r="BS57" t="n">
        <v>2</v>
      </c>
      <c r="BT57" t="inlineStr"/>
      <c r="BU57" t="inlineStr"/>
      <c r="BV57" t="inlineStr"/>
      <c r="BW57" t="inlineStr"/>
      <c r="BX57" t="inlineStr"/>
      <c r="BY57" t="inlineStr">
        <is>
          <t>x sauer</t>
        </is>
      </c>
      <c r="BZ57" t="inlineStr">
        <is>
          <t>x</t>
        </is>
      </c>
      <c r="CA57" t="inlineStr"/>
      <c r="CB57" t="inlineStr"/>
      <c r="CC57" t="inlineStr"/>
      <c r="CD57" t="inlineStr"/>
      <c r="CE57" t="inlineStr"/>
      <c r="CF57" t="inlineStr">
        <is>
          <t>x</t>
        </is>
      </c>
      <c r="CG57" t="inlineStr">
        <is>
          <t>x</t>
        </is>
      </c>
      <c r="CH57" t="inlineStr"/>
      <c r="CI57" t="inlineStr">
        <is>
          <t>v/h</t>
        </is>
      </c>
      <c r="CJ57" t="inlineStr"/>
      <c r="CK57" t="inlineStr"/>
      <c r="CL57" t="inlineStr"/>
      <c r="CM57" t="inlineStr"/>
      <c r="CN57" t="inlineStr"/>
      <c r="CO57" t="inlineStr"/>
      <c r="CP57" t="inlineStr"/>
      <c r="CQ57" t="inlineStr"/>
      <c r="CR57" t="n">
        <v>2</v>
      </c>
      <c r="CS57" t="inlineStr">
        <is>
          <t>nur loses Leder fixieren, ggf. überfangen; Gelenke belassen (Deckel sitzen fest genug), an Ecken nur das Nötigste</t>
        </is>
      </c>
      <c r="CT57" t="inlineStr"/>
      <c r="CU57" t="inlineStr"/>
      <c r="CV57" t="inlineStr"/>
      <c r="CW57" t="inlineStr"/>
      <c r="CX57" t="inlineStr"/>
      <c r="CY57" t="inlineStr"/>
      <c r="CZ57" t="inlineStr"/>
      <c r="DA57" t="inlineStr"/>
      <c r="DB57" t="inlineStr"/>
      <c r="DC57" t="inlineStr"/>
      <c r="DD57" t="inlineStr"/>
      <c r="DE57" t="inlineStr"/>
      <c r="DF57" t="inlineStr"/>
      <c r="DG57" t="inlineStr"/>
      <c r="DH57" t="inlineStr"/>
      <c r="DI57" t="inlineStr"/>
      <c r="DJ57" t="inlineStr"/>
      <c r="DK57" t="inlineStr"/>
      <c r="DL57" t="inlineStr"/>
    </row>
    <row r="58">
      <c r="A58" t="inlineStr">
        <is>
          <t>Schreibmeister</t>
        </is>
      </c>
      <c r="B58" t="b">
        <v>1</v>
      </c>
      <c r="C58" t="inlineStr"/>
      <c r="D58" t="inlineStr"/>
      <c r="E58" t="inlineStr"/>
      <c r="F58">
        <f>HYPERLINK("https://portal.dnb.de/opac.htm?method=simpleSearch&amp;cqlMode=true&amp;query=idn%3D100071117X", "Portal")</f>
        <v/>
      </c>
      <c r="G58" t="inlineStr">
        <is>
          <t>Acl</t>
        </is>
      </c>
      <c r="H58">
        <f>HYPERLINK("https://portal.dnb.de/opac.htm?method=simpleSearch&amp;cqlMode=true&amp;query=idn%3D100071117X", "Portal")</f>
        <v/>
      </c>
      <c r="I58" t="inlineStr">
        <is>
          <t>L-9999-78303069X</t>
        </is>
      </c>
      <c r="J58" t="inlineStr">
        <is>
          <t>100071117X</t>
        </is>
      </c>
      <c r="K58" t="inlineStr">
        <is>
          <t>Bö B I 446</t>
        </is>
      </c>
      <c r="L58" t="inlineStr"/>
      <c r="M58" t="inlineStr">
        <is>
          <t>Bö B I 446</t>
        </is>
      </c>
      <c r="N58" t="inlineStr">
        <is>
          <t xml:space="preserve">Systematische Anweisung zum Schön- und Geschwindschreiben und zur Prüfung deutscher Hand- und Druckschriften : </t>
        </is>
      </c>
      <c r="O58" t="inlineStr">
        <is>
          <t xml:space="preserve"> : </t>
        </is>
      </c>
      <c r="P58" t="inlineStr">
        <is>
          <t>Bö B I 446</t>
        </is>
      </c>
      <c r="Q58" t="inlineStr"/>
      <c r="R58" t="inlineStr"/>
      <c r="S58" t="inlineStr">
        <is>
          <t xml:space="preserve">Systematische Anweisung zum Schön- und Geschwindschreiben und zur Prüfung deutscher Hand- und Druckschriften : </t>
        </is>
      </c>
      <c r="T58" t="inlineStr">
        <is>
          <t xml:space="preserve"> : </t>
        </is>
      </c>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c r="DI58" t="inlineStr"/>
      <c r="DJ58" t="inlineStr"/>
      <c r="DK58" t="inlineStr"/>
      <c r="DL58" t="inlineStr"/>
    </row>
    <row r="59">
      <c r="A59" t="inlineStr">
        <is>
          <t>Schreibmeister</t>
        </is>
      </c>
      <c r="B59" t="b">
        <v>1</v>
      </c>
      <c r="C59" t="inlineStr"/>
      <c r="D59" t="inlineStr"/>
      <c r="E59" t="n">
        <v>53</v>
      </c>
      <c r="F59">
        <f>HYPERLINK("https://portal.dnb.de/opac.htm?method=simpleSearch&amp;cqlMode=true&amp;query=idn%3D1000711277", "Portal")</f>
        <v/>
      </c>
      <c r="G59" t="inlineStr">
        <is>
          <t>Afl</t>
        </is>
      </c>
      <c r="H59">
        <f>HYPERLINK("https://portal.dnb.de/opac.htm?method=simpleSearch&amp;cqlMode=true&amp;query=idn%3D1000711277", "Portal")</f>
        <v/>
      </c>
      <c r="I59" t="inlineStr">
        <is>
          <t>L-1820-180349104</t>
        </is>
      </c>
      <c r="J59" t="inlineStr">
        <is>
          <t>1000711277</t>
        </is>
      </c>
      <c r="K59" t="inlineStr">
        <is>
          <t>Bö B I 446 - 1</t>
        </is>
      </c>
      <c r="L59" t="inlineStr">
        <is>
          <t>Bö B I 446 - 1</t>
        </is>
      </c>
      <c r="M59" t="inlineStr">
        <is>
          <t>Bö B I 446 - 1</t>
        </is>
      </c>
      <c r="N59" t="inlineStr">
        <is>
          <t>Systematische Anweisung zum Schön- und Geschwindschreiben und zur Prüfung deutscher Hand- und Druckschriften</t>
        </is>
      </c>
      <c r="O59" t="inlineStr">
        <is>
          <t xml:space="preserve">Teil 1. : </t>
        </is>
      </c>
      <c r="P59" t="inlineStr">
        <is>
          <t>Bö B I 446 - 1</t>
        </is>
      </c>
      <c r="Q59" t="inlineStr"/>
      <c r="R59" t="inlineStr"/>
      <c r="S59" t="inlineStr">
        <is>
          <t>Systematische Anweisung zum Schön- und Geschwindschreiben und zur Prüfung deutscher Hand- und Druckschriften</t>
        </is>
      </c>
      <c r="T59" t="inlineStr">
        <is>
          <t xml:space="preserve">Teil 1. : </t>
        </is>
      </c>
      <c r="U59" t="inlineStr">
        <is>
          <t>X</t>
        </is>
      </c>
      <c r="V59" t="inlineStr"/>
      <c r="W59" t="inlineStr">
        <is>
          <t>Papier- oder Pappeinband</t>
        </is>
      </c>
      <c r="X59" t="inlineStr">
        <is>
          <t>bis 25 cm</t>
        </is>
      </c>
      <c r="Y59" t="inlineStr">
        <is>
          <t>80° bis 110°, einseitig digitalisierbar?</t>
        </is>
      </c>
      <c r="Z59" t="inlineStr">
        <is>
          <t>hohler Rücken</t>
        </is>
      </c>
      <c r="AA59" t="inlineStr"/>
      <c r="AB59" t="inlineStr">
        <is>
          <t>Archivkarton</t>
        </is>
      </c>
      <c r="AC59" t="inlineStr">
        <is>
          <t>Nein</t>
        </is>
      </c>
      <c r="AD59" t="n">
        <v>0</v>
      </c>
      <c r="AE59" t="inlineStr"/>
      <c r="AF59" t="inlineStr"/>
      <c r="AG59" t="inlineStr"/>
      <c r="AH59" t="inlineStr"/>
      <c r="AI59" t="inlineStr"/>
      <c r="AJ59" t="inlineStr"/>
      <c r="AK59" t="inlineStr"/>
      <c r="AL59" t="inlineStr"/>
      <c r="AM59" t="inlineStr"/>
      <c r="AN59" t="inlineStr">
        <is>
          <t>Pa</t>
        </is>
      </c>
      <c r="AO59" t="inlineStr"/>
      <c r="AP59" t="inlineStr"/>
      <c r="AQ59" t="inlineStr"/>
      <c r="AR59" t="inlineStr">
        <is>
          <t>h/E</t>
        </is>
      </c>
      <c r="AS59" t="inlineStr"/>
      <c r="AT59" t="inlineStr"/>
      <c r="AU59" t="inlineStr"/>
      <c r="AV59" t="inlineStr"/>
      <c r="AW59" t="inlineStr"/>
      <c r="AX59" t="inlineStr">
        <is>
          <t>Pa</t>
        </is>
      </c>
      <c r="AY59" t="inlineStr"/>
      <c r="AZ59" t="inlineStr"/>
      <c r="BA59" t="inlineStr"/>
      <c r="BB59" t="inlineStr"/>
      <c r="BC59" t="inlineStr"/>
      <c r="BD59" t="inlineStr"/>
      <c r="BE59" t="inlineStr"/>
      <c r="BF59" t="inlineStr"/>
      <c r="BG59" t="inlineStr"/>
      <c r="BH59" t="inlineStr"/>
      <c r="BI59" t="inlineStr"/>
      <c r="BJ59" t="inlineStr"/>
      <c r="BK59" t="inlineStr"/>
      <c r="BL59" t="n">
        <v>110</v>
      </c>
      <c r="BM59" t="inlineStr"/>
      <c r="BN59" t="inlineStr"/>
      <c r="BO59" t="inlineStr"/>
      <c r="BP59" t="inlineStr"/>
      <c r="BQ59" t="inlineStr"/>
      <c r="BR59" t="inlineStr">
        <is>
          <t>n</t>
        </is>
      </c>
      <c r="BS59" t="n">
        <v>0</v>
      </c>
      <c r="BT59" t="inlineStr"/>
      <c r="BU59" t="inlineStr"/>
      <c r="BV59" t="inlineStr"/>
      <c r="BW59" t="inlineStr"/>
      <c r="BX59" t="inlineStr">
        <is>
          <t>x</t>
        </is>
      </c>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c r="DH59" t="inlineStr"/>
      <c r="DI59" t="inlineStr"/>
      <c r="DJ59" t="inlineStr"/>
      <c r="DK59" t="inlineStr"/>
      <c r="DL59" t="inlineStr"/>
    </row>
    <row r="60">
      <c r="A60" t="inlineStr">
        <is>
          <t>Schreibmeister</t>
        </is>
      </c>
      <c r="B60" t="b">
        <v>1</v>
      </c>
      <c r="C60" t="inlineStr">
        <is>
          <t>x</t>
        </is>
      </c>
      <c r="D60" t="inlineStr"/>
      <c r="E60" t="n">
        <v>52</v>
      </c>
      <c r="F60">
        <f>HYPERLINK("https://portal.dnb.de/opac.htm?method=simpleSearch&amp;cqlMode=true&amp;query=idn%3D1003598099", "Portal")</f>
        <v/>
      </c>
      <c r="G60" t="inlineStr">
        <is>
          <t>Afl</t>
        </is>
      </c>
      <c r="H60">
        <f>HYPERLINK("https://portal.dnb.de/opac.htm?method=simpleSearch&amp;cqlMode=true&amp;query=idn%3D1003598099", "Portal")</f>
        <v/>
      </c>
      <c r="I60" t="inlineStr">
        <is>
          <t>L-1793-180266608</t>
        </is>
      </c>
      <c r="J60" t="inlineStr">
        <is>
          <t>1003598099</t>
        </is>
      </c>
      <c r="K60" t="inlineStr">
        <is>
          <t>Bö B I 446 - 1.Tafelbd.</t>
        </is>
      </c>
      <c r="L60" t="inlineStr">
        <is>
          <t>Bö B I 446 (Großformate)</t>
        </is>
      </c>
      <c r="M60" t="inlineStr">
        <is>
          <t>Bö B I 446 - 1.Tafelbd.</t>
        </is>
      </c>
      <c r="N60" t="inlineStr">
        <is>
          <t>Systematische Anweisung zum Schön- und Geschwindschreiben und zur Prüfung deutscher Hand- und Druckschriften</t>
        </is>
      </c>
      <c r="O60" t="inlineStr">
        <is>
          <t>Tafelbd., Teil 1 : , Systematische Anweisung zum Schönschreiben</t>
        </is>
      </c>
      <c r="P60" t="inlineStr">
        <is>
          <t>Bö B I 446 - 1, Taf.</t>
        </is>
      </c>
      <c r="Q60" t="inlineStr"/>
      <c r="R60" t="inlineStr"/>
      <c r="S60" t="inlineStr">
        <is>
          <t>Systematische Anweisung zum Schön- und Geschwindschreiben und zur Prüfung deutscher Hand- und Druckschriften</t>
        </is>
      </c>
      <c r="T60" t="inlineStr">
        <is>
          <t>Tafelbd., Teil 1 : , Systematische Anweisung zum Schönschreiben</t>
        </is>
      </c>
      <c r="U60" t="inlineStr"/>
      <c r="V60" t="inlineStr"/>
      <c r="W60" t="inlineStr"/>
      <c r="X60" t="inlineStr">
        <is>
          <t>bis 42 cm</t>
        </is>
      </c>
      <c r="Y60" t="inlineStr"/>
      <c r="Z60" t="inlineStr"/>
      <c r="AA60" t="inlineStr"/>
      <c r="AB60" t="inlineStr"/>
      <c r="AC60" t="inlineStr"/>
      <c r="AD60" t="inlineStr"/>
      <c r="AE60" t="inlineStr"/>
      <c r="AF60" t="inlineStr"/>
      <c r="AG60" t="inlineStr"/>
      <c r="AH60" t="inlineStr"/>
      <c r="AI60" t="inlineStr"/>
      <c r="AJ60" t="inlineStr"/>
      <c r="AK60" t="inlineStr">
        <is>
          <t>QF (50x39)</t>
        </is>
      </c>
      <c r="AL60" t="inlineStr"/>
      <c r="AM60" t="inlineStr"/>
      <c r="AN60" t="inlineStr">
        <is>
          <t>HL</t>
        </is>
      </c>
      <c r="AO60" t="inlineStr"/>
      <c r="AP60" t="inlineStr"/>
      <c r="AQ60" t="inlineStr"/>
      <c r="AR60" t="inlineStr">
        <is>
          <t>h/E</t>
        </is>
      </c>
      <c r="AS60" t="inlineStr"/>
      <c r="AT60" t="inlineStr"/>
      <c r="AU60" t="inlineStr"/>
      <c r="AV60" t="inlineStr"/>
      <c r="AW60" t="inlineStr"/>
      <c r="AX60" t="inlineStr">
        <is>
          <t>Pa</t>
        </is>
      </c>
      <c r="AY60" t="inlineStr"/>
      <c r="AZ60" t="inlineStr"/>
      <c r="BA60" t="inlineStr"/>
      <c r="BB60" t="inlineStr"/>
      <c r="BC60" t="inlineStr"/>
      <c r="BD60" t="inlineStr"/>
      <c r="BE60" t="inlineStr"/>
      <c r="BF60" t="inlineStr"/>
      <c r="BG60" t="inlineStr">
        <is>
          <t>x</t>
        </is>
      </c>
      <c r="BH60" t="inlineStr"/>
      <c r="BI60" t="inlineStr"/>
      <c r="BJ60" t="inlineStr"/>
      <c r="BK60" t="inlineStr"/>
      <c r="BL60" t="n">
        <v>110</v>
      </c>
      <c r="BM60" t="inlineStr"/>
      <c r="BN60" t="inlineStr"/>
      <c r="BO60" t="inlineStr"/>
      <c r="BP60" t="inlineStr"/>
      <c r="BQ60" t="inlineStr"/>
      <c r="BR60" t="inlineStr">
        <is>
          <t>ja vor</t>
        </is>
      </c>
      <c r="BS60" t="n">
        <v>1.5</v>
      </c>
      <c r="BT60" t="inlineStr"/>
      <c r="BU60" t="inlineStr"/>
      <c r="BV60" t="inlineStr"/>
      <c r="BW60" t="inlineStr"/>
      <c r="BX60" t="inlineStr"/>
      <c r="BY60" t="inlineStr">
        <is>
          <t>x sauer</t>
        </is>
      </c>
      <c r="BZ60" t="inlineStr">
        <is>
          <t>x</t>
        </is>
      </c>
      <c r="CA60" t="inlineStr"/>
      <c r="CB60" t="inlineStr"/>
      <c r="CC60" t="inlineStr"/>
      <c r="CD60" t="inlineStr"/>
      <c r="CE60" t="inlineStr"/>
      <c r="CF60" t="inlineStr">
        <is>
          <t>x</t>
        </is>
      </c>
      <c r="CG60" t="inlineStr">
        <is>
          <t>x</t>
        </is>
      </c>
      <c r="CH60" t="inlineStr"/>
      <c r="CI60" t="inlineStr"/>
      <c r="CJ60" t="inlineStr"/>
      <c r="CK60" t="inlineStr"/>
      <c r="CL60" t="inlineStr"/>
      <c r="CM60" t="inlineStr"/>
      <c r="CN60" t="inlineStr"/>
      <c r="CO60" t="inlineStr"/>
      <c r="CP60" t="inlineStr"/>
      <c r="CQ60" t="inlineStr"/>
      <c r="CR60" t="n">
        <v>1.5</v>
      </c>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c r="DH60" t="inlineStr"/>
      <c r="DI60" t="inlineStr"/>
      <c r="DJ60" t="inlineStr"/>
      <c r="DK60" t="inlineStr"/>
      <c r="DL60" t="inlineStr"/>
    </row>
    <row r="61">
      <c r="A61" t="inlineStr">
        <is>
          <t>Schreibmeister</t>
        </is>
      </c>
      <c r="B61" t="b">
        <v>1</v>
      </c>
      <c r="C61" t="inlineStr"/>
      <c r="D61" t="inlineStr"/>
      <c r="E61" t="inlineStr"/>
      <c r="F61">
        <f>HYPERLINK("https://portal.dnb.de/opac.htm?method=simpleSearch&amp;cqlMode=true&amp;query=idn%3D1000711315", "Portal")</f>
        <v/>
      </c>
      <c r="G61" t="inlineStr">
        <is>
          <t>Afl</t>
        </is>
      </c>
      <c r="H61">
        <f>HYPERLINK("https://portal.dnb.de/opac.htm?method=simpleSearch&amp;cqlMode=true&amp;query=idn%3D1000711315", "Portal")</f>
        <v/>
      </c>
      <c r="I61" t="inlineStr">
        <is>
          <t>L-1806-180349171</t>
        </is>
      </c>
      <c r="J61" t="inlineStr">
        <is>
          <t>1000711315</t>
        </is>
      </c>
      <c r="K61" t="inlineStr">
        <is>
          <t>Bö B I 446 - 2</t>
        </is>
      </c>
      <c r="L61" t="inlineStr">
        <is>
          <t>Bö B I 446 - 2 (Großformate)</t>
        </is>
      </c>
      <c r="M61" t="inlineStr">
        <is>
          <t>Bö B I 446 - 2</t>
        </is>
      </c>
      <c r="N61" t="inlineStr">
        <is>
          <t>Systematische Anweisung zum Schön- und Geschwindschreiben und zur Prüfung deutscher Hand- und Druckschriften</t>
        </is>
      </c>
      <c r="O61" t="inlineStr">
        <is>
          <t xml:space="preserve">Teil 2 : </t>
        </is>
      </c>
      <c r="P61" t="inlineStr">
        <is>
          <t>Bö B I 446 - 2</t>
        </is>
      </c>
      <c r="Q61" t="inlineStr"/>
      <c r="R61" t="inlineStr"/>
      <c r="S61" t="inlineStr">
        <is>
          <t>Systematische Anweisung zum Schön- und Geschwindschreiben und zur Prüfung deutscher Hand- und Druckschriften</t>
        </is>
      </c>
      <c r="T61" t="inlineStr">
        <is>
          <t xml:space="preserve">Teil 2 : </t>
        </is>
      </c>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c r="DH61" t="inlineStr"/>
      <c r="DI61" t="inlineStr"/>
      <c r="DJ61" t="inlineStr"/>
      <c r="DK61" t="inlineStr"/>
      <c r="DL61" t="inlineStr"/>
    </row>
    <row r="62">
      <c r="A62" t="inlineStr">
        <is>
          <t>Schreibmeister</t>
        </is>
      </c>
      <c r="B62" t="b">
        <v>1</v>
      </c>
      <c r="C62" t="inlineStr"/>
      <c r="D62" t="inlineStr"/>
      <c r="E62" t="inlineStr"/>
      <c r="F62">
        <f>HYPERLINK("https://portal.dnb.de/opac.htm?method=simpleSearch&amp;cqlMode=true&amp;query=idn%3D1003598323", "Portal")</f>
        <v/>
      </c>
      <c r="G62" t="inlineStr">
        <is>
          <t>Afl</t>
        </is>
      </c>
      <c r="H62">
        <f>HYPERLINK("https://portal.dnb.de/opac.htm?method=simpleSearch&amp;cqlMode=true&amp;query=idn%3D1003598323", "Portal")</f>
        <v/>
      </c>
      <c r="I62" t="inlineStr">
        <is>
          <t>L-1806-18026690X</t>
        </is>
      </c>
      <c r="J62" t="inlineStr">
        <is>
          <t>1003598323</t>
        </is>
      </c>
      <c r="K62" t="inlineStr">
        <is>
          <t>Bö B I 446 - 2.Tafelbd.</t>
        </is>
      </c>
      <c r="L62" t="inlineStr">
        <is>
          <t>Bö B I 446 (Großformate)</t>
        </is>
      </c>
      <c r="M62" t="inlineStr">
        <is>
          <t>Bö B I 446 - 2.Tafelbd.</t>
        </is>
      </c>
      <c r="N62" t="inlineStr">
        <is>
          <t>Systematische Anweisung zum Schön- und Geschwindschreiben und zur Prüfung deutscher Hand- und Druckschriften</t>
        </is>
      </c>
      <c r="O62" t="inlineStr">
        <is>
          <t xml:space="preserve">Tafelbd., Teil 2 : , </t>
        </is>
      </c>
      <c r="P62" t="inlineStr">
        <is>
          <t>Bö B I 446 - 2.Tafelbd.</t>
        </is>
      </c>
      <c r="Q62" t="inlineStr"/>
      <c r="R62" t="inlineStr"/>
      <c r="S62" t="inlineStr">
        <is>
          <t>Systematische Anweisung zum Schön- und Geschwindschreiben und zur Prüfung deutscher Hand- und Druckschriften</t>
        </is>
      </c>
      <c r="T62" t="inlineStr">
        <is>
          <t xml:space="preserve">Tafelbd., Teil 2 : , </t>
        </is>
      </c>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c r="DH62" t="inlineStr"/>
      <c r="DI62" t="inlineStr"/>
      <c r="DJ62" t="inlineStr"/>
      <c r="DK62" t="inlineStr"/>
      <c r="DL62" t="inlineStr"/>
    </row>
    <row r="63">
      <c r="A63" t="inlineStr">
        <is>
          <t>Schreibmeister</t>
        </is>
      </c>
      <c r="B63" t="b">
        <v>1</v>
      </c>
      <c r="C63" t="inlineStr"/>
      <c r="D63" t="inlineStr"/>
      <c r="E63" t="n">
        <v>56</v>
      </c>
      <c r="F63">
        <f>HYPERLINK("https://portal.dnb.de/opac.htm?method=simpleSearch&amp;cqlMode=true&amp;query=idn%3D1003621309", "Portal")</f>
        <v/>
      </c>
      <c r="G63" t="inlineStr">
        <is>
          <t>Afl</t>
        </is>
      </c>
      <c r="H63">
        <f>HYPERLINK("https://portal.dnb.de/opac.htm?method=simpleSearch&amp;cqlMode=true&amp;query=idn%3D1003621309", "Portal")</f>
        <v/>
      </c>
      <c r="I63" t="inlineStr">
        <is>
          <t>L-1818-180349376</t>
        </is>
      </c>
      <c r="J63" t="inlineStr">
        <is>
          <t>1003621309</t>
        </is>
      </c>
      <c r="K63" t="inlineStr">
        <is>
          <t>Bö B I 446 - 3</t>
        </is>
      </c>
      <c r="L63" t="inlineStr">
        <is>
          <t>Bö B I 446 - 3</t>
        </is>
      </c>
      <c r="M63" t="inlineStr">
        <is>
          <t>Bö B I 446 - 3</t>
        </is>
      </c>
      <c r="N63" t="inlineStr">
        <is>
          <t>Systematische Anweisung zum Schön- und Geschwindschreiben und zur Prüfung deutscher Hand- und Druckschriften</t>
        </is>
      </c>
      <c r="O63" t="inlineStr">
        <is>
          <t>Teil 3. : Anweisung, die deutsche Sprache nach d. rein hochdt. Mundart richtig auszusprechen u. zu schreiben</t>
        </is>
      </c>
      <c r="P63" t="inlineStr">
        <is>
          <t>Bö B I 446 - 3</t>
        </is>
      </c>
      <c r="Q63" t="inlineStr"/>
      <c r="R63" t="inlineStr"/>
      <c r="S63" t="inlineStr">
        <is>
          <t>Systematische Anweisung zum Schön- und Geschwindschreiben und zur Prüfung deutscher Hand- und Druckschriften</t>
        </is>
      </c>
      <c r="T63" t="inlineStr">
        <is>
          <t>Teil 3. : Anweisung, die deutsche Sprache nach d. rein hochdt. Mundart richtig auszusprechen u. zu schreiben</t>
        </is>
      </c>
      <c r="U63" t="inlineStr">
        <is>
          <t>X</t>
        </is>
      </c>
      <c r="V63" t="inlineStr"/>
      <c r="W63" t="inlineStr">
        <is>
          <t>Halbledereinband</t>
        </is>
      </c>
      <c r="X63" t="inlineStr">
        <is>
          <t>bis 25 cm</t>
        </is>
      </c>
      <c r="Y63" t="inlineStr">
        <is>
          <t>80° bis 110°, einseitig digitalisierbar?</t>
        </is>
      </c>
      <c r="Z63" t="inlineStr">
        <is>
          <t>hohler Rücken</t>
        </is>
      </c>
      <c r="AA63" t="inlineStr"/>
      <c r="AB63" t="inlineStr">
        <is>
          <t>Kassette</t>
        </is>
      </c>
      <c r="AC63" t="inlineStr">
        <is>
          <t>Nein</t>
        </is>
      </c>
      <c r="AD63" t="n">
        <v>0</v>
      </c>
      <c r="AE63" t="inlineStr"/>
      <c r="AF63" t="inlineStr"/>
      <c r="AG63" t="inlineStr"/>
      <c r="AH63" t="inlineStr"/>
      <c r="AI63" t="inlineStr"/>
      <c r="AJ63" t="inlineStr"/>
      <c r="AK63" t="inlineStr"/>
      <c r="AL63" t="inlineStr"/>
      <c r="AM63" t="inlineStr"/>
      <c r="AN63" t="inlineStr">
        <is>
          <t>HL</t>
        </is>
      </c>
      <c r="AO63" t="inlineStr"/>
      <c r="AP63" t="inlineStr"/>
      <c r="AQ63" t="inlineStr">
        <is>
          <t>x</t>
        </is>
      </c>
      <c r="AR63" t="inlineStr">
        <is>
          <t>h/E</t>
        </is>
      </c>
      <c r="AS63" t="inlineStr"/>
      <c r="AT63" t="inlineStr"/>
      <c r="AU63" t="inlineStr"/>
      <c r="AV63" t="inlineStr"/>
      <c r="AW63" t="inlineStr"/>
      <c r="AX63" t="inlineStr">
        <is>
          <t>Pa</t>
        </is>
      </c>
      <c r="AY63" t="inlineStr"/>
      <c r="AZ63" t="inlineStr"/>
      <c r="BA63" t="inlineStr"/>
      <c r="BB63" t="inlineStr"/>
      <c r="BC63" t="inlineStr"/>
      <c r="BD63" t="inlineStr"/>
      <c r="BE63" t="inlineStr"/>
      <c r="BF63" t="inlineStr"/>
      <c r="BG63" t="inlineStr"/>
      <c r="BH63" t="inlineStr"/>
      <c r="BI63" t="inlineStr"/>
      <c r="BJ63" t="inlineStr"/>
      <c r="BK63" t="inlineStr"/>
      <c r="BL63" t="n">
        <v>110</v>
      </c>
      <c r="BM63" t="inlineStr"/>
      <c r="BN63" t="inlineStr"/>
      <c r="BO63" t="inlineStr"/>
      <c r="BP63" t="inlineStr"/>
      <c r="BQ63" t="inlineStr"/>
      <c r="BR63" t="inlineStr">
        <is>
          <t>n</t>
        </is>
      </c>
      <c r="BS63" t="n">
        <v>0</v>
      </c>
      <c r="BT63" t="inlineStr"/>
      <c r="BU63" t="inlineStr">
        <is>
          <t>Wellpappe</t>
        </is>
      </c>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c r="DH63" t="inlineStr"/>
      <c r="DI63" t="inlineStr"/>
      <c r="DJ63" t="inlineStr"/>
      <c r="DK63" t="inlineStr"/>
      <c r="DL63" t="inlineStr"/>
    </row>
    <row r="64">
      <c r="A64" t="inlineStr">
        <is>
          <t>Schreibmeister</t>
        </is>
      </c>
      <c r="B64" t="b">
        <v>1</v>
      </c>
      <c r="C64" t="inlineStr"/>
      <c r="D64" t="inlineStr"/>
      <c r="E64" t="n">
        <v>57</v>
      </c>
      <c r="F64">
        <f>HYPERLINK("https://portal.dnb.de/opac.htm?method=simpleSearch&amp;cqlMode=true&amp;query=idn%3D1003621716", "Portal")</f>
        <v/>
      </c>
      <c r="G64" t="inlineStr">
        <is>
          <t>Afl</t>
        </is>
      </c>
      <c r="H64">
        <f>HYPERLINK("https://portal.dnb.de/opac.htm?method=simpleSearch&amp;cqlMode=true&amp;query=idn%3D1003621716", "Portal")</f>
        <v/>
      </c>
      <c r="I64" t="inlineStr">
        <is>
          <t>L-1817-180349856</t>
        </is>
      </c>
      <c r="J64" t="inlineStr">
        <is>
          <t>1003621716</t>
        </is>
      </c>
      <c r="K64" t="inlineStr">
        <is>
          <t>Bö B I 446 - 3 (angebunden)</t>
        </is>
      </c>
      <c r="L64" t="inlineStr">
        <is>
          <t>Bö B I 446</t>
        </is>
      </c>
      <c r="M64" t="inlineStr">
        <is>
          <t>Bö B I 446 - 3 (angebunden)</t>
        </is>
      </c>
      <c r="N64" t="inlineStr">
        <is>
          <t>Systematische Anweisung zum Schön- und Geschwindschreiben und zur Prüfung deutscher Hand- und Druckschriften</t>
        </is>
      </c>
      <c r="O64" t="inlineStr">
        <is>
          <t xml:space="preserve">Teil 3., Nachtr. [1] : Anweisung, die deutsche Sprache nach d. rein hochdt. Mundart richtig auszusprechen u. zu schreiben, </t>
        </is>
      </c>
      <c r="P64" t="inlineStr">
        <is>
          <t>Bö B I 446 - 3 (angebunden)</t>
        </is>
      </c>
      <c r="Q64" t="inlineStr"/>
      <c r="R64" t="inlineStr"/>
      <c r="S64" t="inlineStr">
        <is>
          <t>Systematische Anweisung zum Schön- und Geschwindschreiben und zur Prüfung deutscher Hand- und Druckschriften</t>
        </is>
      </c>
      <c r="T64" t="inlineStr">
        <is>
          <t xml:space="preserve">Teil 3., Nachtr. [1] : Anweisung, die deutsche Sprache nach d. rein hochdt. Mundart richtig auszusprechen u. zu schreiben, </t>
        </is>
      </c>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n">
        <v>0</v>
      </c>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c r="DH64" t="inlineStr"/>
      <c r="DI64" t="inlineStr"/>
      <c r="DJ64" t="inlineStr"/>
      <c r="DK64" t="inlineStr"/>
      <c r="DL64" t="inlineStr"/>
    </row>
    <row r="65">
      <c r="A65" t="inlineStr">
        <is>
          <t>Schreibmeister</t>
        </is>
      </c>
      <c r="B65" t="b">
        <v>1</v>
      </c>
      <c r="C65" t="inlineStr"/>
      <c r="D65" t="inlineStr"/>
      <c r="E65" t="n">
        <v>58</v>
      </c>
      <c r="F65">
        <f>HYPERLINK("https://portal.dnb.de/opac.htm?method=simpleSearch&amp;cqlMode=true&amp;query=idn%3D1003621880", "Portal")</f>
        <v/>
      </c>
      <c r="G65" t="inlineStr">
        <is>
          <t>Afl</t>
        </is>
      </c>
      <c r="H65">
        <f>HYPERLINK("https://portal.dnb.de/opac.htm?method=simpleSearch&amp;cqlMode=true&amp;query=idn%3D1003621880", "Portal")</f>
        <v/>
      </c>
      <c r="I65" t="inlineStr">
        <is>
          <t>L-1821-180350021</t>
        </is>
      </c>
      <c r="J65" t="inlineStr">
        <is>
          <t>1003621880</t>
        </is>
      </c>
      <c r="K65" t="inlineStr">
        <is>
          <t>Bö B I 446 - 3 (angebunden)</t>
        </is>
      </c>
      <c r="L65" t="inlineStr">
        <is>
          <t>Bö B I 446 - 3 (angebunden)</t>
        </is>
      </c>
      <c r="M65" t="inlineStr">
        <is>
          <t>Bö B I 446 - 3 (angebunden)</t>
        </is>
      </c>
      <c r="N65" t="inlineStr">
        <is>
          <t>Systematische Anweisung zum Schön- und Geschwindschreiben und zur Prüfung deutscher Hand- und Druckschriften</t>
        </is>
      </c>
      <c r="O65" t="inlineStr">
        <is>
          <t>Teil 3., Nachtr. [2] : Anweisung, die deutsche Sprache nach d. rein hochdt. Mundart richtig auszusprechen u. zu schreiben, Fortsetzung des Nachtrages zum dritten Theile des systematisch-kalligraphischen und orthographischen Werkes</t>
        </is>
      </c>
      <c r="P65" t="inlineStr">
        <is>
          <t>Bö B I 446 - 3 (angebunden)</t>
        </is>
      </c>
      <c r="Q65" t="inlineStr"/>
      <c r="R65" t="inlineStr"/>
      <c r="S65" t="inlineStr">
        <is>
          <t>Systematische Anweisung zum Schön- und Geschwindschreiben und zur Prüfung deutscher Hand- und Druckschriften</t>
        </is>
      </c>
      <c r="T65" t="inlineStr">
        <is>
          <t>Teil 3., Nachtr. [2] : Anweisung, die deutsche Sprache nach d. rein hochdt. Mundart richtig auszusprechen u. zu schreiben, Fortsetzung des Nachtrages zum dritten Theile des systematisch-kalligraphischen und orthographischen Werkes</t>
        </is>
      </c>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n">
        <v>0</v>
      </c>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c r="DH65" t="inlineStr"/>
      <c r="DI65" t="inlineStr"/>
      <c r="DJ65" t="inlineStr"/>
      <c r="DK65" t="inlineStr"/>
      <c r="DL65" t="inlineStr"/>
    </row>
    <row r="66">
      <c r="A66" t="inlineStr">
        <is>
          <t>Schreibmeister</t>
        </is>
      </c>
      <c r="B66" t="b">
        <v>1</v>
      </c>
      <c r="C66" t="inlineStr"/>
      <c r="D66" t="inlineStr"/>
      <c r="E66" t="n">
        <v>59</v>
      </c>
      <c r="F66">
        <f>HYPERLINK("https://portal.dnb.de/opac.htm?method=simpleSearch&amp;cqlMode=true&amp;query=idn%3D1000714128", "Portal")</f>
        <v/>
      </c>
      <c r="G66" t="inlineStr">
        <is>
          <t>Aal</t>
        </is>
      </c>
      <c r="H66">
        <f>HYPERLINK("https://portal.dnb.de/opac.htm?method=simpleSearch&amp;cqlMode=true&amp;query=idn%3D1000714128", "Portal")</f>
        <v/>
      </c>
      <c r="I66" t="inlineStr">
        <is>
          <t>L-1741-171054784</t>
        </is>
      </c>
      <c r="J66" t="inlineStr">
        <is>
          <t>1000714128</t>
        </is>
      </c>
      <c r="K66" t="inlineStr">
        <is>
          <t>Bö B I 447/2°</t>
        </is>
      </c>
      <c r="L66" t="inlineStr">
        <is>
          <t>(Großformate)</t>
        </is>
      </c>
      <c r="M66" t="inlineStr">
        <is>
          <t>Bö B I 447/2°</t>
        </is>
      </c>
      <c r="N66" t="inlineStr">
        <is>
          <t>Lʹ @Art d'Écrire|| Nouvellement mis au jour|| : Sur les differens Caractères les plus usitez||</t>
        </is>
      </c>
      <c r="O66" t="inlineStr">
        <is>
          <t xml:space="preserve"> : </t>
        </is>
      </c>
      <c r="P66" t="inlineStr">
        <is>
          <t>Bö B I 447/2°</t>
        </is>
      </c>
      <c r="Q66" t="inlineStr">
        <is>
          <t>800,00 EUR</t>
        </is>
      </c>
      <c r="R66" t="inlineStr"/>
      <c r="S66" t="inlineStr">
        <is>
          <t>Lʹ @Art d'Écrire|| Nouvellement mis au jour|| : Sur les differens Caractères les plus usitez||</t>
        </is>
      </c>
      <c r="T66" t="inlineStr">
        <is>
          <t xml:space="preserve"> : </t>
        </is>
      </c>
      <c r="U66" t="inlineStr">
        <is>
          <t>X</t>
        </is>
      </c>
      <c r="V66" t="inlineStr">
        <is>
          <t>800,00 EUR</t>
        </is>
      </c>
      <c r="W66" t="inlineStr">
        <is>
          <t>Halbgewebeband</t>
        </is>
      </c>
      <c r="X66" t="inlineStr">
        <is>
          <t>&gt; 42 cm</t>
        </is>
      </c>
      <c r="Y66" t="inlineStr">
        <is>
          <t>80° bis 110°, einseitig digitalisierbar?</t>
        </is>
      </c>
      <c r="Z66" t="inlineStr"/>
      <c r="AA66" t="inlineStr"/>
      <c r="AB66" t="inlineStr"/>
      <c r="AC66" t="inlineStr"/>
      <c r="AD66" t="n">
        <v>1</v>
      </c>
      <c r="AE66" t="inlineStr"/>
      <c r="AF66" t="inlineStr"/>
      <c r="AG66" t="inlineStr"/>
      <c r="AH66" t="inlineStr"/>
      <c r="AI66" t="inlineStr"/>
      <c r="AJ66" t="inlineStr"/>
      <c r="AK66" t="inlineStr"/>
      <c r="AL66" t="inlineStr"/>
      <c r="AM66" t="inlineStr"/>
      <c r="AN66" t="inlineStr">
        <is>
          <t>HPg</t>
        </is>
      </c>
      <c r="AO66" t="inlineStr"/>
      <c r="AP66" t="inlineStr"/>
      <c r="AQ66" t="inlineStr"/>
      <c r="AR66" t="inlineStr">
        <is>
          <t>h/E</t>
        </is>
      </c>
      <c r="AS66" t="inlineStr"/>
      <c r="AT66" t="inlineStr"/>
      <c r="AU66" t="inlineStr"/>
      <c r="AV66" t="inlineStr"/>
      <c r="AW66" t="inlineStr"/>
      <c r="AX66" t="inlineStr">
        <is>
          <t>Pa</t>
        </is>
      </c>
      <c r="AY66" t="inlineStr"/>
      <c r="AZ66" t="inlineStr"/>
      <c r="BA66" t="inlineStr"/>
      <c r="BB66" t="inlineStr"/>
      <c r="BC66" t="inlineStr"/>
      <c r="BD66" t="inlineStr"/>
      <c r="BE66" t="inlineStr"/>
      <c r="BF66" t="inlineStr"/>
      <c r="BG66" t="inlineStr">
        <is>
          <t>x</t>
        </is>
      </c>
      <c r="BH66" t="inlineStr"/>
      <c r="BI66" t="inlineStr"/>
      <c r="BJ66" t="inlineStr"/>
      <c r="BK66" t="inlineStr"/>
      <c r="BL66" t="n">
        <v>110</v>
      </c>
      <c r="BM66" t="inlineStr"/>
      <c r="BN66" t="inlineStr"/>
      <c r="BO66" t="inlineStr"/>
      <c r="BP66" t="inlineStr"/>
      <c r="BQ66" t="inlineStr"/>
      <c r="BR66" t="inlineStr">
        <is>
          <t>n</t>
        </is>
      </c>
      <c r="BS66" t="n">
        <v>0</v>
      </c>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c r="DH66" t="inlineStr"/>
      <c r="DI66" t="inlineStr"/>
      <c r="DJ66" t="inlineStr"/>
      <c r="DK66" t="inlineStr"/>
      <c r="DL66" t="inlineStr"/>
    </row>
    <row r="67">
      <c r="A67" t="inlineStr">
        <is>
          <t>Schreibmeister</t>
        </is>
      </c>
      <c r="B67" t="b">
        <v>1</v>
      </c>
      <c r="C67" t="inlineStr"/>
      <c r="D67" t="inlineStr"/>
      <c r="E67" t="n">
        <v>60</v>
      </c>
      <c r="F67">
        <f>HYPERLINK("https://portal.dnb.de/opac.htm?method=simpleSearch&amp;cqlMode=true&amp;query=idn%3D1000778924", "Portal")</f>
        <v/>
      </c>
      <c r="G67" t="inlineStr">
        <is>
          <t>Aal</t>
        </is>
      </c>
      <c r="H67">
        <f>HYPERLINK("https://portal.dnb.de/opac.htm?method=simpleSearch&amp;cqlMode=true&amp;query=idn%3D1000778924", "Portal")</f>
        <v/>
      </c>
      <c r="I67" t="inlineStr">
        <is>
          <t>L-1785-171143485</t>
        </is>
      </c>
      <c r="J67" t="inlineStr">
        <is>
          <t>1000778924</t>
        </is>
      </c>
      <c r="K67" t="inlineStr">
        <is>
          <t>Bö B I 448/2°</t>
        </is>
      </c>
      <c r="L67" t="inlineStr">
        <is>
          <t>(Großformate)</t>
        </is>
      </c>
      <c r="M67" t="inlineStr">
        <is>
          <t>Bö B I 448/2°</t>
        </is>
      </c>
      <c r="N67" t="inlineStr">
        <is>
          <t xml:space="preserve">Démonstrations de lʹArt dʹÉcrire : </t>
        </is>
      </c>
      <c r="O67" t="inlineStr">
        <is>
          <t xml:space="preserve"> : </t>
        </is>
      </c>
      <c r="P67" t="inlineStr">
        <is>
          <t>Bö B I 448/2°</t>
        </is>
      </c>
      <c r="Q67" t="inlineStr"/>
      <c r="R67" t="inlineStr"/>
      <c r="S67" t="inlineStr">
        <is>
          <t xml:space="preserve">Démonstrations de lʹArt dʹÉcrire : </t>
        </is>
      </c>
      <c r="T67" t="inlineStr">
        <is>
          <t xml:space="preserve"> : </t>
        </is>
      </c>
      <c r="U67" t="inlineStr">
        <is>
          <t>X</t>
        </is>
      </c>
      <c r="V67" t="inlineStr"/>
      <c r="W67" t="inlineStr">
        <is>
          <t>Halbledereinband</t>
        </is>
      </c>
      <c r="X67" t="inlineStr">
        <is>
          <t>bis 42 cm</t>
        </is>
      </c>
      <c r="Y67" t="inlineStr">
        <is>
          <t>180°</t>
        </is>
      </c>
      <c r="Z67" t="inlineStr"/>
      <c r="AA67" t="inlineStr"/>
      <c r="AB67" t="inlineStr"/>
      <c r="AC67" t="inlineStr"/>
      <c r="AD67" t="n">
        <v>1</v>
      </c>
      <c r="AE67" t="inlineStr"/>
      <c r="AF67" t="inlineStr"/>
      <c r="AG67" t="inlineStr"/>
      <c r="AH67" t="inlineStr"/>
      <c r="AI67" t="inlineStr"/>
      <c r="AJ67" t="inlineStr"/>
      <c r="AK67" t="inlineStr"/>
      <c r="AL67" t="inlineStr"/>
      <c r="AM67" t="inlineStr"/>
      <c r="AN67" t="inlineStr">
        <is>
          <t>HL</t>
        </is>
      </c>
      <c r="AO67" t="inlineStr"/>
      <c r="AP67" t="inlineStr"/>
      <c r="AQ67" t="inlineStr"/>
      <c r="AR67" t="inlineStr">
        <is>
          <t>h/E</t>
        </is>
      </c>
      <c r="AS67" t="inlineStr"/>
      <c r="AT67" t="inlineStr"/>
      <c r="AU67" t="inlineStr"/>
      <c r="AV67" t="inlineStr"/>
      <c r="AW67" t="inlineStr"/>
      <c r="AX67" t="inlineStr">
        <is>
          <t>Pa</t>
        </is>
      </c>
      <c r="AY67" t="inlineStr"/>
      <c r="AZ67" t="inlineStr"/>
      <c r="BA67" t="inlineStr"/>
      <c r="BB67" t="inlineStr"/>
      <c r="BC67" t="inlineStr"/>
      <c r="BD67" t="inlineStr"/>
      <c r="BE67" t="inlineStr"/>
      <c r="BF67" t="inlineStr"/>
      <c r="BG67" t="inlineStr">
        <is>
          <t>x</t>
        </is>
      </c>
      <c r="BH67" t="inlineStr"/>
      <c r="BI67" t="inlineStr"/>
      <c r="BJ67" t="inlineStr"/>
      <c r="BK67" t="inlineStr"/>
      <c r="BL67" t="n">
        <v>110</v>
      </c>
      <c r="BM67" t="inlineStr"/>
      <c r="BN67" t="inlineStr"/>
      <c r="BO67" t="inlineStr"/>
      <c r="BP67" t="inlineStr"/>
      <c r="BQ67" t="inlineStr"/>
      <c r="BR67" t="inlineStr">
        <is>
          <t>n</t>
        </is>
      </c>
      <c r="BS67" t="n">
        <v>0</v>
      </c>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c r="DH67" t="inlineStr"/>
      <c r="DI67" t="inlineStr"/>
      <c r="DJ67" t="inlineStr"/>
      <c r="DK67" t="inlineStr"/>
      <c r="DL67" t="inlineStr"/>
    </row>
    <row r="68">
      <c r="A68" t="inlineStr">
        <is>
          <t>Schreibmeister</t>
        </is>
      </c>
      <c r="B68" t="b">
        <v>1</v>
      </c>
      <c r="C68" t="inlineStr"/>
      <c r="D68" t="inlineStr"/>
      <c r="E68" t="n">
        <v>61</v>
      </c>
      <c r="F68">
        <f>HYPERLINK("https://portal.dnb.de/opac.htm?method=simpleSearch&amp;cqlMode=true&amp;query=idn%3D999822446", "Portal")</f>
        <v/>
      </c>
      <c r="G68" t="inlineStr">
        <is>
          <t>Aal</t>
        </is>
      </c>
      <c r="H68">
        <f>HYPERLINK("https://portal.dnb.de/opac.htm?method=simpleSearch&amp;cqlMode=true&amp;query=idn%3D999822446", "Portal")</f>
        <v/>
      </c>
      <c r="I68" t="inlineStr">
        <is>
          <t>L-1760-169504352</t>
        </is>
      </c>
      <c r="J68" t="inlineStr">
        <is>
          <t>999822446</t>
        </is>
      </c>
      <c r="K68" t="inlineStr">
        <is>
          <t>Bö B I 449/2°</t>
        </is>
      </c>
      <c r="L68" t="inlineStr">
        <is>
          <t>Bö B I 449/2°</t>
        </is>
      </c>
      <c r="M68" t="inlineStr">
        <is>
          <t>Bö B I 449/2°</t>
        </is>
      </c>
      <c r="N68" t="inlineStr">
        <is>
          <t>Alphabets mineurs: Ronde, Batardes, Coulée : [Schreibvorlage]</t>
        </is>
      </c>
      <c r="O68" t="inlineStr">
        <is>
          <t xml:space="preserve"> : </t>
        </is>
      </c>
      <c r="P68" t="inlineStr">
        <is>
          <t>Bö B I 449/2°</t>
        </is>
      </c>
      <c r="Q68" t="inlineStr"/>
      <c r="R68" t="inlineStr"/>
      <c r="S68" t="inlineStr">
        <is>
          <t>Alphabets mineurs: Ronde, Batardes, Coulée : [Schreibvorlage]</t>
        </is>
      </c>
      <c r="T68" t="inlineStr">
        <is>
          <t xml:space="preserve"> : </t>
        </is>
      </c>
      <c r="U68" t="inlineStr">
        <is>
          <t>X</t>
        </is>
      </c>
      <c r="V68" t="inlineStr"/>
      <c r="W68" t="inlineStr">
        <is>
          <t>Halbgewebeband</t>
        </is>
      </c>
      <c r="X68" t="inlineStr">
        <is>
          <t>bis 42 cm</t>
        </is>
      </c>
      <c r="Y68" t="inlineStr">
        <is>
          <t>180°</t>
        </is>
      </c>
      <c r="Z68" t="inlineStr">
        <is>
          <t>Schrift bis in den Falz</t>
        </is>
      </c>
      <c r="AA68" t="inlineStr"/>
      <c r="AB68" t="inlineStr"/>
      <c r="AC68" t="inlineStr"/>
      <c r="AD68" t="n">
        <v>0</v>
      </c>
      <c r="AE68" t="inlineStr"/>
      <c r="AF68" t="inlineStr"/>
      <c r="AG68" t="inlineStr"/>
      <c r="AH68" t="inlineStr"/>
      <c r="AI68" t="inlineStr"/>
      <c r="AJ68" t="inlineStr"/>
      <c r="AK68" t="inlineStr"/>
      <c r="AL68" t="inlineStr"/>
      <c r="AM68" t="inlineStr"/>
      <c r="AN68" t="inlineStr">
        <is>
          <t>HG</t>
        </is>
      </c>
      <c r="AO68" t="inlineStr"/>
      <c r="AP68" t="inlineStr"/>
      <c r="AQ68" t="inlineStr"/>
      <c r="AR68" t="inlineStr">
        <is>
          <t>h/E</t>
        </is>
      </c>
      <c r="AS68" t="inlineStr"/>
      <c r="AT68" t="inlineStr"/>
      <c r="AU68" t="inlineStr"/>
      <c r="AV68" t="inlineStr"/>
      <c r="AW68" t="inlineStr"/>
      <c r="AX68" t="inlineStr">
        <is>
          <t>Pa</t>
        </is>
      </c>
      <c r="AY68" t="inlineStr"/>
      <c r="AZ68" t="inlineStr"/>
      <c r="BA68" t="inlineStr"/>
      <c r="BB68" t="inlineStr"/>
      <c r="BC68" t="inlineStr"/>
      <c r="BD68" t="inlineStr"/>
      <c r="BE68" t="inlineStr">
        <is>
          <t>x</t>
        </is>
      </c>
      <c r="BF68" t="inlineStr">
        <is>
          <t>B: 26x41
F: 54x41</t>
        </is>
      </c>
      <c r="BG68" t="inlineStr">
        <is>
          <t>x</t>
        </is>
      </c>
      <c r="BH68" t="inlineStr">
        <is>
          <t>K</t>
        </is>
      </c>
      <c r="BI68" t="inlineStr">
        <is>
          <t>x</t>
        </is>
      </c>
      <c r="BJ68" t="inlineStr"/>
      <c r="BK68" t="inlineStr"/>
      <c r="BL68" t="n">
        <v>180</v>
      </c>
      <c r="BM68" t="inlineStr"/>
      <c r="BN68" t="inlineStr"/>
      <c r="BO68" t="inlineStr"/>
      <c r="BP68" t="inlineStr"/>
      <c r="BQ68" t="inlineStr"/>
      <c r="BR68" t="inlineStr">
        <is>
          <t>n</t>
        </is>
      </c>
      <c r="BS68" t="n">
        <v>0</v>
      </c>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c r="DH68" t="inlineStr"/>
      <c r="DI68" t="inlineStr"/>
      <c r="DJ68" t="inlineStr"/>
      <c r="DK68" t="inlineStr"/>
      <c r="DL68" t="inlineStr"/>
    </row>
    <row r="69">
      <c r="A69" t="inlineStr">
        <is>
          <t>Schreibmeister</t>
        </is>
      </c>
      <c r="B69" t="b">
        <v>1</v>
      </c>
      <c r="C69" t="inlineStr"/>
      <c r="D69" t="inlineStr"/>
      <c r="E69" t="n">
        <v>63</v>
      </c>
      <c r="F69">
        <f>HYPERLINK("https://portal.dnb.de/opac.htm?method=simpleSearch&amp;cqlMode=true&amp;query=idn%3D1000784134", "Portal")</f>
        <v/>
      </c>
      <c r="G69" t="inlineStr">
        <is>
          <t>Qd</t>
        </is>
      </c>
      <c r="H69">
        <f>HYPERLINK("https://portal.dnb.de/opac.htm?method=simpleSearch&amp;cqlMode=true&amp;query=idn%3D1000784134", "Portal")</f>
        <v/>
      </c>
      <c r="I69" t="inlineStr">
        <is>
          <t>L-1731-171148738</t>
        </is>
      </c>
      <c r="J69" t="inlineStr">
        <is>
          <t>1000784134</t>
        </is>
      </c>
      <c r="K69" t="inlineStr">
        <is>
          <t>Bö B I 449/2°</t>
        </is>
      </c>
      <c r="L69" t="inlineStr">
        <is>
          <t>Bö B I 449/2°</t>
        </is>
      </c>
      <c r="M69" t="inlineStr">
        <is>
          <t>Bö B I 449/2°</t>
        </is>
      </c>
      <c r="N69" t="inlineStr">
        <is>
          <t>Vorschriften : [Zusammenstellung aus verschiedenen Schreibvorlagenbüchern]</t>
        </is>
      </c>
      <c r="O69" t="inlineStr">
        <is>
          <t xml:space="preserve"> : </t>
        </is>
      </c>
      <c r="P69" t="inlineStr">
        <is>
          <t>Bö B I 449/2°</t>
        </is>
      </c>
      <c r="Q69" t="inlineStr"/>
      <c r="R69" t="inlineStr">
        <is>
          <t>war zusätzlich in der Tabelle von A. Wendler</t>
        </is>
      </c>
      <c r="S69" t="inlineStr">
        <is>
          <t>Vorschriften : [Zusammenstellung aus verschiedenen Schreibvorlagenbüchern]</t>
        </is>
      </c>
      <c r="T69" t="inlineStr">
        <is>
          <t xml:space="preserve"> : </t>
        </is>
      </c>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n">
        <v>0</v>
      </c>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c r="DH69" t="inlineStr"/>
      <c r="DI69" t="inlineStr"/>
      <c r="DJ69" t="inlineStr"/>
      <c r="DK69" t="inlineStr"/>
      <c r="DL69" t="inlineStr"/>
    </row>
    <row r="70">
      <c r="A70" t="inlineStr">
        <is>
          <t>Schreibmeister</t>
        </is>
      </c>
      <c r="B70" t="b">
        <v>1</v>
      </c>
      <c r="C70" t="inlineStr"/>
      <c r="D70" t="inlineStr"/>
      <c r="E70" t="n">
        <v>62</v>
      </c>
      <c r="F70">
        <f>HYPERLINK("https://portal.dnb.de/opac.htm?method=simpleSearch&amp;cqlMode=true&amp;query=idn%3D1001719972", "Portal")</f>
        <v/>
      </c>
      <c r="G70" t="inlineStr">
        <is>
          <t>Aal</t>
        </is>
      </c>
      <c r="H70">
        <f>HYPERLINK("https://portal.dnb.de/opac.htm?method=simpleSearch&amp;cqlMode=true&amp;query=idn%3D1001719972", "Portal")</f>
        <v/>
      </c>
      <c r="I70" t="inlineStr">
        <is>
          <t>L-1760-17544434X</t>
        </is>
      </c>
      <c r="J70" t="inlineStr">
        <is>
          <t>1001719972</t>
        </is>
      </c>
      <c r="K70" t="inlineStr">
        <is>
          <t>Bö B I 449/2°</t>
        </is>
      </c>
      <c r="L70" t="inlineStr">
        <is>
          <t>(Großformate)</t>
        </is>
      </c>
      <c r="M70" t="inlineStr">
        <is>
          <t>Bö B I 449/2°</t>
        </is>
      </c>
      <c r="N70" t="inlineStr">
        <is>
          <t xml:space="preserve">[Schreibvorlagen] : </t>
        </is>
      </c>
      <c r="O70" t="inlineStr">
        <is>
          <t xml:space="preserve"> : </t>
        </is>
      </c>
      <c r="P70" t="inlineStr">
        <is>
          <t>Bö B I 449/2° (angebunden?)</t>
        </is>
      </c>
      <c r="Q70" t="inlineStr"/>
      <c r="R70" t="inlineStr"/>
      <c r="S70" t="inlineStr">
        <is>
          <t xml:space="preserve">[Schreibvorlagen] : </t>
        </is>
      </c>
      <c r="T70" t="inlineStr">
        <is>
          <t xml:space="preserve"> : </t>
        </is>
      </c>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BR70" t="inlineStr"/>
      <c r="BS70" t="n">
        <v>0</v>
      </c>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c r="DH70" t="inlineStr"/>
      <c r="DI70" t="inlineStr"/>
      <c r="DJ70" t="inlineStr"/>
      <c r="DK70" t="inlineStr"/>
      <c r="DL70" t="inlineStr"/>
    </row>
    <row r="71">
      <c r="A71" t="inlineStr">
        <is>
          <t>Schreibmeister</t>
        </is>
      </c>
      <c r="B71" t="b">
        <v>1</v>
      </c>
      <c r="C71" t="inlineStr"/>
      <c r="D71" t="inlineStr"/>
      <c r="E71" t="n">
        <v>64</v>
      </c>
      <c r="F71">
        <f>HYPERLINK("https://portal.dnb.de/opac.htm?method=simpleSearch&amp;cqlMode=true&amp;query=idn%3D1000778169", "Portal")</f>
        <v/>
      </c>
      <c r="G71" t="inlineStr">
        <is>
          <t>Aal</t>
        </is>
      </c>
      <c r="H71">
        <f>HYPERLINK("https://portal.dnb.de/opac.htm?method=simpleSearch&amp;cqlMode=true&amp;query=idn%3D1000778169", "Portal")</f>
        <v/>
      </c>
      <c r="I71" t="inlineStr">
        <is>
          <t>L-1767-171142772</t>
        </is>
      </c>
      <c r="J71" t="inlineStr">
        <is>
          <t>1000778169</t>
        </is>
      </c>
      <c r="K71" t="inlineStr">
        <is>
          <t>Bö B I 450/2°</t>
        </is>
      </c>
      <c r="L71" t="inlineStr">
        <is>
          <t>(Großformate)</t>
        </is>
      </c>
      <c r="M71" t="inlineStr">
        <is>
          <t>Bö B I 450/2°</t>
        </is>
      </c>
      <c r="N71" t="inlineStr">
        <is>
          <t>Le @Grand Art dʹÉcrire Par les meilleurs Maîtres : avec Principes et Démonstrations des diverses Écritures actuelement en usages ; orné de Pieces dʹHi</t>
        </is>
      </c>
      <c r="O71" t="inlineStr">
        <is>
          <t xml:space="preserve"> : </t>
        </is>
      </c>
      <c r="P71" t="inlineStr">
        <is>
          <t>Bö B I 450/2°</t>
        </is>
      </c>
      <c r="Q71" t="inlineStr"/>
      <c r="R71" t="inlineStr"/>
      <c r="S71" t="inlineStr">
        <is>
          <t>Le @Grand Art dʹÉcrire Par les meilleurs Maîtres : avec Principes et Démonstrations des diverses Écritures actuelement en usages ; orné de Pieces dʹHi</t>
        </is>
      </c>
      <c r="T71" t="inlineStr">
        <is>
          <t xml:space="preserve"> : </t>
        </is>
      </c>
      <c r="U71" t="inlineStr"/>
      <c r="V71" t="inlineStr"/>
      <c r="W71" t="inlineStr">
        <is>
          <t>Halbledereinband</t>
        </is>
      </c>
      <c r="X71" t="inlineStr">
        <is>
          <t>&gt; 42 cm</t>
        </is>
      </c>
      <c r="Y71" t="inlineStr">
        <is>
          <t>180°</t>
        </is>
      </c>
      <c r="Z71" t="inlineStr"/>
      <c r="AA71" t="inlineStr"/>
      <c r="AB71" t="inlineStr"/>
      <c r="AC71" t="inlineStr"/>
      <c r="AD71" t="n">
        <v>0</v>
      </c>
      <c r="AE71" t="inlineStr"/>
      <c r="AF71" t="inlineStr"/>
      <c r="AG71" t="inlineStr"/>
      <c r="AH71" t="inlineStr"/>
      <c r="AI71" t="inlineStr"/>
      <c r="AJ71" t="inlineStr">
        <is>
          <t>39x51</t>
        </is>
      </c>
      <c r="AK71" t="inlineStr"/>
      <c r="AL71" t="inlineStr"/>
      <c r="AM71" t="inlineStr"/>
      <c r="AN71" t="inlineStr">
        <is>
          <t>HL</t>
        </is>
      </c>
      <c r="AO71" t="inlineStr"/>
      <c r="AP71" t="inlineStr"/>
      <c r="AQ71" t="inlineStr"/>
      <c r="AR71" t="inlineStr">
        <is>
          <t>h/E</t>
        </is>
      </c>
      <c r="AS71" t="inlineStr"/>
      <c r="AT71" t="inlineStr"/>
      <c r="AU71" t="inlineStr"/>
      <c r="AV71" t="inlineStr"/>
      <c r="AW71" t="inlineStr"/>
      <c r="AX71" t="inlineStr">
        <is>
          <t>Pa</t>
        </is>
      </c>
      <c r="AY71" t="inlineStr"/>
      <c r="AZ71" t="inlineStr"/>
      <c r="BA71" t="inlineStr"/>
      <c r="BB71" t="inlineStr"/>
      <c r="BC71" t="inlineStr"/>
      <c r="BD71" t="inlineStr"/>
      <c r="BE71" t="inlineStr"/>
      <c r="BF71" t="inlineStr"/>
      <c r="BG71" t="inlineStr">
        <is>
          <t>x</t>
        </is>
      </c>
      <c r="BH71" t="inlineStr"/>
      <c r="BI71" t="inlineStr"/>
      <c r="BJ71" t="inlineStr"/>
      <c r="BK71" t="inlineStr"/>
      <c r="BL71" t="n">
        <v>110</v>
      </c>
      <c r="BM71" t="inlineStr"/>
      <c r="BN71" t="inlineStr"/>
      <c r="BO71" t="inlineStr"/>
      <c r="BP71" t="inlineStr"/>
      <c r="BQ71" t="inlineStr"/>
      <c r="BR71" t="inlineStr">
        <is>
          <t>n</t>
        </is>
      </c>
      <c r="BS71" t="n">
        <v>0</v>
      </c>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c r="DH71" t="inlineStr"/>
      <c r="DI71" t="inlineStr"/>
      <c r="DJ71" t="inlineStr"/>
      <c r="DK71" t="inlineStr"/>
      <c r="DL71" t="inlineStr"/>
    </row>
    <row r="72">
      <c r="A72" t="inlineStr">
        <is>
          <t>Schreibmeister</t>
        </is>
      </c>
      <c r="B72" t="b">
        <v>1</v>
      </c>
      <c r="C72" t="inlineStr"/>
      <c r="D72" t="inlineStr"/>
      <c r="E72" t="n">
        <v>65</v>
      </c>
      <c r="F72">
        <f>HYPERLINK("https://portal.dnb.de/opac.htm?method=simpleSearch&amp;cqlMode=true&amp;query=idn%3D100087186X", "Portal")</f>
        <v/>
      </c>
      <c r="G72" t="inlineStr">
        <is>
          <t>Aal</t>
        </is>
      </c>
      <c r="H72">
        <f>HYPERLINK("https://portal.dnb.de/opac.htm?method=simpleSearch&amp;cqlMode=true&amp;query=idn%3D100087186X", "Portal")</f>
        <v/>
      </c>
      <c r="I72" t="inlineStr">
        <is>
          <t>L-1789-171306473</t>
        </is>
      </c>
      <c r="J72" t="inlineStr">
        <is>
          <t>100087186X</t>
        </is>
      </c>
      <c r="K72" t="inlineStr">
        <is>
          <t>Bö B I 451/2°</t>
        </is>
      </c>
      <c r="L72" t="inlineStr">
        <is>
          <t>(Großformate)</t>
        </is>
      </c>
      <c r="M72" t="inlineStr">
        <is>
          <t>Bö B I 451/2°</t>
        </is>
      </c>
      <c r="N72" t="inlineStr">
        <is>
          <t xml:space="preserve">[Lʹ @Écriture démontrée : </t>
        </is>
      </c>
      <c r="O72" t="inlineStr">
        <is>
          <t xml:space="preserve"> : </t>
        </is>
      </c>
      <c r="P72" t="inlineStr">
        <is>
          <t>Bö B I 451/2°</t>
        </is>
      </c>
      <c r="Q72" t="inlineStr"/>
      <c r="R72" t="inlineStr"/>
      <c r="S72" t="inlineStr">
        <is>
          <t xml:space="preserve">[Lʹ @Écriture démontrée : </t>
        </is>
      </c>
      <c r="T72" t="inlineStr">
        <is>
          <t xml:space="preserve"> : </t>
        </is>
      </c>
      <c r="U72" t="inlineStr">
        <is>
          <t>X</t>
        </is>
      </c>
      <c r="V72" t="inlineStr"/>
      <c r="W72" t="inlineStr">
        <is>
          <t>Halbgewebeband</t>
        </is>
      </c>
      <c r="X72" t="inlineStr">
        <is>
          <t>bis 42 cm</t>
        </is>
      </c>
      <c r="Y72" t="inlineStr">
        <is>
          <t>80° bis 110°, einseitig digitalisierbar?</t>
        </is>
      </c>
      <c r="Z72" t="inlineStr"/>
      <c r="AA72" t="inlineStr"/>
      <c r="AB72" t="inlineStr"/>
      <c r="AC72" t="inlineStr"/>
      <c r="AD72" t="n">
        <v>0</v>
      </c>
      <c r="AE72" t="inlineStr"/>
      <c r="AF72" t="inlineStr"/>
      <c r="AG72" t="inlineStr"/>
      <c r="AH72" t="inlineStr"/>
      <c r="AI72" t="inlineStr"/>
      <c r="AJ72" t="inlineStr"/>
      <c r="AK72" t="inlineStr"/>
      <c r="AL72" t="inlineStr"/>
      <c r="AM72" t="inlineStr"/>
      <c r="AN72" t="inlineStr">
        <is>
          <t>HPg</t>
        </is>
      </c>
      <c r="AO72" t="inlineStr"/>
      <c r="AP72" t="inlineStr"/>
      <c r="AQ72" t="inlineStr"/>
      <c r="AR72" t="inlineStr">
        <is>
          <t>h/E</t>
        </is>
      </c>
      <c r="AS72" t="inlineStr"/>
      <c r="AT72" t="inlineStr"/>
      <c r="AU72" t="inlineStr"/>
      <c r="AV72" t="inlineStr"/>
      <c r="AW72" t="inlineStr"/>
      <c r="AX72" t="inlineStr">
        <is>
          <t>Pa</t>
        </is>
      </c>
      <c r="AY72" t="inlineStr"/>
      <c r="AZ72" t="inlineStr"/>
      <c r="BA72" t="inlineStr"/>
      <c r="BB72" t="inlineStr"/>
      <c r="BC72" t="inlineStr"/>
      <c r="BD72" t="inlineStr"/>
      <c r="BE72" t="inlineStr"/>
      <c r="BF72" t="inlineStr"/>
      <c r="BG72" t="inlineStr">
        <is>
          <t>x</t>
        </is>
      </c>
      <c r="BH72" t="inlineStr"/>
      <c r="BI72" t="inlineStr"/>
      <c r="BJ72" t="inlineStr"/>
      <c r="BK72" t="inlineStr"/>
      <c r="BL72" t="n">
        <v>110</v>
      </c>
      <c r="BM72" t="inlineStr"/>
      <c r="BN72" t="inlineStr"/>
      <c r="BO72" t="inlineStr"/>
      <c r="BP72" t="inlineStr"/>
      <c r="BQ72" t="inlineStr"/>
      <c r="BR72" t="inlineStr">
        <is>
          <t>n</t>
        </is>
      </c>
      <c r="BS72" t="n">
        <v>0</v>
      </c>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c r="DH72" t="inlineStr"/>
      <c r="DI72" t="inlineStr"/>
      <c r="DJ72" t="inlineStr"/>
      <c r="DK72" t="inlineStr"/>
      <c r="DL72" t="inlineStr"/>
    </row>
    <row r="73">
      <c r="A73" t="inlineStr">
        <is>
          <t>Schreibmeister</t>
        </is>
      </c>
      <c r="B73" t="b">
        <v>1</v>
      </c>
      <c r="C73" t="inlineStr"/>
      <c r="D73" t="inlineStr"/>
      <c r="E73" t="inlineStr"/>
      <c r="F73">
        <f>HYPERLINK("https://portal.dnb.de/opac.htm?method=simpleSearch&amp;cqlMode=true&amp;query=idn%3D1000872114", "Portal")</f>
        <v/>
      </c>
      <c r="G73" t="inlineStr">
        <is>
          <t>Aal</t>
        </is>
      </c>
      <c r="H73">
        <f>HYPERLINK("https://portal.dnb.de/opac.htm?method=simpleSearch&amp;cqlMode=true&amp;query=idn%3D1000872114", "Portal")</f>
        <v/>
      </c>
      <c r="I73" t="inlineStr">
        <is>
          <t>L-9999-171306759</t>
        </is>
      </c>
      <c r="J73" t="inlineStr">
        <is>
          <t>1000872114</t>
        </is>
      </c>
      <c r="K73" t="inlineStr">
        <is>
          <t>Bö B I 452/2°</t>
        </is>
      </c>
      <c r="L73" t="inlineStr">
        <is>
          <t>(Großformate)</t>
        </is>
      </c>
      <c r="M73" t="inlineStr">
        <is>
          <t>Bö B I 452/2°</t>
        </is>
      </c>
      <c r="N73" t="inlineStr">
        <is>
          <t xml:space="preserve">New Set of Round Text Copies, carefully Designed and Written : </t>
        </is>
      </c>
      <c r="O73" t="inlineStr">
        <is>
          <t xml:space="preserve"> : </t>
        </is>
      </c>
      <c r="P73" t="inlineStr">
        <is>
          <t>Bö B I 452/2°</t>
        </is>
      </c>
      <c r="Q73" t="inlineStr"/>
      <c r="R73" t="inlineStr"/>
      <c r="S73" t="inlineStr">
        <is>
          <t xml:space="preserve">New Set of Round Text Copies, carefully Designed and Written : </t>
        </is>
      </c>
      <c r="T73" t="inlineStr">
        <is>
          <t xml:space="preserve"> : </t>
        </is>
      </c>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c r="DH73" t="inlineStr"/>
      <c r="DI73" t="inlineStr"/>
      <c r="DJ73" t="inlineStr"/>
      <c r="DK73" t="inlineStr"/>
      <c r="DL73" t="inlineStr"/>
    </row>
    <row r="74">
      <c r="A74" t="inlineStr">
        <is>
          <t>Schreibmeister</t>
        </is>
      </c>
      <c r="B74" t="b">
        <v>1</v>
      </c>
      <c r="C74" t="inlineStr"/>
      <c r="D74" t="inlineStr"/>
      <c r="E74" t="n">
        <v>67</v>
      </c>
      <c r="F74">
        <f>HYPERLINK("https://portal.dnb.de/opac.htm?method=simpleSearch&amp;cqlMode=true&amp;query=idn%3D1000942589", "Portal")</f>
        <v/>
      </c>
      <c r="G74" t="inlineStr">
        <is>
          <t>Aal</t>
        </is>
      </c>
      <c r="H74">
        <f>HYPERLINK("https://portal.dnb.de/opac.htm?method=simpleSearch&amp;cqlMode=true&amp;query=idn%3D1000942589", "Portal")</f>
        <v/>
      </c>
      <c r="I74" t="inlineStr">
        <is>
          <t>L-1644-171709489</t>
        </is>
      </c>
      <c r="J74" t="inlineStr">
        <is>
          <t>1000942589</t>
        </is>
      </c>
      <c r="K74" t="inlineStr">
        <is>
          <t>Bö B I 455</t>
        </is>
      </c>
      <c r="L74" t="inlineStr">
        <is>
          <t>Bö B I 455</t>
        </is>
      </c>
      <c r="M74" t="inlineStr">
        <is>
          <t>Bö B I 455</t>
        </is>
      </c>
      <c r="N74" t="inlineStr">
        <is>
          <t xml:space="preserve">Fiori di letere Cancellaresche Moderne : </t>
        </is>
      </c>
      <c r="O74" t="inlineStr">
        <is>
          <t xml:space="preserve"> : </t>
        </is>
      </c>
      <c r="P74" t="inlineStr">
        <is>
          <t>Bö B I 455</t>
        </is>
      </c>
      <c r="Q74" t="inlineStr"/>
      <c r="R74" t="inlineStr"/>
      <c r="S74" t="inlineStr">
        <is>
          <t xml:space="preserve">Fiori di letere Cancellaresche Moderne : </t>
        </is>
      </c>
      <c r="T74" t="inlineStr">
        <is>
          <t xml:space="preserve"> : </t>
        </is>
      </c>
      <c r="U74" t="inlineStr">
        <is>
          <t>X</t>
        </is>
      </c>
      <c r="V74" t="inlineStr"/>
      <c r="W74" t="inlineStr">
        <is>
          <t>Pergamentband</t>
        </is>
      </c>
      <c r="X74" t="inlineStr">
        <is>
          <t>bis 25 cm</t>
        </is>
      </c>
      <c r="Y74" t="inlineStr">
        <is>
          <t>180°</t>
        </is>
      </c>
      <c r="Z74" t="inlineStr">
        <is>
          <t>hohler Rücken</t>
        </is>
      </c>
      <c r="AA74" t="inlineStr"/>
      <c r="AB74" t="inlineStr">
        <is>
          <t>Archivkarton</t>
        </is>
      </c>
      <c r="AC74" t="inlineStr">
        <is>
          <t>Nein</t>
        </is>
      </c>
      <c r="AD74" t="n">
        <v>0</v>
      </c>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BR74" t="inlineStr"/>
      <c r="BS74" t="n">
        <v>0</v>
      </c>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c r="DH74" t="inlineStr"/>
      <c r="DI74" t="inlineStr"/>
      <c r="DJ74" t="inlineStr"/>
      <c r="DK74" t="inlineStr"/>
      <c r="DL74" t="inlineStr"/>
    </row>
    <row r="75">
      <c r="A75" t="inlineStr">
        <is>
          <t>Schreibmeister</t>
        </is>
      </c>
      <c r="B75" t="b">
        <v>1</v>
      </c>
      <c r="C75" t="inlineStr"/>
      <c r="D75" t="inlineStr"/>
      <c r="E75" t="inlineStr"/>
      <c r="F75">
        <f>HYPERLINK("https://portal.dnb.de/opac.htm?method=simpleSearch&amp;cqlMode=true&amp;query=idn%3D1000999831", "Portal")</f>
        <v/>
      </c>
      <c r="G75" t="inlineStr">
        <is>
          <t>Aal</t>
        </is>
      </c>
      <c r="H75">
        <f>HYPERLINK("https://portal.dnb.de/opac.htm?method=simpleSearch&amp;cqlMode=true&amp;query=idn%3D1000999831", "Portal")</f>
        <v/>
      </c>
      <c r="I75" t="inlineStr">
        <is>
          <t>L-1801-171820045</t>
        </is>
      </c>
      <c r="J75" t="inlineStr">
        <is>
          <t>1000999831</t>
        </is>
      </c>
      <c r="K75" t="inlineStr">
        <is>
          <t>Bö B I 457/2°</t>
        </is>
      </c>
      <c r="L75" t="inlineStr">
        <is>
          <t>Bö B I 457/2°</t>
        </is>
      </c>
      <c r="M75" t="inlineStr">
        <is>
          <t>Bö B I 457/2°</t>
        </is>
      </c>
      <c r="N75" t="inlineStr">
        <is>
          <t xml:space="preserve">Lʹ @Art dʹécrire : </t>
        </is>
      </c>
      <c r="O75" t="inlineStr">
        <is>
          <t xml:space="preserve"> : </t>
        </is>
      </c>
      <c r="P75" t="inlineStr">
        <is>
          <t>Bö B I 457/2°</t>
        </is>
      </c>
      <c r="Q75" t="inlineStr"/>
      <c r="R75" t="inlineStr"/>
      <c r="S75" t="inlineStr">
        <is>
          <t xml:space="preserve">Lʹ @Art dʹécrire : </t>
        </is>
      </c>
      <c r="T75" t="inlineStr">
        <is>
          <t xml:space="preserve"> : </t>
        </is>
      </c>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c r="DH75" t="inlineStr"/>
      <c r="DI75" t="inlineStr"/>
      <c r="DJ75" t="inlineStr"/>
      <c r="DK75" t="inlineStr"/>
      <c r="DL75" t="inlineStr"/>
    </row>
    <row r="76">
      <c r="A76" t="inlineStr">
        <is>
          <t>Schreibmeister</t>
        </is>
      </c>
      <c r="B76" t="b">
        <v>1</v>
      </c>
      <c r="C76" t="inlineStr"/>
      <c r="D76" t="inlineStr"/>
      <c r="E76" t="n">
        <v>69</v>
      </c>
      <c r="F76">
        <f>HYPERLINK("https://portal.dnb.de/opac.htm?method=simpleSearch&amp;cqlMode=true&amp;query=idn%3D1001315340", "Portal")</f>
        <v/>
      </c>
      <c r="G76" t="inlineStr">
        <is>
          <t>Aal</t>
        </is>
      </c>
      <c r="H76">
        <f>HYPERLINK("https://portal.dnb.de/opac.htm?method=simpleSearch&amp;cqlMode=true&amp;query=idn%3D1001315340", "Portal")</f>
        <v/>
      </c>
      <c r="I76" t="inlineStr">
        <is>
          <t>L-9999-174157363</t>
        </is>
      </c>
      <c r="J76" t="inlineStr">
        <is>
          <t>1001315340</t>
        </is>
      </c>
      <c r="K76" t="inlineStr">
        <is>
          <t>Bö B I 461</t>
        </is>
      </c>
      <c r="L76" t="inlineStr">
        <is>
          <t>Bö B I 461</t>
        </is>
      </c>
      <c r="M76" t="inlineStr">
        <is>
          <t>Bö B I 461</t>
        </is>
      </c>
      <c r="N76" t="inlineStr">
        <is>
          <t>[Kalligraphische Schreibvorlagen : Niederlande 17. Jahrhundert]</t>
        </is>
      </c>
      <c r="O76" t="inlineStr">
        <is>
          <t xml:space="preserve"> : </t>
        </is>
      </c>
      <c r="P76" t="inlineStr">
        <is>
          <t>Bö B I 461</t>
        </is>
      </c>
      <c r="Q76" t="inlineStr"/>
      <c r="R76" t="inlineStr"/>
      <c r="S76" t="inlineStr">
        <is>
          <t>[Kalligraphische Schreibvorlagen : Niederlande 17. Jahrhundert]</t>
        </is>
      </c>
      <c r="T76" t="inlineStr">
        <is>
          <t xml:space="preserve"> : </t>
        </is>
      </c>
      <c r="U76" t="inlineStr"/>
      <c r="V76" t="inlineStr"/>
      <c r="W76" t="inlineStr"/>
      <c r="X76" t="inlineStr">
        <is>
          <t>bis 25 cm</t>
        </is>
      </c>
      <c r="Y76" t="inlineStr"/>
      <c r="Z76" t="inlineStr"/>
      <c r="AA76" t="inlineStr"/>
      <c r="AB76" t="inlineStr"/>
      <c r="AC76" t="inlineStr"/>
      <c r="AD76" t="inlineStr"/>
      <c r="AE76" t="inlineStr"/>
      <c r="AF76" t="inlineStr"/>
      <c r="AG76" t="inlineStr"/>
      <c r="AH76" t="inlineStr"/>
      <c r="AI76" t="inlineStr"/>
      <c r="AJ76" t="inlineStr"/>
      <c r="AK76" t="inlineStr">
        <is>
          <t>QF (22x17)</t>
        </is>
      </c>
      <c r="AL76" t="inlineStr"/>
      <c r="AM76" t="inlineStr"/>
      <c r="AN76" t="inlineStr">
        <is>
          <t>Br</t>
        </is>
      </c>
      <c r="AO76" t="inlineStr"/>
      <c r="AP76" t="inlineStr"/>
      <c r="AQ76" t="inlineStr"/>
      <c r="AR76" t="inlineStr">
        <is>
          <t>f</t>
        </is>
      </c>
      <c r="AS76" t="inlineStr"/>
      <c r="AT76" t="inlineStr"/>
      <c r="AU76" t="inlineStr"/>
      <c r="AV76" t="inlineStr"/>
      <c r="AW76" t="inlineStr"/>
      <c r="AX76" t="inlineStr">
        <is>
          <t>Pa</t>
        </is>
      </c>
      <c r="AY76" t="inlineStr"/>
      <c r="AZ76" t="inlineStr"/>
      <c r="BA76" t="inlineStr">
        <is>
          <t>x</t>
        </is>
      </c>
      <c r="BB76" t="inlineStr"/>
      <c r="BC76" t="inlineStr"/>
      <c r="BD76" t="inlineStr"/>
      <c r="BE76" t="inlineStr"/>
      <c r="BF76" t="inlineStr"/>
      <c r="BG76" t="inlineStr">
        <is>
          <t>x</t>
        </is>
      </c>
      <c r="BH76" t="inlineStr"/>
      <c r="BI76" t="inlineStr">
        <is>
          <t>x</t>
        </is>
      </c>
      <c r="BJ76" t="inlineStr"/>
      <c r="BK76" t="inlineStr"/>
      <c r="BL76" t="n">
        <v>110</v>
      </c>
      <c r="BM76" t="inlineStr"/>
      <c r="BN76" t="inlineStr"/>
      <c r="BO76" t="inlineStr"/>
      <c r="BP76" t="inlineStr"/>
      <c r="BQ76" t="inlineStr"/>
      <c r="BR76" t="inlineStr">
        <is>
          <t>n</t>
        </is>
      </c>
      <c r="BS76" t="n">
        <v>0</v>
      </c>
      <c r="BT76" t="inlineStr"/>
      <c r="BU76" t="inlineStr"/>
      <c r="BV76" t="inlineStr"/>
      <c r="BW76" t="inlineStr"/>
      <c r="BX76" t="inlineStr">
        <is>
          <t>x</t>
        </is>
      </c>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c r="DH76" t="inlineStr"/>
      <c r="DI76" t="inlineStr"/>
      <c r="DJ76" t="inlineStr"/>
      <c r="DK76" t="inlineStr"/>
      <c r="DL76" t="inlineStr"/>
    </row>
    <row r="77">
      <c r="A77" t="inlineStr">
        <is>
          <t>Schreibmeister</t>
        </is>
      </c>
      <c r="B77" t="b">
        <v>1</v>
      </c>
      <c r="C77" t="inlineStr">
        <is>
          <t>x</t>
        </is>
      </c>
      <c r="D77" t="inlineStr"/>
      <c r="E77" t="n">
        <v>70</v>
      </c>
      <c r="F77">
        <f>HYPERLINK("https://portal.dnb.de/opac.htm?method=simpleSearch&amp;cqlMode=true&amp;query=idn%3D1001471156", "Portal")</f>
        <v/>
      </c>
      <c r="G77" t="inlineStr">
        <is>
          <t>Aal</t>
        </is>
      </c>
      <c r="H77">
        <f>HYPERLINK("https://portal.dnb.de/opac.htm?method=simpleSearch&amp;cqlMode=true&amp;query=idn%3D1001471156", "Portal")</f>
        <v/>
      </c>
      <c r="I77" t="inlineStr">
        <is>
          <t>L-1756-17495347X</t>
        </is>
      </c>
      <c r="J77" t="inlineStr">
        <is>
          <t>1001471156</t>
        </is>
      </c>
      <c r="K77" t="inlineStr">
        <is>
          <t>Bö B I 462/2°</t>
        </is>
      </c>
      <c r="L77" t="inlineStr">
        <is>
          <t>Bö B I 462/2°</t>
        </is>
      </c>
      <c r="M77" t="inlineStr">
        <is>
          <t>Bö B I 462/2°</t>
        </is>
      </c>
      <c r="N77" t="inlineStr">
        <is>
          <t>Joannis Georgii|| Schwandneri|| Austriaci Stadelkirchensis|| Dissertatio|| Epistolaris|| De|| Calligraphiae|| Nomenclatione,|| Cultu,|| Praestantia,||</t>
        </is>
      </c>
      <c r="O77" t="inlineStr">
        <is>
          <t xml:space="preserve"> : </t>
        </is>
      </c>
      <c r="P77" t="inlineStr">
        <is>
          <t>Bö B I 462/2°</t>
        </is>
      </c>
      <c r="Q77" t="inlineStr">
        <is>
          <t>3500,00 EUR</t>
        </is>
      </c>
      <c r="R77" t="inlineStr"/>
      <c r="S77" t="inlineStr">
        <is>
          <t>Joannis Georgii|| Schwandneri|| Austriaci Stadelkirchensis|| Dissertatio|| Epistolaris|| De|| Calligraphiae|| Nomenclatione,|| Cultu,|| Praestantia,||</t>
        </is>
      </c>
      <c r="T77" t="inlineStr">
        <is>
          <t xml:space="preserve"> : </t>
        </is>
      </c>
      <c r="U77" t="inlineStr">
        <is>
          <t>X</t>
        </is>
      </c>
      <c r="V77" t="inlineStr">
        <is>
          <t>3500,00 EUR</t>
        </is>
      </c>
      <c r="W77" t="inlineStr">
        <is>
          <t>Ledereinband</t>
        </is>
      </c>
      <c r="X77" t="inlineStr">
        <is>
          <t>&gt; 42 cm</t>
        </is>
      </c>
      <c r="Y77" t="inlineStr">
        <is>
          <t>80° bis 110°, einseitig digitalisierbar?</t>
        </is>
      </c>
      <c r="Z77" t="inlineStr">
        <is>
          <t>fester Rücken mit Schmuckprägung</t>
        </is>
      </c>
      <c r="AA77" t="inlineStr"/>
      <c r="AB77" t="inlineStr">
        <is>
          <t xml:space="preserve">Papierumschlag </t>
        </is>
      </c>
      <c r="AC77" t="inlineStr">
        <is>
          <t>Ja</t>
        </is>
      </c>
      <c r="AD77" t="n">
        <v>1</v>
      </c>
      <c r="AE77" t="inlineStr"/>
      <c r="AF77" t="inlineStr"/>
      <c r="AG77" t="inlineStr"/>
      <c r="AH77" t="inlineStr"/>
      <c r="AI77" t="inlineStr"/>
      <c r="AJ77" t="inlineStr"/>
      <c r="AK77" t="inlineStr"/>
      <c r="AL77" t="inlineStr"/>
      <c r="AM77" t="inlineStr"/>
      <c r="AN77" t="inlineStr">
        <is>
          <t>L</t>
        </is>
      </c>
      <c r="AO77" t="inlineStr"/>
      <c r="AP77" t="inlineStr"/>
      <c r="AQ77" t="inlineStr"/>
      <c r="AR77" t="inlineStr">
        <is>
          <t>f</t>
        </is>
      </c>
      <c r="AS77" t="inlineStr"/>
      <c r="AT77" t="inlineStr"/>
      <c r="AU77" t="inlineStr"/>
      <c r="AV77" t="inlineStr"/>
      <c r="AW77" t="inlineStr"/>
      <c r="AX77" t="inlineStr">
        <is>
          <t>Pa</t>
        </is>
      </c>
      <c r="AY77" t="inlineStr"/>
      <c r="AZ77" t="inlineStr"/>
      <c r="BA77" t="inlineStr"/>
      <c r="BB77" t="inlineStr"/>
      <c r="BC77" t="inlineStr"/>
      <c r="BD77" t="inlineStr"/>
      <c r="BE77" t="inlineStr">
        <is>
          <t>x</t>
        </is>
      </c>
      <c r="BF77" t="inlineStr">
        <is>
          <t>B: 33x46
F: 48x61</t>
        </is>
      </c>
      <c r="BG77" t="inlineStr">
        <is>
          <t>x</t>
        </is>
      </c>
      <c r="BH77" t="inlineStr"/>
      <c r="BI77" t="inlineStr"/>
      <c r="BJ77" t="inlineStr"/>
      <c r="BK77" t="inlineStr"/>
      <c r="BL77" t="n">
        <v>110</v>
      </c>
      <c r="BM77" t="inlineStr"/>
      <c r="BN77" t="inlineStr"/>
      <c r="BO77" t="inlineStr"/>
      <c r="BP77" t="inlineStr"/>
      <c r="BQ77" t="inlineStr"/>
      <c r="BR77" t="inlineStr">
        <is>
          <t>ja vor</t>
        </is>
      </c>
      <c r="BS77" t="n">
        <v>1.5</v>
      </c>
      <c r="BT77" t="inlineStr"/>
      <c r="BU77" t="inlineStr"/>
      <c r="BV77" t="inlineStr"/>
      <c r="BW77" t="inlineStr"/>
      <c r="BX77" t="inlineStr"/>
      <c r="BY77" t="inlineStr">
        <is>
          <t>x sauer</t>
        </is>
      </c>
      <c r="BZ77" t="inlineStr">
        <is>
          <t>x</t>
        </is>
      </c>
      <c r="CA77" t="inlineStr"/>
      <c r="CB77" t="inlineStr"/>
      <c r="CC77" t="inlineStr"/>
      <c r="CD77" t="inlineStr"/>
      <c r="CE77" t="inlineStr"/>
      <c r="CF77" t="inlineStr">
        <is>
          <t>x</t>
        </is>
      </c>
      <c r="CG77" t="inlineStr">
        <is>
          <t>x</t>
        </is>
      </c>
      <c r="CH77" t="inlineStr"/>
      <c r="CI77" t="inlineStr"/>
      <c r="CJ77" t="inlineStr"/>
      <c r="CK77" t="inlineStr"/>
      <c r="CL77" t="inlineStr"/>
      <c r="CM77" t="inlineStr"/>
      <c r="CN77" t="inlineStr"/>
      <c r="CO77" t="inlineStr"/>
      <c r="CP77" t="inlineStr"/>
      <c r="CQ77" t="inlineStr">
        <is>
          <t>u</t>
        </is>
      </c>
      <c r="CR77" t="n">
        <v>1.5</v>
      </c>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c r="DH77" t="inlineStr"/>
      <c r="DI77" t="inlineStr"/>
      <c r="DJ77" t="inlineStr"/>
      <c r="DK77" t="inlineStr"/>
      <c r="DL77" t="inlineStr"/>
    </row>
    <row r="78">
      <c r="A78" t="inlineStr">
        <is>
          <t>Schreibmeister</t>
        </is>
      </c>
      <c r="B78" t="b">
        <v>1</v>
      </c>
      <c r="C78" t="inlineStr"/>
      <c r="D78" t="inlineStr"/>
      <c r="E78" t="n">
        <v>71</v>
      </c>
      <c r="F78">
        <f>HYPERLINK("https://portal.dnb.de/opac.htm?method=simpleSearch&amp;cqlMode=true&amp;query=idn%3D100152344X", "Portal")</f>
        <v/>
      </c>
      <c r="G78" t="inlineStr">
        <is>
          <t>Aal</t>
        </is>
      </c>
      <c r="H78">
        <f>HYPERLINK("https://portal.dnb.de/opac.htm?method=simpleSearch&amp;cqlMode=true&amp;query=idn%3D100152344X", "Portal")</f>
        <v/>
      </c>
      <c r="I78" t="inlineStr">
        <is>
          <t>L-1669-175049025</t>
        </is>
      </c>
      <c r="J78" t="inlineStr">
        <is>
          <t>100152344X</t>
        </is>
      </c>
      <c r="K78" t="inlineStr">
        <is>
          <t>Bö B I 469/2°</t>
        </is>
      </c>
      <c r="L78" t="inlineStr">
        <is>
          <t>(Großformate)</t>
        </is>
      </c>
      <c r="M78" t="inlineStr">
        <is>
          <t>Bö B I 469/2°</t>
        </is>
      </c>
      <c r="N78" t="inlineStr">
        <is>
          <t>Les @rares Escritvres Financieres et Italiennes bastardes Novvellement A La Mode ; avec vn Abrege Contenant des instructions tres facilles pour appren</t>
        </is>
      </c>
      <c r="O78" t="inlineStr">
        <is>
          <t xml:space="preserve"> : </t>
        </is>
      </c>
      <c r="P78" t="inlineStr">
        <is>
          <t>Bö B I 469/2°</t>
        </is>
      </c>
      <c r="Q78" t="inlineStr"/>
      <c r="R78" t="inlineStr"/>
      <c r="S78" t="inlineStr">
        <is>
          <t>Les @rares Escritvres Financieres et Italiennes bastardes Novvellement A La Mode ; avec vn Abrege Contenant des instructions tres facilles pour appren</t>
        </is>
      </c>
      <c r="T78" t="inlineStr">
        <is>
          <t xml:space="preserve"> : </t>
        </is>
      </c>
      <c r="U78" t="inlineStr">
        <is>
          <t>X</t>
        </is>
      </c>
      <c r="V78" t="inlineStr"/>
      <c r="W78" t="inlineStr">
        <is>
          <t>Halbpergamentband</t>
        </is>
      </c>
      <c r="X78" t="inlineStr">
        <is>
          <t>bis 42 cm</t>
        </is>
      </c>
      <c r="Y78" t="inlineStr">
        <is>
          <t>80° bis 110°, einseitig digitalisierbar?</t>
        </is>
      </c>
      <c r="Z78" t="inlineStr"/>
      <c r="AA78" t="inlineStr"/>
      <c r="AB78" t="inlineStr"/>
      <c r="AC78" t="inlineStr"/>
      <c r="AD78" t="n">
        <v>0</v>
      </c>
      <c r="AE78" t="inlineStr"/>
      <c r="AF78" t="inlineStr"/>
      <c r="AG78" t="inlineStr"/>
      <c r="AH78" t="inlineStr"/>
      <c r="AI78" t="inlineStr"/>
      <c r="AJ78" t="inlineStr"/>
      <c r="AK78" t="inlineStr"/>
      <c r="AL78" t="inlineStr"/>
      <c r="AM78" t="inlineStr"/>
      <c r="AN78" t="inlineStr">
        <is>
          <t>HPg</t>
        </is>
      </c>
      <c r="AO78" t="inlineStr"/>
      <c r="AP78" t="inlineStr"/>
      <c r="AQ78" t="inlineStr"/>
      <c r="AR78" t="inlineStr">
        <is>
          <t>h</t>
        </is>
      </c>
      <c r="AS78" t="inlineStr"/>
      <c r="AT78" t="inlineStr"/>
      <c r="AU78" t="inlineStr"/>
      <c r="AV78" t="inlineStr"/>
      <c r="AW78" t="inlineStr"/>
      <c r="AX78" t="inlineStr">
        <is>
          <t>Pa</t>
        </is>
      </c>
      <c r="AY78" t="inlineStr"/>
      <c r="AZ78" t="inlineStr"/>
      <c r="BA78" t="inlineStr"/>
      <c r="BB78" t="inlineStr"/>
      <c r="BC78" t="inlineStr"/>
      <c r="BD78" t="inlineStr"/>
      <c r="BE78" t="inlineStr"/>
      <c r="BF78" t="inlineStr"/>
      <c r="BG78" t="inlineStr">
        <is>
          <t>x</t>
        </is>
      </c>
      <c r="BH78" t="inlineStr"/>
      <c r="BI78" t="inlineStr"/>
      <c r="BJ78" t="inlineStr"/>
      <c r="BK78" t="inlineStr"/>
      <c r="BL78" t="n">
        <v>110</v>
      </c>
      <c r="BM78" t="inlineStr"/>
      <c r="BN78" t="inlineStr"/>
      <c r="BO78" t="inlineStr"/>
      <c r="BP78" t="inlineStr"/>
      <c r="BQ78" t="inlineStr"/>
      <c r="BR78" t="inlineStr">
        <is>
          <t>n</t>
        </is>
      </c>
      <c r="BS78" t="n">
        <v>0</v>
      </c>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c r="DH78" t="inlineStr"/>
      <c r="DI78" t="inlineStr"/>
      <c r="DJ78" t="inlineStr"/>
      <c r="DK78" t="inlineStr"/>
      <c r="DL78" t="inlineStr"/>
    </row>
    <row r="79">
      <c r="A79" t="inlineStr">
        <is>
          <t>Schreibmeister</t>
        </is>
      </c>
      <c r="B79" t="b">
        <v>1</v>
      </c>
      <c r="C79" t="inlineStr">
        <is>
          <t>x</t>
        </is>
      </c>
      <c r="D79" t="inlineStr"/>
      <c r="E79" t="n">
        <v>72</v>
      </c>
      <c r="F79">
        <f>HYPERLINK("https://portal.dnb.de/opac.htm?method=simpleSearch&amp;cqlMode=true&amp;query=idn%3D1001523482", "Portal")</f>
        <v/>
      </c>
      <c r="G79" t="inlineStr">
        <is>
          <t>Aal</t>
        </is>
      </c>
      <c r="H79">
        <f>HYPERLINK("https://portal.dnb.de/opac.htm?method=simpleSearch&amp;cqlMode=true&amp;query=idn%3D1001523482", "Portal")</f>
        <v/>
      </c>
      <c r="I79" t="inlineStr">
        <is>
          <t>L-1667-175049084</t>
        </is>
      </c>
      <c r="J79" t="inlineStr">
        <is>
          <t>1001523482</t>
        </is>
      </c>
      <c r="K79" t="inlineStr">
        <is>
          <t>Bö B I 470/2°</t>
        </is>
      </c>
      <c r="L79" t="inlineStr">
        <is>
          <t>(Großformate)</t>
        </is>
      </c>
      <c r="M79" t="inlineStr">
        <is>
          <t>Bö B I 470/2°</t>
        </is>
      </c>
      <c r="N79" t="inlineStr">
        <is>
          <t>Exemples De nouuelles Escritures de Finances et Italienne bastarde Comme elles doiuent estre pratiquées par ceux qui aspirent aux Employs et commissio</t>
        </is>
      </c>
      <c r="O79" t="inlineStr">
        <is>
          <t xml:space="preserve"> : </t>
        </is>
      </c>
      <c r="P79" t="inlineStr">
        <is>
          <t>Bö B I 470/2°</t>
        </is>
      </c>
      <c r="Q79" t="inlineStr"/>
      <c r="R79" t="inlineStr"/>
      <c r="S79" t="inlineStr">
        <is>
          <t>Exemples De nouuelles Escritures de Finances et Italienne bastarde Comme elles doiuent estre pratiquées par ceux qui aspirent aux Employs et commissio</t>
        </is>
      </c>
      <c r="T79" t="inlineStr">
        <is>
          <t xml:space="preserve"> : </t>
        </is>
      </c>
      <c r="U79" t="inlineStr">
        <is>
          <t>X</t>
        </is>
      </c>
      <c r="V79" t="inlineStr"/>
      <c r="W79" t="inlineStr">
        <is>
          <t>Halbgewebeband</t>
        </is>
      </c>
      <c r="X79" t="inlineStr">
        <is>
          <t>bis 42 cm</t>
        </is>
      </c>
      <c r="Y79" t="inlineStr">
        <is>
          <t>180°</t>
        </is>
      </c>
      <c r="Z79" t="inlineStr"/>
      <c r="AA79" t="inlineStr"/>
      <c r="AB79" t="inlineStr"/>
      <c r="AC79" t="inlineStr"/>
      <c r="AD79" t="n">
        <v>2</v>
      </c>
      <c r="AE79" t="inlineStr"/>
      <c r="AF79" t="inlineStr"/>
      <c r="AG79" t="inlineStr"/>
      <c r="AH79" t="inlineStr"/>
      <c r="AI79" t="inlineStr"/>
      <c r="AJ79" t="inlineStr"/>
      <c r="AK79" t="inlineStr"/>
      <c r="AL79" t="inlineStr"/>
      <c r="AM79" t="inlineStr"/>
      <c r="AN79" t="inlineStr">
        <is>
          <t>HG</t>
        </is>
      </c>
      <c r="AO79" t="inlineStr"/>
      <c r="AP79" t="inlineStr"/>
      <c r="AQ79" t="inlineStr"/>
      <c r="AR79" t="inlineStr">
        <is>
          <t>h/E</t>
        </is>
      </c>
      <c r="AS79" t="inlineStr"/>
      <c r="AT79" t="inlineStr"/>
      <c r="AU79" t="inlineStr"/>
      <c r="AV79" t="inlineStr"/>
      <c r="AW79" t="inlineStr"/>
      <c r="AX79" t="inlineStr">
        <is>
          <t>Pa</t>
        </is>
      </c>
      <c r="AY79" t="inlineStr"/>
      <c r="AZ79" t="inlineStr"/>
      <c r="BA79" t="inlineStr"/>
      <c r="BB79" t="inlineStr"/>
      <c r="BC79" t="inlineStr"/>
      <c r="BD79" t="inlineStr"/>
      <c r="BE79" t="inlineStr"/>
      <c r="BF79" t="inlineStr"/>
      <c r="BG79" t="inlineStr">
        <is>
          <t>x</t>
        </is>
      </c>
      <c r="BH79" t="inlineStr"/>
      <c r="BI79" t="inlineStr"/>
      <c r="BJ79" t="inlineStr"/>
      <c r="BK79" t="inlineStr"/>
      <c r="BL79" t="n">
        <v>110</v>
      </c>
      <c r="BM79" t="inlineStr"/>
      <c r="BN79" t="inlineStr"/>
      <c r="BO79" t="inlineStr"/>
      <c r="BP79" t="inlineStr"/>
      <c r="BQ79" t="inlineStr"/>
      <c r="BR79" t="inlineStr">
        <is>
          <t>ja nach</t>
        </is>
      </c>
      <c r="BS79" t="n">
        <v>1</v>
      </c>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is>
          <t>h</t>
        </is>
      </c>
      <c r="CJ79" t="inlineStr"/>
      <c r="CK79" t="inlineStr">
        <is>
          <t>x</t>
        </is>
      </c>
      <c r="CL79" t="inlineStr"/>
      <c r="CM79" t="inlineStr"/>
      <c r="CN79" t="inlineStr"/>
      <c r="CO79" t="inlineStr"/>
      <c r="CP79" t="inlineStr"/>
      <c r="CQ79" t="inlineStr"/>
      <c r="CR79" t="n">
        <v>1</v>
      </c>
      <c r="CS79" t="inlineStr">
        <is>
          <t>Hülse und JP-Falz um Gelenk zu schließen</t>
        </is>
      </c>
      <c r="CT79" t="inlineStr"/>
      <c r="CU79" t="inlineStr"/>
      <c r="CV79" t="inlineStr"/>
      <c r="CW79" t="inlineStr"/>
      <c r="CX79" t="inlineStr"/>
      <c r="CY79" t="inlineStr"/>
      <c r="CZ79" t="inlineStr"/>
      <c r="DA79" t="inlineStr"/>
      <c r="DB79" t="inlineStr"/>
      <c r="DC79" t="inlineStr"/>
      <c r="DD79" t="inlineStr"/>
      <c r="DE79" t="inlineStr"/>
      <c r="DF79" t="inlineStr"/>
      <c r="DG79" t="inlineStr"/>
      <c r="DH79" t="inlineStr"/>
      <c r="DI79" t="inlineStr"/>
      <c r="DJ79" t="inlineStr"/>
      <c r="DK79" t="inlineStr"/>
      <c r="DL79" t="inlineStr"/>
    </row>
    <row r="80">
      <c r="A80" t="inlineStr">
        <is>
          <t>Schreibmeister</t>
        </is>
      </c>
      <c r="B80" t="b">
        <v>1</v>
      </c>
      <c r="C80" t="inlineStr"/>
      <c r="D80" t="inlineStr"/>
      <c r="E80" t="n">
        <v>73</v>
      </c>
      <c r="F80">
        <f>HYPERLINK("https://portal.dnb.de/opac.htm?method=simpleSearch&amp;cqlMode=true&amp;query=idn%3D1001552482", "Portal")</f>
        <v/>
      </c>
      <c r="G80" t="inlineStr">
        <is>
          <t>Afl</t>
        </is>
      </c>
      <c r="H80">
        <f>HYPERLINK("https://portal.dnb.de/opac.htm?method=simpleSearch&amp;cqlMode=true&amp;query=idn%3D1001552482", "Portal")</f>
        <v/>
      </c>
      <c r="I80" t="inlineStr">
        <is>
          <t>L-1789-175086788</t>
        </is>
      </c>
      <c r="J80" t="inlineStr">
        <is>
          <t>1001552482</t>
        </is>
      </c>
      <c r="K80" t="inlineStr">
        <is>
          <t>Bö B I 472/2°</t>
        </is>
      </c>
      <c r="L80" t="inlineStr">
        <is>
          <t>Bö B I 472/2°</t>
        </is>
      </c>
      <c r="M80" t="inlineStr">
        <is>
          <t>Bö B I 472/2°</t>
        </is>
      </c>
      <c r="N80" t="inlineStr">
        <is>
          <t>Reflexîones sobre la verdadera arte de escribir</t>
        </is>
      </c>
      <c r="O80" t="inlineStr">
        <is>
          <t xml:space="preserve">1 : </t>
        </is>
      </c>
      <c r="P80" t="inlineStr">
        <is>
          <t>Bö B I 472/2°</t>
        </is>
      </c>
      <c r="Q80" t="inlineStr"/>
      <c r="R80" t="inlineStr"/>
      <c r="S80" t="inlineStr">
        <is>
          <t>Reflexîones sobre la verdadera arte de escribir</t>
        </is>
      </c>
      <c r="T80" t="inlineStr">
        <is>
          <t xml:space="preserve">1 : </t>
        </is>
      </c>
      <c r="U80" t="inlineStr">
        <is>
          <t>X</t>
        </is>
      </c>
      <c r="V80" t="inlineStr"/>
      <c r="W80" t="inlineStr">
        <is>
          <t>Ledereinband</t>
        </is>
      </c>
      <c r="X80" t="inlineStr">
        <is>
          <t>bis 42 cm</t>
        </is>
      </c>
      <c r="Y80" t="inlineStr">
        <is>
          <t>80° bis 110°, einseitig digitalisierbar?</t>
        </is>
      </c>
      <c r="Z80" t="inlineStr">
        <is>
          <t>hohler Rücken</t>
        </is>
      </c>
      <c r="AA80" t="inlineStr"/>
      <c r="AB80" t="inlineStr">
        <is>
          <t xml:space="preserve">Papierumschlag </t>
        </is>
      </c>
      <c r="AC80" t="inlineStr">
        <is>
          <t>Ja</t>
        </is>
      </c>
      <c r="AD80" t="n">
        <v>0</v>
      </c>
      <c r="AE80" t="inlineStr"/>
      <c r="AF80" t="inlineStr"/>
      <c r="AG80" t="inlineStr"/>
      <c r="AH80" t="inlineStr"/>
      <c r="AI80" t="inlineStr"/>
      <c r="AJ80" t="inlineStr"/>
      <c r="AK80" t="inlineStr"/>
      <c r="AL80" t="inlineStr"/>
      <c r="AM80" t="inlineStr"/>
      <c r="AN80" t="inlineStr">
        <is>
          <t>HL</t>
        </is>
      </c>
      <c r="AO80" t="inlineStr"/>
      <c r="AP80" t="inlineStr"/>
      <c r="AQ80" t="inlineStr"/>
      <c r="AR80" t="inlineStr">
        <is>
          <t>h/E</t>
        </is>
      </c>
      <c r="AS80" t="inlineStr"/>
      <c r="AT80" t="inlineStr"/>
      <c r="AU80" t="inlineStr"/>
      <c r="AV80" t="inlineStr"/>
      <c r="AW80" t="inlineStr"/>
      <c r="AX80" t="inlineStr">
        <is>
          <t>Pa</t>
        </is>
      </c>
      <c r="AY80" t="inlineStr"/>
      <c r="AZ80" t="inlineStr"/>
      <c r="BA80" t="inlineStr"/>
      <c r="BB80" t="inlineStr"/>
      <c r="BC80" t="inlineStr"/>
      <c r="BD80" t="inlineStr"/>
      <c r="BE80" t="inlineStr"/>
      <c r="BF80" t="inlineStr"/>
      <c r="BG80" t="inlineStr">
        <is>
          <t>x</t>
        </is>
      </c>
      <c r="BH80" t="inlineStr"/>
      <c r="BI80" t="inlineStr"/>
      <c r="BJ80" t="inlineStr"/>
      <c r="BK80" t="inlineStr"/>
      <c r="BL80" t="n">
        <v>110</v>
      </c>
      <c r="BM80" t="inlineStr"/>
      <c r="BN80" t="inlineStr"/>
      <c r="BO80" t="inlineStr"/>
      <c r="BP80" t="inlineStr"/>
      <c r="BQ80" t="inlineStr"/>
      <c r="BR80" t="inlineStr">
        <is>
          <t>n</t>
        </is>
      </c>
      <c r="BS80" t="n">
        <v>0</v>
      </c>
      <c r="BT80" t="inlineStr"/>
      <c r="BU80" t="inlineStr"/>
      <c r="BV80" t="inlineStr"/>
      <c r="BW80" t="inlineStr"/>
      <c r="BX80" t="inlineStr"/>
      <c r="BY80" t="inlineStr">
        <is>
          <t>x sauer</t>
        </is>
      </c>
      <c r="BZ80" t="inlineStr">
        <is>
          <t>x</t>
        </is>
      </c>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c r="DH80" t="inlineStr"/>
      <c r="DI80" t="inlineStr"/>
      <c r="DJ80" t="inlineStr"/>
      <c r="DK80" t="inlineStr"/>
      <c r="DL80" t="inlineStr"/>
    </row>
    <row r="81">
      <c r="A81" t="inlineStr">
        <is>
          <t>Schreibmeister</t>
        </is>
      </c>
      <c r="B81" t="b">
        <v>1</v>
      </c>
      <c r="C81" t="inlineStr"/>
      <c r="D81" t="inlineStr"/>
      <c r="E81" t="n">
        <v>74</v>
      </c>
      <c r="F81">
        <f>HYPERLINK("https://portal.dnb.de/opac.htm?method=simpleSearch&amp;cqlMode=true&amp;query=idn%3D1001552733", "Portal")</f>
        <v/>
      </c>
      <c r="G81" t="inlineStr">
        <is>
          <t>Afl</t>
        </is>
      </c>
      <c r="H81">
        <f>HYPERLINK("https://portal.dnb.de/opac.htm?method=simpleSearch&amp;cqlMode=true&amp;query=idn%3D1001552733", "Portal")</f>
        <v/>
      </c>
      <c r="I81" t="inlineStr">
        <is>
          <t>L-1789-175087016</t>
        </is>
      </c>
      <c r="J81" t="inlineStr">
        <is>
          <t>1001552733</t>
        </is>
      </c>
      <c r="K81" t="inlineStr">
        <is>
          <t>Bö B I 472/2°</t>
        </is>
      </c>
      <c r="L81" t="inlineStr">
        <is>
          <t>Bö B I 472/2°</t>
        </is>
      </c>
      <c r="M81" t="inlineStr">
        <is>
          <t>Bö B I 472/2°</t>
        </is>
      </c>
      <c r="N81" t="inlineStr">
        <is>
          <t>Reflexîones sobre la verdadera arte de escribir</t>
        </is>
      </c>
      <c r="O81" t="inlineStr">
        <is>
          <t xml:space="preserve">[2] : </t>
        </is>
      </c>
      <c r="P81" t="inlineStr">
        <is>
          <t>Bö B I 472/2° (angebunden)</t>
        </is>
      </c>
      <c r="Q81" t="inlineStr"/>
      <c r="R81" t="inlineStr"/>
      <c r="S81" t="inlineStr">
        <is>
          <t>Reflexîones sobre la verdadera arte de escribir</t>
        </is>
      </c>
      <c r="T81" t="inlineStr">
        <is>
          <t xml:space="preserve">[2] : </t>
        </is>
      </c>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BR81" t="inlineStr"/>
      <c r="BS81" t="n">
        <v>0</v>
      </c>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c r="DH81" t="inlineStr"/>
      <c r="DI81" t="inlineStr"/>
      <c r="DJ81" t="inlineStr"/>
      <c r="DK81" t="inlineStr"/>
      <c r="DL81" t="inlineStr"/>
    </row>
    <row r="82">
      <c r="A82" t="inlineStr">
        <is>
          <t>Schreibmeister</t>
        </is>
      </c>
      <c r="B82" t="b">
        <v>1</v>
      </c>
      <c r="C82" t="inlineStr"/>
      <c r="D82" t="inlineStr"/>
      <c r="E82" t="n">
        <v>75</v>
      </c>
      <c r="F82">
        <f>HYPERLINK("https://portal.dnb.de/opac.htm?method=simpleSearch&amp;cqlMode=true&amp;query=idn%3D1001487680", "Portal")</f>
        <v/>
      </c>
      <c r="G82" t="inlineStr">
        <is>
          <t>Aal</t>
        </is>
      </c>
      <c r="H82">
        <f>HYPERLINK("https://portal.dnb.de/opac.htm?method=simpleSearch&amp;cqlMode=true&amp;query=idn%3D1001487680", "Portal")</f>
        <v/>
      </c>
      <c r="I82" t="inlineStr">
        <is>
          <t>L-1705-174985053</t>
        </is>
      </c>
      <c r="J82" t="inlineStr">
        <is>
          <t>1001487680</t>
        </is>
      </c>
      <c r="K82" t="inlineStr">
        <is>
          <t>Bö B I 474/2°</t>
        </is>
      </c>
      <c r="L82" t="inlineStr">
        <is>
          <t>Bö B I 474/2°</t>
        </is>
      </c>
      <c r="M82" t="inlineStr">
        <is>
          <t>Bö B I 474/2°</t>
        </is>
      </c>
      <c r="N82" t="inlineStr">
        <is>
          <t>The @Penman's Magazine:|| Or, A|| New Copy-Book,|| Of the English, French and Italian|| Hands,|| After the Best Mode; Adorn'd with about an Hundred Ne</t>
        </is>
      </c>
      <c r="O82" t="inlineStr">
        <is>
          <t xml:space="preserve"> : </t>
        </is>
      </c>
      <c r="P82" t="inlineStr">
        <is>
          <t>Bö B I 474/2°</t>
        </is>
      </c>
      <c r="Q82" t="inlineStr"/>
      <c r="R82" t="inlineStr"/>
      <c r="S82" t="inlineStr">
        <is>
          <t>The @Penman's Magazine:|| Or, A|| New Copy-Book,|| Of the English, French and Italian|| Hands,|| After the Best Mode; Adorn'd with about an Hundred Ne</t>
        </is>
      </c>
      <c r="T82" t="inlineStr">
        <is>
          <t xml:space="preserve"> : </t>
        </is>
      </c>
      <c r="U82" t="inlineStr">
        <is>
          <t>X</t>
        </is>
      </c>
      <c r="V82" t="inlineStr"/>
      <c r="W82" t="inlineStr">
        <is>
          <t>Halbledereinband</t>
        </is>
      </c>
      <c r="X82" t="inlineStr">
        <is>
          <t>bis 42 cm</t>
        </is>
      </c>
      <c r="Y82" t="inlineStr">
        <is>
          <t>80° bis 110°, einseitig digitalisierbar?</t>
        </is>
      </c>
      <c r="Z82" t="inlineStr"/>
      <c r="AA82" t="inlineStr"/>
      <c r="AB82" t="inlineStr"/>
      <c r="AC82" t="inlineStr"/>
      <c r="AD82" t="n">
        <v>0</v>
      </c>
      <c r="AE82" t="inlineStr"/>
      <c r="AF82" t="inlineStr"/>
      <c r="AG82" t="inlineStr"/>
      <c r="AH82" t="inlineStr"/>
      <c r="AI82" t="inlineStr"/>
      <c r="AJ82" t="inlineStr"/>
      <c r="AK82" t="inlineStr"/>
      <c r="AL82" t="inlineStr"/>
      <c r="AM82" t="inlineStr"/>
      <c r="AN82" t="inlineStr">
        <is>
          <t>HPg</t>
        </is>
      </c>
      <c r="AO82" t="inlineStr"/>
      <c r="AP82" t="inlineStr"/>
      <c r="AQ82" t="inlineStr"/>
      <c r="AR82" t="inlineStr">
        <is>
          <t>h</t>
        </is>
      </c>
      <c r="AS82" t="inlineStr"/>
      <c r="AT82" t="inlineStr"/>
      <c r="AU82" t="inlineStr"/>
      <c r="AV82" t="inlineStr"/>
      <c r="AW82" t="inlineStr"/>
      <c r="AX82" t="inlineStr">
        <is>
          <t>Pa</t>
        </is>
      </c>
      <c r="AY82" t="inlineStr"/>
      <c r="AZ82" t="inlineStr"/>
      <c r="BA82" t="inlineStr"/>
      <c r="BB82" t="inlineStr"/>
      <c r="BC82" t="inlineStr"/>
      <c r="BD82" t="inlineStr"/>
      <c r="BE82" t="inlineStr"/>
      <c r="BF82" t="inlineStr"/>
      <c r="BG82" t="inlineStr">
        <is>
          <t>x</t>
        </is>
      </c>
      <c r="BH82" t="inlineStr"/>
      <c r="BI82" t="inlineStr"/>
      <c r="BJ82" t="inlineStr"/>
      <c r="BK82" t="inlineStr"/>
      <c r="BL82" t="n">
        <v>110</v>
      </c>
      <c r="BM82" t="inlineStr"/>
      <c r="BN82" t="inlineStr"/>
      <c r="BO82" t="inlineStr"/>
      <c r="BP82" t="inlineStr"/>
      <c r="BQ82" t="inlineStr"/>
      <c r="BR82" t="inlineStr">
        <is>
          <t>n</t>
        </is>
      </c>
      <c r="BS82" t="n">
        <v>0</v>
      </c>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c r="DH82" t="inlineStr"/>
      <c r="DI82" t="inlineStr"/>
      <c r="DJ82" t="inlineStr"/>
      <c r="DK82" t="inlineStr"/>
      <c r="DL82" t="inlineStr"/>
    </row>
    <row r="83">
      <c r="A83" t="inlineStr">
        <is>
          <t>Schreibmeister</t>
        </is>
      </c>
      <c r="B83" t="b">
        <v>1</v>
      </c>
      <c r="C83" t="inlineStr"/>
      <c r="D83" t="inlineStr"/>
      <c r="E83" t="n">
        <v>76</v>
      </c>
      <c r="F83">
        <f>HYPERLINK("https://portal.dnb.de/opac.htm?method=simpleSearch&amp;cqlMode=true&amp;query=idn%3D100226667X", "Portal")</f>
        <v/>
      </c>
      <c r="G83" t="inlineStr">
        <is>
          <t>Aal</t>
        </is>
      </c>
      <c r="H83">
        <f>HYPERLINK("https://portal.dnb.de/opac.htm?method=simpleSearch&amp;cqlMode=true&amp;query=idn%3D100226667X", "Portal")</f>
        <v/>
      </c>
      <c r="I83" t="inlineStr">
        <is>
          <t>L-1668-176918574</t>
        </is>
      </c>
      <c r="J83" t="inlineStr">
        <is>
          <t>100226667X</t>
        </is>
      </c>
      <c r="K83" t="inlineStr">
        <is>
          <t>Bö B I 489</t>
        </is>
      </c>
      <c r="L83" t="inlineStr">
        <is>
          <t>Bö B I 489</t>
        </is>
      </c>
      <c r="M83" t="inlineStr">
        <is>
          <t>Bö B I 489</t>
        </is>
      </c>
      <c r="N83" t="inlineStr">
        <is>
          <t>Le @Meraviglie Della Penna, Conchivdenti in diuersi modi di scriuere delineati, et intagliati : con licenta deʹ Superiori</t>
        </is>
      </c>
      <c r="O83" t="inlineStr">
        <is>
          <t xml:space="preserve"> : </t>
        </is>
      </c>
      <c r="P83" t="inlineStr">
        <is>
          <t>Bö B I 489</t>
        </is>
      </c>
      <c r="Q83" t="inlineStr"/>
      <c r="R83" t="inlineStr"/>
      <c r="S83" t="inlineStr">
        <is>
          <t>Le @Meraviglie Della Penna, Conchivdenti in diuersi modi di scriuere delineati, et intagliati : con licenta deʹ Superiori</t>
        </is>
      </c>
      <c r="T83" t="inlineStr">
        <is>
          <t xml:space="preserve"> : </t>
        </is>
      </c>
      <c r="U83" t="inlineStr">
        <is>
          <t>X</t>
        </is>
      </c>
      <c r="V83" t="inlineStr"/>
      <c r="W83" t="inlineStr">
        <is>
          <t>Halbledereinband</t>
        </is>
      </c>
      <c r="X83" t="inlineStr">
        <is>
          <t>bis 25 cm</t>
        </is>
      </c>
      <c r="Y83" t="inlineStr">
        <is>
          <t>180°</t>
        </is>
      </c>
      <c r="Z83" t="inlineStr">
        <is>
          <t>fester Rücken mit Schmuckprägung</t>
        </is>
      </c>
      <c r="AA83" t="inlineStr"/>
      <c r="AB83" t="inlineStr">
        <is>
          <t>Archivkarton</t>
        </is>
      </c>
      <c r="AC83" t="inlineStr">
        <is>
          <t>Nein</t>
        </is>
      </c>
      <c r="AD83" t="n">
        <v>0</v>
      </c>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BR83" t="inlineStr"/>
      <c r="BS83" t="n">
        <v>0</v>
      </c>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c r="DH83" t="inlineStr"/>
      <c r="DI83" t="inlineStr"/>
      <c r="DJ83" t="inlineStr"/>
      <c r="DK83" t="inlineStr"/>
      <c r="DL83" t="inlineStr"/>
    </row>
    <row r="84">
      <c r="A84" t="inlineStr">
        <is>
          <t>Schreibmeister</t>
        </is>
      </c>
      <c r="B84" t="b">
        <v>1</v>
      </c>
      <c r="C84" t="inlineStr"/>
      <c r="D84" t="inlineStr"/>
      <c r="E84" t="n">
        <v>77</v>
      </c>
      <c r="F84">
        <f>HYPERLINK("https://portal.dnb.de/opac.htm?method=simpleSearch&amp;cqlMode=true&amp;query=idn%3D1002266858", "Portal")</f>
        <v/>
      </c>
      <c r="G84" t="inlineStr">
        <is>
          <t>Aal</t>
        </is>
      </c>
      <c r="H84">
        <f>HYPERLINK("https://portal.dnb.de/opac.htm?method=simpleSearch&amp;cqlMode=true&amp;query=idn%3D1002266858", "Portal")</f>
        <v/>
      </c>
      <c r="I84" t="inlineStr">
        <is>
          <t>L-1680-176918728</t>
        </is>
      </c>
      <c r="J84" t="inlineStr">
        <is>
          <t>1002266858</t>
        </is>
      </c>
      <c r="K84" t="inlineStr">
        <is>
          <t>Bö B I 490</t>
        </is>
      </c>
      <c r="L84" t="inlineStr">
        <is>
          <t>Bö B I 490</t>
        </is>
      </c>
      <c r="M84" t="inlineStr">
        <is>
          <t>Bö B I 490</t>
        </is>
      </c>
      <c r="N84" t="inlineStr">
        <is>
          <t>La @uera Regola dello scriuere : vtile à Giouani</t>
        </is>
      </c>
      <c r="O84" t="inlineStr">
        <is>
          <t xml:space="preserve"> : </t>
        </is>
      </c>
      <c r="P84" t="inlineStr">
        <is>
          <t>Bö B I 490</t>
        </is>
      </c>
      <c r="Q84" t="inlineStr">
        <is>
          <t>2500,00 EUR; 3000,00 EUR</t>
        </is>
      </c>
      <c r="R84" t="inlineStr"/>
      <c r="S84" t="inlineStr">
        <is>
          <t>La @uera Regola dello scriuere : vtile à Giouani</t>
        </is>
      </c>
      <c r="T84" t="inlineStr">
        <is>
          <t xml:space="preserve"> : </t>
        </is>
      </c>
      <c r="U84" t="inlineStr">
        <is>
          <t>X</t>
        </is>
      </c>
      <c r="V84" t="inlineStr">
        <is>
          <t>2500,00 EUR; 3000,00 EUR</t>
        </is>
      </c>
      <c r="W84" t="inlineStr">
        <is>
          <t>Halbpergamentband</t>
        </is>
      </c>
      <c r="X84" t="inlineStr">
        <is>
          <t>bis 25 cm</t>
        </is>
      </c>
      <c r="Y84" t="inlineStr">
        <is>
          <t>180°</t>
        </is>
      </c>
      <c r="Z84" t="inlineStr"/>
      <c r="AA84" t="inlineStr"/>
      <c r="AB84" t="inlineStr">
        <is>
          <t>Archivkarton</t>
        </is>
      </c>
      <c r="AC84" t="inlineStr">
        <is>
          <t>Nein</t>
        </is>
      </c>
      <c r="AD84" t="n">
        <v>0</v>
      </c>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BR84" t="inlineStr"/>
      <c r="BS84" t="n">
        <v>0</v>
      </c>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c r="DH84" t="inlineStr"/>
      <c r="DI84" t="inlineStr"/>
      <c r="DJ84" t="inlineStr"/>
      <c r="DK84" t="inlineStr"/>
      <c r="DL84" t="inlineStr"/>
    </row>
    <row r="85">
      <c r="A85" t="inlineStr">
        <is>
          <t>Schreibmeister</t>
        </is>
      </c>
      <c r="B85" t="b">
        <v>1</v>
      </c>
      <c r="C85" t="inlineStr"/>
      <c r="D85" t="inlineStr"/>
      <c r="E85" t="n">
        <v>78</v>
      </c>
      <c r="F85">
        <f>HYPERLINK("https://portal.dnb.de/opac.htm?method=simpleSearch&amp;cqlMode=true&amp;query=idn%3D1002488575", "Portal")</f>
        <v/>
      </c>
      <c r="G85" t="inlineStr">
        <is>
          <t>Aal</t>
        </is>
      </c>
      <c r="H85">
        <f>HYPERLINK("https://portal.dnb.de/opac.htm?method=simpleSearch&amp;cqlMode=true&amp;query=idn%3D1002488575", "Portal")</f>
        <v/>
      </c>
      <c r="I85" t="inlineStr">
        <is>
          <t>L-1777-177418761</t>
        </is>
      </c>
      <c r="J85" t="inlineStr">
        <is>
          <t>1002488575</t>
        </is>
      </c>
      <c r="K85" t="inlineStr">
        <is>
          <t>Bö B I 492/4°</t>
        </is>
      </c>
      <c r="L85" t="inlineStr">
        <is>
          <t>Bö B I 492/4°</t>
        </is>
      </c>
      <c r="M85" t="inlineStr">
        <is>
          <t>Bö B I 492/4°</t>
        </is>
      </c>
      <c r="N85" t="inlineStr">
        <is>
          <t xml:space="preserve">The|| @Beauties of Writing,|| Exemplified in a Variety of Plain and : </t>
        </is>
      </c>
      <c r="O85" t="inlineStr">
        <is>
          <t xml:space="preserve"> : </t>
        </is>
      </c>
      <c r="P85" t="inlineStr">
        <is>
          <t>Bö B I 492/4°</t>
        </is>
      </c>
      <c r="Q85" t="inlineStr"/>
      <c r="R85" t="inlineStr"/>
      <c r="S85" t="inlineStr">
        <is>
          <t xml:space="preserve">The|| @Beauties of Writing,|| Exemplified in a Variety of Plain and : </t>
        </is>
      </c>
      <c r="T85" t="inlineStr">
        <is>
          <t xml:space="preserve"> : </t>
        </is>
      </c>
      <c r="U85" t="inlineStr">
        <is>
          <t>X</t>
        </is>
      </c>
      <c r="V85" t="inlineStr"/>
      <c r="W85" t="inlineStr">
        <is>
          <t>Halbgewebeband</t>
        </is>
      </c>
      <c r="X85" t="inlineStr">
        <is>
          <t>bis 35 cm</t>
        </is>
      </c>
      <c r="Y85" t="inlineStr">
        <is>
          <t>80° bis 110°, einseitig digitalisierbar?</t>
        </is>
      </c>
      <c r="Z85" t="inlineStr">
        <is>
          <t>hohler Rücken</t>
        </is>
      </c>
      <c r="AA85" t="inlineStr"/>
      <c r="AB85" t="inlineStr"/>
      <c r="AC85" t="inlineStr"/>
      <c r="AD85" t="n">
        <v>1</v>
      </c>
      <c r="AE85" t="inlineStr"/>
      <c r="AF85" t="inlineStr"/>
      <c r="AG85" t="inlineStr"/>
      <c r="AH85" t="inlineStr"/>
      <c r="AI85" t="inlineStr"/>
      <c r="AJ85" t="inlineStr"/>
      <c r="AK85" t="inlineStr">
        <is>
          <t>QF (44x29)</t>
        </is>
      </c>
      <c r="AL85" t="inlineStr"/>
      <c r="AM85" t="inlineStr"/>
      <c r="AN85" t="inlineStr">
        <is>
          <t>HPg</t>
        </is>
      </c>
      <c r="AO85" t="inlineStr"/>
      <c r="AP85" t="inlineStr"/>
      <c r="AQ85" t="inlineStr"/>
      <c r="AR85" t="inlineStr">
        <is>
          <t>h</t>
        </is>
      </c>
      <c r="AS85" t="inlineStr"/>
      <c r="AT85" t="inlineStr"/>
      <c r="AU85" t="inlineStr"/>
      <c r="AV85" t="inlineStr"/>
      <c r="AW85" t="inlineStr"/>
      <c r="AX85" t="inlineStr">
        <is>
          <t>Pa</t>
        </is>
      </c>
      <c r="AY85" t="inlineStr"/>
      <c r="AZ85" t="inlineStr"/>
      <c r="BA85" t="inlineStr"/>
      <c r="BB85" t="inlineStr"/>
      <c r="BC85" t="inlineStr"/>
      <c r="BD85" t="inlineStr"/>
      <c r="BE85" t="inlineStr"/>
      <c r="BF85" t="inlineStr"/>
      <c r="BG85" t="inlineStr">
        <is>
          <t>x</t>
        </is>
      </c>
      <c r="BH85" t="inlineStr"/>
      <c r="BI85" t="inlineStr"/>
      <c r="BJ85" t="inlineStr"/>
      <c r="BK85" t="inlineStr"/>
      <c r="BL85" t="n">
        <v>110</v>
      </c>
      <c r="BM85" t="inlineStr"/>
      <c r="BN85" t="inlineStr"/>
      <c r="BO85" t="inlineStr"/>
      <c r="BP85" t="inlineStr"/>
      <c r="BQ85" t="inlineStr"/>
      <c r="BR85" t="inlineStr">
        <is>
          <t>n</t>
        </is>
      </c>
      <c r="BS85" t="n">
        <v>0</v>
      </c>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c r="DH85" t="inlineStr"/>
      <c r="DI85" t="inlineStr"/>
      <c r="DJ85" t="inlineStr"/>
      <c r="DK85" t="inlineStr"/>
      <c r="DL85" t="inlineStr"/>
    </row>
    <row r="86">
      <c r="A86" t="inlineStr">
        <is>
          <t>Schreibmeister</t>
        </is>
      </c>
      <c r="B86" t="b">
        <v>1</v>
      </c>
      <c r="C86" t="inlineStr"/>
      <c r="D86" t="inlineStr"/>
      <c r="E86" t="n">
        <v>80</v>
      </c>
      <c r="F86">
        <f>HYPERLINK("https://portal.dnb.de/opac.htm?method=simpleSearch&amp;cqlMode=true&amp;query=idn%3D1002456312", "Portal")</f>
        <v/>
      </c>
      <c r="G86" t="inlineStr">
        <is>
          <t>Afl</t>
        </is>
      </c>
      <c r="H86">
        <f>HYPERLINK("https://portal.dnb.de/opac.htm?method=simpleSearch&amp;cqlMode=true&amp;query=idn%3D1002456312", "Portal")</f>
        <v/>
      </c>
      <c r="I86" t="inlineStr">
        <is>
          <t>L-1744-177387246</t>
        </is>
      </c>
      <c r="J86" t="inlineStr">
        <is>
          <t>1002456312</t>
        </is>
      </c>
      <c r="K86" t="inlineStr">
        <is>
          <t>Bö B I 497</t>
        </is>
      </c>
      <c r="L86" t="inlineStr">
        <is>
          <t>Bö B I 497</t>
        </is>
      </c>
      <c r="M86" t="inlineStr">
        <is>
          <t>Bö B I 497</t>
        </is>
      </c>
      <c r="N86" t="inlineStr">
        <is>
          <t>Gründliche Unterweisung in der so nöthig als nützlichen Schreibe-Kunst, ...</t>
        </is>
      </c>
      <c r="O86" t="inlineStr">
        <is>
          <t xml:space="preserve">2 : </t>
        </is>
      </c>
      <c r="P86" t="inlineStr">
        <is>
          <t>Bö B I 497 (angebunden)</t>
        </is>
      </c>
      <c r="Q86" t="inlineStr"/>
      <c r="R86" t="inlineStr"/>
      <c r="S86" t="inlineStr">
        <is>
          <t>Gründliche Unterweisung in der so nöthig als nützlichen Schreibe-Kunst, ...</t>
        </is>
      </c>
      <c r="T86" t="inlineStr">
        <is>
          <t xml:space="preserve">2 : </t>
        </is>
      </c>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BR86" t="inlineStr"/>
      <c r="BS86" t="n">
        <v>0</v>
      </c>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c r="DH86" t="inlineStr"/>
      <c r="DI86" t="inlineStr"/>
      <c r="DJ86" t="inlineStr"/>
      <c r="DK86" t="inlineStr"/>
      <c r="DL86" t="inlineStr"/>
    </row>
    <row r="87">
      <c r="A87" t="inlineStr">
        <is>
          <t>Schreibmeister</t>
        </is>
      </c>
      <c r="B87" t="b">
        <v>1</v>
      </c>
      <c r="C87" t="inlineStr"/>
      <c r="D87" t="inlineStr"/>
      <c r="E87" t="n">
        <v>81</v>
      </c>
      <c r="F87">
        <f>HYPERLINK("https://portal.dnb.de/opac.htm?method=simpleSearch&amp;cqlMode=true&amp;query=idn%3D1002457009", "Portal")</f>
        <v/>
      </c>
      <c r="G87" t="inlineStr">
        <is>
          <t>Afl</t>
        </is>
      </c>
      <c r="H87">
        <f>HYPERLINK("https://portal.dnb.de/opac.htm?method=simpleSearch&amp;cqlMode=true&amp;query=idn%3D1002457009", "Portal")</f>
        <v/>
      </c>
      <c r="I87" t="inlineStr">
        <is>
          <t>L-1744-177387912</t>
        </is>
      </c>
      <c r="J87" t="inlineStr">
        <is>
          <t>1002457009</t>
        </is>
      </c>
      <c r="K87" t="inlineStr">
        <is>
          <t>Bö B I 497</t>
        </is>
      </c>
      <c r="L87" t="inlineStr">
        <is>
          <t>Bö B I 497</t>
        </is>
      </c>
      <c r="M87" t="inlineStr">
        <is>
          <t>Bö B I 497</t>
        </is>
      </c>
      <c r="N87" t="inlineStr">
        <is>
          <t>Gründliche Unterweisung in der so nöthig als nützlichen Schreibe-Kunst, ...</t>
        </is>
      </c>
      <c r="O87" t="inlineStr">
        <is>
          <t xml:space="preserve">3 : </t>
        </is>
      </c>
      <c r="P87" t="inlineStr">
        <is>
          <t>Bö B I 497 (angebunden)</t>
        </is>
      </c>
      <c r="Q87" t="inlineStr"/>
      <c r="R87" t="inlineStr"/>
      <c r="S87" t="inlineStr">
        <is>
          <t>Gründliche Unterweisung in der so nöthig als nützlichen Schreibe-Kunst, ...</t>
        </is>
      </c>
      <c r="T87" t="inlineStr">
        <is>
          <t xml:space="preserve">3 : </t>
        </is>
      </c>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n">
        <v>0</v>
      </c>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c r="DH87" t="inlineStr"/>
      <c r="DI87" t="inlineStr"/>
      <c r="DJ87" t="inlineStr"/>
      <c r="DK87" t="inlineStr"/>
      <c r="DL87" t="inlineStr"/>
    </row>
    <row r="88">
      <c r="A88" t="inlineStr">
        <is>
          <t>Schreibmeister</t>
        </is>
      </c>
      <c r="B88" t="b">
        <v>1</v>
      </c>
      <c r="C88" t="inlineStr"/>
      <c r="D88" t="inlineStr"/>
      <c r="E88" t="n">
        <v>82</v>
      </c>
      <c r="F88">
        <f>HYPERLINK("https://portal.dnb.de/opac.htm?method=simpleSearch&amp;cqlMode=true&amp;query=idn%3D1002457513", "Portal")</f>
        <v/>
      </c>
      <c r="G88" t="inlineStr">
        <is>
          <t>Afl</t>
        </is>
      </c>
      <c r="H88">
        <f>HYPERLINK("https://portal.dnb.de/opac.htm?method=simpleSearch&amp;cqlMode=true&amp;query=idn%3D1002457513", "Portal")</f>
        <v/>
      </c>
      <c r="I88" t="inlineStr">
        <is>
          <t>L-1747-177388404</t>
        </is>
      </c>
      <c r="J88" t="inlineStr">
        <is>
          <t>1002457513</t>
        </is>
      </c>
      <c r="K88" t="inlineStr">
        <is>
          <t>Bö B I 497</t>
        </is>
      </c>
      <c r="L88" t="inlineStr">
        <is>
          <t>Bö B I 497</t>
        </is>
      </c>
      <c r="M88" t="inlineStr">
        <is>
          <t>Bö B I 497</t>
        </is>
      </c>
      <c r="N88" t="inlineStr">
        <is>
          <t>Gründliche Unterweisung in der so nöthig als nützlichen Schreibe-Kunst, ...</t>
        </is>
      </c>
      <c r="O88" t="inlineStr">
        <is>
          <t>4. : Von der Delineation, Proportion, Expreßion, Licht und Schatten, ... Ehemals in französ</t>
        </is>
      </c>
      <c r="P88" t="inlineStr">
        <is>
          <t>Bö B I 497 (angebunden)</t>
        </is>
      </c>
      <c r="Q88" t="inlineStr"/>
      <c r="R88" t="inlineStr"/>
      <c r="S88" t="inlineStr">
        <is>
          <t>Gründliche Unterweisung in der so nöthig als nützlichen Schreibe-Kunst, ...</t>
        </is>
      </c>
      <c r="T88" t="inlineStr">
        <is>
          <t>4. : Von der Delineation, Proportion, Expreßion, Licht und Schatten, ... Ehemals in französ</t>
        </is>
      </c>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BR88" t="inlineStr"/>
      <c r="BS88" t="n">
        <v>0</v>
      </c>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c r="DH88" t="inlineStr"/>
      <c r="DI88" t="inlineStr"/>
      <c r="DJ88" t="inlineStr"/>
      <c r="DK88" t="inlineStr"/>
      <c r="DL88" t="inlineStr"/>
    </row>
    <row r="89">
      <c r="A89" t="inlineStr">
        <is>
          <t>Schreibmeister</t>
        </is>
      </c>
      <c r="B89" t="b">
        <v>1</v>
      </c>
      <c r="C89" t="inlineStr"/>
      <c r="D89" t="inlineStr"/>
      <c r="E89" t="n">
        <v>79</v>
      </c>
      <c r="F89">
        <f>HYPERLINK("https://portal.dnb.de/opac.htm?method=simpleSearch&amp;cqlMode=true&amp;query=idn%3D1002456193", "Portal")</f>
        <v/>
      </c>
      <c r="G89" t="inlineStr">
        <is>
          <t>Afl</t>
        </is>
      </c>
      <c r="H89">
        <f>HYPERLINK("https://portal.dnb.de/opac.htm?method=simpleSearch&amp;cqlMode=true&amp;query=idn%3D1002456193", "Portal")</f>
        <v/>
      </c>
      <c r="I89" t="inlineStr">
        <is>
          <t>L-1744-177387106</t>
        </is>
      </c>
      <c r="J89" t="inlineStr">
        <is>
          <t>1002456193</t>
        </is>
      </c>
      <c r="K89" t="inlineStr">
        <is>
          <t>Bö B I 497</t>
        </is>
      </c>
      <c r="L89" t="inlineStr">
        <is>
          <t>Bö B I 497</t>
        </is>
      </c>
      <c r="M89" t="inlineStr">
        <is>
          <t>Bö B I 497</t>
        </is>
      </c>
      <c r="N89" t="inlineStr">
        <is>
          <t>Gründliche Unterweisung in der so nöthig als nützlichen Schreibe-Kunst, ...</t>
        </is>
      </c>
      <c r="O89" t="inlineStr">
        <is>
          <t xml:space="preserve">[1] : </t>
        </is>
      </c>
      <c r="P89" t="inlineStr">
        <is>
          <t>Bö B I 497 -1</t>
        </is>
      </c>
      <c r="Q89" t="inlineStr"/>
      <c r="R89" t="inlineStr"/>
      <c r="S89" t="inlineStr">
        <is>
          <t>Gründliche Unterweisung in der so nöthig als nützlichen Schreibe-Kunst, ...</t>
        </is>
      </c>
      <c r="T89" t="inlineStr">
        <is>
          <t xml:space="preserve">[1] : </t>
        </is>
      </c>
      <c r="U89" t="inlineStr">
        <is>
          <t>X</t>
        </is>
      </c>
      <c r="V89" t="inlineStr"/>
      <c r="W89" t="inlineStr">
        <is>
          <t>Halbledereinband</t>
        </is>
      </c>
      <c r="X89" t="inlineStr">
        <is>
          <t>bis 25 cm</t>
        </is>
      </c>
      <c r="Y89" t="inlineStr">
        <is>
          <t>180°</t>
        </is>
      </c>
      <c r="Z89" t="inlineStr">
        <is>
          <t>Schrift bis in den Falz</t>
        </is>
      </c>
      <c r="AA89" t="inlineStr"/>
      <c r="AB89" t="inlineStr">
        <is>
          <t>Archivkarton</t>
        </is>
      </c>
      <c r="AC89" t="inlineStr">
        <is>
          <t>Nein</t>
        </is>
      </c>
      <c r="AD89" t="n">
        <v>0</v>
      </c>
      <c r="AE89" t="inlineStr"/>
      <c r="AF89" t="inlineStr"/>
      <c r="AG89" t="inlineStr"/>
      <c r="AH89" t="inlineStr"/>
      <c r="AI89" t="inlineStr"/>
      <c r="AJ89" t="inlineStr"/>
      <c r="AK89" t="inlineStr">
        <is>
          <t>QF (23x18)</t>
        </is>
      </c>
      <c r="AL89" t="inlineStr"/>
      <c r="AM89" t="inlineStr"/>
      <c r="AN89" t="inlineStr">
        <is>
          <t>HL</t>
        </is>
      </c>
      <c r="AO89" t="inlineStr"/>
      <c r="AP89" t="inlineStr"/>
      <c r="AQ89" t="inlineStr">
        <is>
          <t>x</t>
        </is>
      </c>
      <c r="AR89" t="inlineStr">
        <is>
          <t>f</t>
        </is>
      </c>
      <c r="AS89" t="inlineStr"/>
      <c r="AT89" t="inlineStr"/>
      <c r="AU89" t="inlineStr"/>
      <c r="AV89" t="inlineStr"/>
      <c r="AW89" t="inlineStr"/>
      <c r="AX89" t="inlineStr">
        <is>
          <t>Pa</t>
        </is>
      </c>
      <c r="AY89" t="inlineStr"/>
      <c r="AZ89" t="inlineStr"/>
      <c r="BA89" t="inlineStr"/>
      <c r="BB89" t="inlineStr"/>
      <c r="BC89" t="inlineStr"/>
      <c r="BD89" t="inlineStr"/>
      <c r="BE89" t="inlineStr">
        <is>
          <t>x</t>
        </is>
      </c>
      <c r="BF89" t="inlineStr">
        <is>
          <t>B: 23x18
F: 20x30</t>
        </is>
      </c>
      <c r="BG89" t="inlineStr">
        <is>
          <t>x</t>
        </is>
      </c>
      <c r="BH89" t="inlineStr"/>
      <c r="BI89" t="inlineStr"/>
      <c r="BJ89" t="inlineStr"/>
      <c r="BK89" t="inlineStr"/>
      <c r="BL89" t="n">
        <v>110</v>
      </c>
      <c r="BM89" t="inlineStr"/>
      <c r="BN89" t="inlineStr"/>
      <c r="BO89" t="inlineStr"/>
      <c r="BP89" t="inlineStr"/>
      <c r="BQ89" t="inlineStr">
        <is>
          <t>x</t>
        </is>
      </c>
      <c r="BR89" t="inlineStr">
        <is>
          <t>n</t>
        </is>
      </c>
      <c r="BS89" t="n">
        <v>0</v>
      </c>
      <c r="BT89" t="inlineStr"/>
      <c r="BU89" t="inlineStr">
        <is>
          <t>Wellpappe</t>
        </is>
      </c>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c r="DH89" t="inlineStr"/>
      <c r="DI89" t="inlineStr"/>
      <c r="DJ89" t="inlineStr"/>
      <c r="DK89" t="inlineStr"/>
      <c r="DL89" t="inlineStr"/>
    </row>
    <row r="90">
      <c r="A90" t="inlineStr">
        <is>
          <t>Schreibmeister</t>
        </is>
      </c>
      <c r="B90" t="b">
        <v>1</v>
      </c>
      <c r="C90" t="inlineStr"/>
      <c r="D90" t="inlineStr"/>
      <c r="E90" t="n">
        <v>83</v>
      </c>
      <c r="F90">
        <f>HYPERLINK("https://portal.dnb.de/opac.htm?method=simpleSearch&amp;cqlMode=true&amp;query=idn%3D1002689872", "Portal")</f>
        <v/>
      </c>
      <c r="G90" t="inlineStr">
        <is>
          <t>AFl</t>
        </is>
      </c>
      <c r="H90">
        <f>HYPERLINK("https://portal.dnb.de/opac.htm?method=simpleSearch&amp;cqlMode=true&amp;query=idn%3D1002689872", "Portal")</f>
        <v/>
      </c>
      <c r="I90" t="inlineStr">
        <is>
          <t>L-1621-17784387X</t>
        </is>
      </c>
      <c r="J90" t="inlineStr">
        <is>
          <t>1002689872</t>
        </is>
      </c>
      <c r="K90" t="inlineStr">
        <is>
          <t>Bö B I 499/4°</t>
        </is>
      </c>
      <c r="L90" t="inlineStr">
        <is>
          <t>Bö B I 499/4°</t>
        </is>
      </c>
      <c r="M90" t="inlineStr">
        <is>
          <t>Bö B I 499/4°</t>
        </is>
      </c>
      <c r="N90" t="inlineStr">
        <is>
          <t>Thresor Literaire, contenant Plusieurs diverses Escritures, les plus usitées és Escoles Francoyses des Provinces unies du Pays-bas : Escrit ...</t>
        </is>
      </c>
      <c r="O90" t="inlineStr">
        <is>
          <t xml:space="preserve"> : </t>
        </is>
      </c>
      <c r="P90" t="inlineStr">
        <is>
          <t>Bö B I 499/4°</t>
        </is>
      </c>
      <c r="Q90" t="inlineStr"/>
      <c r="R90" t="inlineStr"/>
      <c r="S90" t="inlineStr">
        <is>
          <t>Thresor Literaire, contenant Plusieurs diverses Escritures, les plus usitées és Escoles Francoyses des Provinces unies du Pays-bas : Escrit ...</t>
        </is>
      </c>
      <c r="T90" t="inlineStr">
        <is>
          <t xml:space="preserve"> : </t>
        </is>
      </c>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c r="BR90" t="inlineStr"/>
      <c r="BS90" t="n">
        <v>0</v>
      </c>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c r="DH90" t="inlineStr"/>
      <c r="DI90" t="inlineStr"/>
      <c r="DJ90" t="inlineStr"/>
      <c r="DK90" t="inlineStr"/>
      <c r="DL90" t="inlineStr"/>
    </row>
    <row r="91">
      <c r="A91" t="inlineStr">
        <is>
          <t>Schreibmeister</t>
        </is>
      </c>
      <c r="B91" t="b">
        <v>1</v>
      </c>
      <c r="C91" t="inlineStr"/>
      <c r="D91" t="inlineStr"/>
      <c r="E91" t="n">
        <v>84</v>
      </c>
      <c r="F91">
        <f>HYPERLINK("https://portal.dnb.de/opac.htm?method=simpleSearch&amp;cqlMode=true&amp;query=idn%3D1004800959", "Portal")</f>
        <v/>
      </c>
      <c r="G91" t="inlineStr">
        <is>
          <t>Afl</t>
        </is>
      </c>
      <c r="H91">
        <f>HYPERLINK("https://portal.dnb.de/opac.htm?method=simpleSearch&amp;cqlMode=true&amp;query=idn%3D1004800959", "Portal")</f>
        <v/>
      </c>
      <c r="I91" t="inlineStr">
        <is>
          <t>L-1620-182914232</t>
        </is>
      </c>
      <c r="J91" t="inlineStr">
        <is>
          <t>1004800959</t>
        </is>
      </c>
      <c r="K91" t="inlineStr">
        <is>
          <t>Bö B I 499/4</t>
        </is>
      </c>
      <c r="L91" t="inlineStr">
        <is>
          <t>Bö B I 499/4</t>
        </is>
      </c>
      <c r="M91" t="inlineStr">
        <is>
          <t>Bö B I 499/4</t>
        </is>
      </c>
      <c r="N91" t="inlineStr">
        <is>
          <t>Duytsche exemplaren van alderhande gheschriften</t>
        </is>
      </c>
      <c r="O91" t="inlineStr">
        <is>
          <t xml:space="preserve">[Deel 1] : </t>
        </is>
      </c>
      <c r="P91" t="inlineStr">
        <is>
          <t>Bö B I 499/4°</t>
        </is>
      </c>
      <c r="Q91" t="inlineStr"/>
      <c r="R91" t="inlineStr"/>
      <c r="S91" t="inlineStr">
        <is>
          <t>Duytsche exemplaren van alderhande gheschriften</t>
        </is>
      </c>
      <c r="T91" t="inlineStr">
        <is>
          <t xml:space="preserve">[Deel 1] : </t>
        </is>
      </c>
      <c r="U91" t="inlineStr">
        <is>
          <t>X</t>
        </is>
      </c>
      <c r="V91" t="inlineStr"/>
      <c r="W91" t="inlineStr">
        <is>
          <t>Halbledereinband</t>
        </is>
      </c>
      <c r="X91" t="inlineStr">
        <is>
          <t>bis 35 cm</t>
        </is>
      </c>
      <c r="Y91" t="inlineStr">
        <is>
          <t>80° bis 110°, einseitig digitalisierbar?</t>
        </is>
      </c>
      <c r="Z91" t="inlineStr">
        <is>
          <t>fester Rücken mit Schmuckprägung</t>
        </is>
      </c>
      <c r="AA91" t="inlineStr"/>
      <c r="AB91" t="inlineStr">
        <is>
          <t>Archivkarton</t>
        </is>
      </c>
      <c r="AC91" t="inlineStr">
        <is>
          <t>Nein</t>
        </is>
      </c>
      <c r="AD91" t="n">
        <v>0</v>
      </c>
      <c r="AE91" t="inlineStr"/>
      <c r="AF91" t="inlineStr"/>
      <c r="AG91" t="inlineStr"/>
      <c r="AH91" t="inlineStr"/>
      <c r="AI91" t="inlineStr"/>
      <c r="AJ91" t="inlineStr"/>
      <c r="AK91" t="inlineStr"/>
      <c r="AL91" t="inlineStr"/>
      <c r="AM91" t="inlineStr"/>
      <c r="AN91" t="inlineStr">
        <is>
          <t>HL</t>
        </is>
      </c>
      <c r="AO91" t="inlineStr"/>
      <c r="AP91" t="inlineStr"/>
      <c r="AQ91" t="inlineStr">
        <is>
          <t>x</t>
        </is>
      </c>
      <c r="AR91" t="inlineStr">
        <is>
          <t>f</t>
        </is>
      </c>
      <c r="AS91" t="inlineStr"/>
      <c r="AT91" t="inlineStr"/>
      <c r="AU91" t="inlineStr"/>
      <c r="AV91" t="inlineStr"/>
      <c r="AW91" t="inlineStr"/>
      <c r="AX91" t="inlineStr">
        <is>
          <t>Pa</t>
        </is>
      </c>
      <c r="AY91" t="inlineStr"/>
      <c r="AZ91" t="inlineStr"/>
      <c r="BA91" t="inlineStr"/>
      <c r="BB91" t="inlineStr"/>
      <c r="BC91" t="inlineStr"/>
      <c r="BD91" t="inlineStr"/>
      <c r="BE91" t="inlineStr"/>
      <c r="BF91" t="inlineStr"/>
      <c r="BG91" t="inlineStr">
        <is>
          <t>x</t>
        </is>
      </c>
      <c r="BH91" t="inlineStr"/>
      <c r="BI91" t="inlineStr">
        <is>
          <t>x</t>
        </is>
      </c>
      <c r="BJ91" t="inlineStr"/>
      <c r="BK91" t="inlineStr"/>
      <c r="BL91" t="n">
        <v>110</v>
      </c>
      <c r="BM91" t="inlineStr"/>
      <c r="BN91" t="inlineStr"/>
      <c r="BO91" t="inlineStr"/>
      <c r="BP91" t="inlineStr"/>
      <c r="BQ91" t="inlineStr"/>
      <c r="BR91" t="inlineStr">
        <is>
          <t>n</t>
        </is>
      </c>
      <c r="BS91" t="n">
        <v>0</v>
      </c>
      <c r="BT91" t="inlineStr"/>
      <c r="BU91" t="inlineStr"/>
      <c r="BV91" t="inlineStr"/>
      <c r="BW91" t="inlineStr"/>
      <c r="BX91" t="inlineStr">
        <is>
          <t>x</t>
        </is>
      </c>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c r="DH91" t="inlineStr"/>
      <c r="DI91" t="inlineStr"/>
      <c r="DJ91" t="inlineStr"/>
      <c r="DK91" t="inlineStr"/>
      <c r="DL91" t="inlineStr"/>
    </row>
    <row r="92">
      <c r="A92" t="inlineStr">
        <is>
          <t>Schreibmeister</t>
        </is>
      </c>
      <c r="B92" t="b">
        <v>1</v>
      </c>
      <c r="C92" t="inlineStr"/>
      <c r="D92" t="inlineStr"/>
      <c r="E92" t="n">
        <v>85</v>
      </c>
      <c r="F92">
        <f>HYPERLINK("https://portal.dnb.de/opac.htm?method=simpleSearch&amp;cqlMode=true&amp;query=idn%3D1005264414", "Portal")</f>
        <v/>
      </c>
      <c r="G92" t="inlineStr">
        <is>
          <t>Afl</t>
        </is>
      </c>
      <c r="H92">
        <f>HYPERLINK("https://portal.dnb.de/opac.htm?method=simpleSearch&amp;cqlMode=true&amp;query=idn%3D1005264414", "Portal")</f>
        <v/>
      </c>
      <c r="I92" t="inlineStr">
        <is>
          <t>L-9999-184157013</t>
        </is>
      </c>
      <c r="J92" t="inlineStr">
        <is>
          <t>1005264414</t>
        </is>
      </c>
      <c r="K92" t="inlineStr">
        <is>
          <t>Bö B I 499/4</t>
        </is>
      </c>
      <c r="L92" t="inlineStr">
        <is>
          <t>Bö B I 499/4</t>
        </is>
      </c>
      <c r="M92" t="inlineStr">
        <is>
          <t>Bö B I 499/4</t>
        </is>
      </c>
      <c r="N92" t="inlineStr">
        <is>
          <t>Duytsche exemplaren van alderhande gheschriften</t>
        </is>
      </c>
      <c r="O92" t="inlineStr">
        <is>
          <t>Deel 3. : Het Derde Deel der Duytscher ende Franscher Scholen Exemplaer-boeck</t>
        </is>
      </c>
      <c r="P92" t="inlineStr">
        <is>
          <t>Bö B I 499/4°</t>
        </is>
      </c>
      <c r="Q92" t="inlineStr"/>
      <c r="R92" t="inlineStr"/>
      <c r="S92" t="inlineStr">
        <is>
          <t>Duytsche exemplaren van alderhande gheschriften</t>
        </is>
      </c>
      <c r="T92" t="inlineStr">
        <is>
          <t>Deel 3. : Het Derde Deel der Duytscher ende Franscher Scholen Exemplaer-boeck</t>
        </is>
      </c>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inlineStr"/>
      <c r="BO92" t="inlineStr"/>
      <c r="BP92" t="inlineStr"/>
      <c r="BQ92" t="inlineStr"/>
      <c r="BR92" t="inlineStr"/>
      <c r="BS92" t="n">
        <v>0</v>
      </c>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c r="DH92" t="inlineStr"/>
      <c r="DI92" t="inlineStr"/>
      <c r="DJ92" t="inlineStr"/>
      <c r="DK92" t="inlineStr"/>
      <c r="DL92" t="inlineStr"/>
    </row>
    <row r="93">
      <c r="A93" t="inlineStr">
        <is>
          <t>Schreibmeister</t>
        </is>
      </c>
      <c r="B93" t="b">
        <v>1</v>
      </c>
      <c r="C93" t="inlineStr"/>
      <c r="D93" t="inlineStr"/>
      <c r="E93" t="n">
        <v>86</v>
      </c>
      <c r="F93">
        <f>HYPERLINK("https://portal.dnb.de/opac.htm?method=simpleSearch&amp;cqlMode=true&amp;query=idn%3D1066940584", "Portal")</f>
        <v/>
      </c>
      <c r="G93" t="inlineStr">
        <is>
          <t>Aaf</t>
        </is>
      </c>
      <c r="H93">
        <f>HYPERLINK("https://portal.dnb.de/opac.htm?method=simpleSearch&amp;cqlMode=true&amp;query=idn%3D1066940584", "Portal")</f>
        <v/>
      </c>
      <c r="I93" t="inlineStr">
        <is>
          <t>L-1830-31546836X</t>
        </is>
      </c>
      <c r="J93" t="inlineStr">
        <is>
          <t>1066940584</t>
        </is>
      </c>
      <c r="K93" t="inlineStr">
        <is>
          <t>Bö B I 503</t>
        </is>
      </c>
      <c r="L93" t="inlineStr">
        <is>
          <t>Bö B I 503</t>
        </is>
      </c>
      <c r="M93" t="inlineStr">
        <is>
          <t>Bö B I 503</t>
        </is>
      </c>
      <c r="N93" t="inlineStr">
        <is>
          <t>Le @scritture francesi, italiane, ed inglesi nella loro perfezione : cavate dagli esemplari de' migliori maestri delle tre nazioni</t>
        </is>
      </c>
      <c r="O93" t="inlineStr">
        <is>
          <t xml:space="preserve"> : </t>
        </is>
      </c>
      <c r="P93" t="inlineStr">
        <is>
          <t>Bö B I 503</t>
        </is>
      </c>
      <c r="Q93" t="inlineStr"/>
      <c r="R93" t="inlineStr"/>
      <c r="S93" t="inlineStr">
        <is>
          <t>Le @scritture francesi, italiane, ed inglesi nella loro perfezione : cavate dagli esemplari de' migliori maestri delle tre nazioni</t>
        </is>
      </c>
      <c r="T93" t="inlineStr">
        <is>
          <t xml:space="preserve"> : </t>
        </is>
      </c>
      <c r="U93" t="inlineStr">
        <is>
          <t>X</t>
        </is>
      </c>
      <c r="V93" t="inlineStr"/>
      <c r="W93" t="inlineStr">
        <is>
          <t>Halbgewebeband</t>
        </is>
      </c>
      <c r="X93" t="inlineStr">
        <is>
          <t>bis 25 cm</t>
        </is>
      </c>
      <c r="Y93" t="inlineStr">
        <is>
          <t>180°</t>
        </is>
      </c>
      <c r="Z93" t="inlineStr"/>
      <c r="AA93" t="inlineStr"/>
      <c r="AB93" t="inlineStr">
        <is>
          <t>Archivkarton</t>
        </is>
      </c>
      <c r="AC93" t="inlineStr">
        <is>
          <t>Nein</t>
        </is>
      </c>
      <c r="AD93" t="n">
        <v>0</v>
      </c>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BR93" t="inlineStr"/>
      <c r="BS93" t="n">
        <v>0</v>
      </c>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c r="DH93" t="inlineStr"/>
      <c r="DI93" t="inlineStr"/>
      <c r="DJ93" t="inlineStr"/>
      <c r="DK93" t="inlineStr"/>
      <c r="DL93" t="inlineStr"/>
    </row>
    <row r="94">
      <c r="A94" t="inlineStr">
        <is>
          <t>Schreibmeister</t>
        </is>
      </c>
      <c r="B94" t="b">
        <v>1</v>
      </c>
      <c r="C94" t="inlineStr"/>
      <c r="D94" t="inlineStr"/>
      <c r="E94" t="n">
        <v>87</v>
      </c>
      <c r="F94">
        <f>HYPERLINK("https://portal.dnb.de/opac.htm?method=simpleSearch&amp;cqlMode=true&amp;query=idn%3D1002661714", "Portal")</f>
        <v/>
      </c>
      <c r="G94" t="inlineStr">
        <is>
          <t>Aal</t>
        </is>
      </c>
      <c r="H94">
        <f>HYPERLINK("https://portal.dnb.de/opac.htm?method=simpleSearch&amp;cqlMode=true&amp;query=idn%3D1002661714", "Portal")</f>
        <v/>
      </c>
      <c r="I94" t="inlineStr">
        <is>
          <t>L-1672-177815825</t>
        </is>
      </c>
      <c r="J94" t="inlineStr">
        <is>
          <t>1002661714</t>
        </is>
      </c>
      <c r="K94" t="inlineStr">
        <is>
          <t>Bö B I 504</t>
        </is>
      </c>
      <c r="L94" t="inlineStr">
        <is>
          <t>Bö B I 504</t>
        </is>
      </c>
      <c r="M94" t="inlineStr">
        <is>
          <t>Bö B I 504</t>
        </is>
      </c>
      <c r="N94" t="inlineStr">
        <is>
          <t>Exemplaer boeck : Inhoudende de noodtwendichste Schriften voor de Jeucht seer dienstich</t>
        </is>
      </c>
      <c r="O94" t="inlineStr">
        <is>
          <t xml:space="preserve"> : </t>
        </is>
      </c>
      <c r="P94" t="inlineStr">
        <is>
          <t>Bö B I 504</t>
        </is>
      </c>
      <c r="Q94" t="inlineStr"/>
      <c r="R94" t="inlineStr"/>
      <c r="S94" t="inlineStr">
        <is>
          <t>Exemplaer boeck : Inhoudende de noodtwendichste Schriften voor de Jeucht seer dienstich</t>
        </is>
      </c>
      <c r="T94" t="inlineStr">
        <is>
          <t xml:space="preserve"> : </t>
        </is>
      </c>
      <c r="U94" t="inlineStr">
        <is>
          <t>X</t>
        </is>
      </c>
      <c r="V94" t="inlineStr"/>
      <c r="W94" t="inlineStr">
        <is>
          <t>Pergamentband</t>
        </is>
      </c>
      <c r="X94" t="inlineStr">
        <is>
          <t>bis 25 cm</t>
        </is>
      </c>
      <c r="Y94" t="inlineStr">
        <is>
          <t>80° bis 110°, einseitig digitalisierbar?</t>
        </is>
      </c>
      <c r="Z94" t="inlineStr">
        <is>
          <t>hohler Rücken</t>
        </is>
      </c>
      <c r="AA94" t="inlineStr"/>
      <c r="AB94" t="inlineStr">
        <is>
          <t>Archivkarton</t>
        </is>
      </c>
      <c r="AC94" t="inlineStr">
        <is>
          <t>Nein</t>
        </is>
      </c>
      <c r="AD94" t="n">
        <v>2</v>
      </c>
      <c r="AE94" t="inlineStr"/>
      <c r="AF94" t="inlineStr"/>
      <c r="AG94" t="inlineStr"/>
      <c r="AH94" t="inlineStr"/>
      <c r="AI94" t="inlineStr"/>
      <c r="AJ94" t="inlineStr"/>
      <c r="AK94" t="inlineStr">
        <is>
          <t>QF (20x11)</t>
        </is>
      </c>
      <c r="AL94" t="inlineStr"/>
      <c r="AM94" t="inlineStr"/>
      <c r="AN94" t="inlineStr">
        <is>
          <t>Pg</t>
        </is>
      </c>
      <c r="AO94" t="inlineStr"/>
      <c r="AP94" t="inlineStr"/>
      <c r="AQ94" t="inlineStr"/>
      <c r="AR94" t="inlineStr">
        <is>
          <t>h</t>
        </is>
      </c>
      <c r="AS94" t="inlineStr"/>
      <c r="AT94" t="inlineStr"/>
      <c r="AU94" t="inlineStr"/>
      <c r="AV94" t="inlineStr"/>
      <c r="AW94" t="inlineStr"/>
      <c r="AX94" t="inlineStr">
        <is>
          <t>Pa</t>
        </is>
      </c>
      <c r="AY94" t="inlineStr"/>
      <c r="AZ94" t="inlineStr"/>
      <c r="BA94" t="inlineStr"/>
      <c r="BB94" t="inlineStr"/>
      <c r="BC94" t="inlineStr"/>
      <c r="BD94" t="inlineStr"/>
      <c r="BE94" t="inlineStr"/>
      <c r="BF94" t="inlineStr"/>
      <c r="BG94" t="inlineStr"/>
      <c r="BH94" t="inlineStr"/>
      <c r="BI94" t="inlineStr">
        <is>
          <t>x</t>
        </is>
      </c>
      <c r="BJ94" t="inlineStr"/>
      <c r="BK94" t="inlineStr"/>
      <c r="BL94" t="n">
        <v>110</v>
      </c>
      <c r="BM94" t="inlineStr"/>
      <c r="BN94" t="inlineStr"/>
      <c r="BO94" t="inlineStr"/>
      <c r="BP94" t="inlineStr"/>
      <c r="BQ94" t="inlineStr"/>
      <c r="BR94" t="inlineStr">
        <is>
          <t>n</t>
        </is>
      </c>
      <c r="BS94" t="n">
        <v>0</v>
      </c>
      <c r="BT94" t="inlineStr"/>
      <c r="BU94" t="inlineStr">
        <is>
          <t>Wellpappe</t>
        </is>
      </c>
      <c r="BV94" t="inlineStr"/>
      <c r="BW94" t="inlineStr"/>
      <c r="BX94" t="inlineStr"/>
      <c r="BY94" t="inlineStr"/>
      <c r="BZ94" t="inlineStr"/>
      <c r="CA94" t="inlineStr">
        <is>
          <t>Schaden stabil</t>
        </is>
      </c>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c r="DH94" t="inlineStr"/>
      <c r="DI94" t="inlineStr"/>
      <c r="DJ94" t="inlineStr"/>
      <c r="DK94" t="inlineStr"/>
      <c r="DL94" t="inlineStr"/>
    </row>
    <row r="95">
      <c r="A95" t="inlineStr">
        <is>
          <t>Schreibmeister</t>
        </is>
      </c>
      <c r="B95" t="b">
        <v>1</v>
      </c>
      <c r="C95" t="inlineStr"/>
      <c r="D95" t="inlineStr"/>
      <c r="E95" t="n">
        <v>88</v>
      </c>
      <c r="F95">
        <f>HYPERLINK("https://portal.dnb.de/opac.htm?method=simpleSearch&amp;cqlMode=true&amp;query=idn%3D1002797225", "Portal")</f>
        <v/>
      </c>
      <c r="G95" t="inlineStr">
        <is>
          <t>Aal</t>
        </is>
      </c>
      <c r="H95">
        <f>HYPERLINK("https://portal.dnb.de/opac.htm?method=simpleSearch&amp;cqlMode=true&amp;query=idn%3D1002797225", "Portal")</f>
        <v/>
      </c>
      <c r="I95" t="inlineStr">
        <is>
          <t>L-1587-178175307</t>
        </is>
      </c>
      <c r="J95" t="inlineStr">
        <is>
          <t>1002797225</t>
        </is>
      </c>
      <c r="K95" t="inlineStr">
        <is>
          <t>Bö B I 505</t>
        </is>
      </c>
      <c r="L95" t="inlineStr">
        <is>
          <t>Bö B I 505</t>
        </is>
      </c>
      <c r="M95" t="inlineStr">
        <is>
          <t>Bö B I 505</t>
        </is>
      </c>
      <c r="N95" t="inlineStr">
        <is>
          <t xml:space="preserve">Il @primo Libro delli essempi : </t>
        </is>
      </c>
      <c r="O95" t="inlineStr">
        <is>
          <t xml:space="preserve"> : </t>
        </is>
      </c>
      <c r="P95" t="inlineStr">
        <is>
          <t>Bö B I 505</t>
        </is>
      </c>
      <c r="Q95" t="inlineStr"/>
      <c r="R95" t="inlineStr"/>
      <c r="S95" t="inlineStr">
        <is>
          <t xml:space="preserve">Il @primo Libro delli essempi : </t>
        </is>
      </c>
      <c r="T95" t="inlineStr">
        <is>
          <t xml:space="preserve"> : </t>
        </is>
      </c>
      <c r="U95" t="inlineStr">
        <is>
          <t>X</t>
        </is>
      </c>
      <c r="V95" t="inlineStr"/>
      <c r="W95" t="inlineStr">
        <is>
          <t>Halbpergamentband</t>
        </is>
      </c>
      <c r="X95" t="inlineStr">
        <is>
          <t>bis 25 cm</t>
        </is>
      </c>
      <c r="Y95" t="inlineStr">
        <is>
          <t>80° bis 110°, einseitig digitalisierbar?</t>
        </is>
      </c>
      <c r="Z95" t="inlineStr"/>
      <c r="AA95" t="inlineStr"/>
      <c r="AB95" t="inlineStr">
        <is>
          <t>Archivkarton</t>
        </is>
      </c>
      <c r="AC95" t="inlineStr">
        <is>
          <t>Nein</t>
        </is>
      </c>
      <c r="AD95" t="n">
        <v>0</v>
      </c>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c r="BR95" t="inlineStr"/>
      <c r="BS95" t="n">
        <v>0</v>
      </c>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c r="DH95" t="inlineStr"/>
      <c r="DI95" t="inlineStr"/>
      <c r="DJ95" t="inlineStr"/>
      <c r="DK95" t="inlineStr"/>
      <c r="DL95" t="inlineStr"/>
    </row>
    <row r="96">
      <c r="A96" t="inlineStr">
        <is>
          <t>Schreibmeister</t>
        </is>
      </c>
      <c r="B96" t="b">
        <v>1</v>
      </c>
      <c r="C96" t="inlineStr"/>
      <c r="D96" t="inlineStr"/>
      <c r="E96" t="n">
        <v>89</v>
      </c>
      <c r="F96">
        <f>HYPERLINK("https://portal.dnb.de/opac.htm?method=simpleSearch&amp;cqlMode=true&amp;query=idn%3D993908063", "Portal")</f>
        <v/>
      </c>
      <c r="G96" t="inlineStr">
        <is>
          <t>Aal</t>
        </is>
      </c>
      <c r="H96">
        <f>HYPERLINK("https://portal.dnb.de/opac.htm?method=simpleSearch&amp;cqlMode=true&amp;query=idn%3D993908063", "Portal")</f>
        <v/>
      </c>
      <c r="I96" t="inlineStr">
        <is>
          <t>L-1776-162843321</t>
        </is>
      </c>
      <c r="J96" t="inlineStr">
        <is>
          <t>993908063</t>
        </is>
      </c>
      <c r="K96" t="inlineStr">
        <is>
          <t>Bö B I 506</t>
        </is>
      </c>
      <c r="L96" t="inlineStr">
        <is>
          <t>Bö B I 506</t>
        </is>
      </c>
      <c r="M96" t="inlineStr">
        <is>
          <t>Bö B I 506</t>
        </is>
      </c>
      <c r="N96" t="inlineStr">
        <is>
          <t>Vollkommene Gründ- und Regulmäßige Anweisung zur Schön-Schreib-Kunst, darinnen man... die Current- Canzley- und Fractur-Schrifften- ingleichen auch di</t>
        </is>
      </c>
      <c r="O96" t="inlineStr">
        <is>
          <t xml:space="preserve"> : </t>
        </is>
      </c>
      <c r="P96" t="inlineStr">
        <is>
          <t>Bö B I 506</t>
        </is>
      </c>
      <c r="Q96" t="inlineStr"/>
      <c r="R96" t="inlineStr"/>
      <c r="S96" t="inlineStr">
        <is>
          <t>Vollkommene Gründ- und Regulmäßige Anweisung zur Schön-Schreib-Kunst, darinnen man... die Current- Canzley- und Fractur-Schrifften- ingleichen auch di</t>
        </is>
      </c>
      <c r="T96" t="inlineStr">
        <is>
          <t xml:space="preserve"> : </t>
        </is>
      </c>
      <c r="U96" t="inlineStr">
        <is>
          <t>X</t>
        </is>
      </c>
      <c r="V96" t="inlineStr"/>
      <c r="W96" t="inlineStr">
        <is>
          <t>Pergamentband</t>
        </is>
      </c>
      <c r="X96" t="inlineStr">
        <is>
          <t>bis 35 cm</t>
        </is>
      </c>
      <c r="Y96" t="inlineStr">
        <is>
          <t>80° bis 110°, einseitig digitalisierbar?</t>
        </is>
      </c>
      <c r="Z96" t="inlineStr">
        <is>
          <t>hohler Rücken</t>
        </is>
      </c>
      <c r="AA96" t="inlineStr"/>
      <c r="AB96" t="inlineStr">
        <is>
          <t>Archivkarton</t>
        </is>
      </c>
      <c r="AC96" t="inlineStr">
        <is>
          <t>Nein</t>
        </is>
      </c>
      <c r="AD96" t="n">
        <v>0</v>
      </c>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inlineStr"/>
      <c r="BO96" t="inlineStr"/>
      <c r="BP96" t="inlineStr"/>
      <c r="BQ96" t="inlineStr"/>
      <c r="BR96" t="inlineStr"/>
      <c r="BS96" t="n">
        <v>0</v>
      </c>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c r="DH96" t="inlineStr"/>
      <c r="DI96" t="inlineStr"/>
      <c r="DJ96" t="inlineStr"/>
      <c r="DK96" t="inlineStr"/>
      <c r="DL96" t="inlineStr"/>
    </row>
    <row r="97">
      <c r="A97" t="inlineStr">
        <is>
          <t>Schreibmeister</t>
        </is>
      </c>
      <c r="B97" t="b">
        <v>1</v>
      </c>
      <c r="C97" t="inlineStr"/>
      <c r="D97" t="inlineStr"/>
      <c r="E97" t="n">
        <v>90</v>
      </c>
      <c r="F97">
        <f>HYPERLINK("https://portal.dnb.de/opac.htm?method=simpleSearch&amp;cqlMode=true&amp;query=idn%3D1000444562", "Portal")</f>
        <v/>
      </c>
      <c r="G97" t="inlineStr">
        <is>
          <t>Aal</t>
        </is>
      </c>
      <c r="H97">
        <f>HYPERLINK("https://portal.dnb.de/opac.htm?method=simpleSearch&amp;cqlMode=true&amp;query=idn%3D1000444562", "Portal")</f>
        <v/>
      </c>
      <c r="I97" t="inlineStr">
        <is>
          <t>L-1794-170642828</t>
        </is>
      </c>
      <c r="J97" t="inlineStr">
        <is>
          <t>1000444562</t>
        </is>
      </c>
      <c r="K97" t="inlineStr">
        <is>
          <t>Bö B I 507</t>
        </is>
      </c>
      <c r="L97" t="inlineStr">
        <is>
          <t>Bö B I 507</t>
        </is>
      </c>
      <c r="M97" t="inlineStr">
        <is>
          <t>Bö B I 507</t>
        </is>
      </c>
      <c r="N97" t="inlineStr">
        <is>
          <t>Verzeichniss deutscher Buchstaben nach der Etymologie bis zur Calligraphie neu entworfen von einem sehr berühmten und in diesem Sache wohl erfahrnen M</t>
        </is>
      </c>
      <c r="O97" t="inlineStr">
        <is>
          <t xml:space="preserve"> : </t>
        </is>
      </c>
      <c r="P97" t="inlineStr">
        <is>
          <t>Bö B I 507</t>
        </is>
      </c>
      <c r="Q97" t="inlineStr"/>
      <c r="R97" t="inlineStr"/>
      <c r="S97" t="inlineStr">
        <is>
          <t>Verzeichniss deutscher Buchstaben nach der Etymologie bis zur Calligraphie neu entworfen von einem sehr berühmten und in diesem Sache wohl erfahrnen M</t>
        </is>
      </c>
      <c r="T97" t="inlineStr">
        <is>
          <t xml:space="preserve"> : </t>
        </is>
      </c>
      <c r="U97" t="inlineStr">
        <is>
          <t>X</t>
        </is>
      </c>
      <c r="V97" t="inlineStr"/>
      <c r="W97" t="inlineStr">
        <is>
          <t>Halbpergamentband</t>
        </is>
      </c>
      <c r="X97" t="inlineStr">
        <is>
          <t>bis 25 cm</t>
        </is>
      </c>
      <c r="Y97" t="inlineStr">
        <is>
          <t>80° bis 110°, einseitig digitalisierbar?</t>
        </is>
      </c>
      <c r="Z97" t="inlineStr">
        <is>
          <t>hohler Rücken</t>
        </is>
      </c>
      <c r="AA97" t="inlineStr"/>
      <c r="AB97" t="inlineStr">
        <is>
          <t>Archivkarton</t>
        </is>
      </c>
      <c r="AC97" t="inlineStr">
        <is>
          <t>Nein</t>
        </is>
      </c>
      <c r="AD97" t="n">
        <v>0</v>
      </c>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BR97" t="inlineStr"/>
      <c r="BS97" t="n">
        <v>0</v>
      </c>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c r="DH97" t="inlineStr"/>
      <c r="DI97" t="inlineStr"/>
      <c r="DJ97" t="inlineStr"/>
      <c r="DK97" t="inlineStr"/>
      <c r="DL97" t="inlineStr"/>
    </row>
    <row r="98">
      <c r="A98" t="inlineStr">
        <is>
          <t>Schreibmeister</t>
        </is>
      </c>
      <c r="B98" t="b">
        <v>1</v>
      </c>
      <c r="C98" t="inlineStr"/>
      <c r="D98" t="inlineStr"/>
      <c r="E98" t="n">
        <v>91</v>
      </c>
      <c r="F98">
        <f>HYPERLINK("https://portal.dnb.de/opac.htm?method=simpleSearch&amp;cqlMode=true&amp;query=idn%3D1002859336", "Portal")</f>
        <v/>
      </c>
      <c r="G98" t="inlineStr">
        <is>
          <t>Aal</t>
        </is>
      </c>
      <c r="H98">
        <f>HYPERLINK("https://portal.dnb.de/opac.htm?method=simpleSearch&amp;cqlMode=true&amp;query=idn%3D1002859336", "Portal")</f>
        <v/>
      </c>
      <c r="I98" t="inlineStr">
        <is>
          <t>L-1522-178262609</t>
        </is>
      </c>
      <c r="J98" t="inlineStr">
        <is>
          <t>1002859336</t>
        </is>
      </c>
      <c r="K98" t="inlineStr">
        <is>
          <t>Bö B I 508</t>
        </is>
      </c>
      <c r="L98" t="inlineStr">
        <is>
          <t>Bö B I 508</t>
        </is>
      </c>
      <c r="M98" t="inlineStr">
        <is>
          <t>Bö B I 508</t>
        </is>
      </c>
      <c r="N98" t="inlineStr">
        <is>
          <t xml:space="preserve">La @Operi||na|| di Ludouico Vicentino, da|| imparareʹ di|| scriue=||reʹ : </t>
        </is>
      </c>
      <c r="O98" t="inlineStr">
        <is>
          <t xml:space="preserve"> : </t>
        </is>
      </c>
      <c r="P98" t="inlineStr">
        <is>
          <t>Bö B I 508</t>
        </is>
      </c>
      <c r="Q98" t="inlineStr"/>
      <c r="R98" t="inlineStr"/>
      <c r="S98" t="inlineStr">
        <is>
          <t xml:space="preserve">La @Operi||na|| di Ludouico Vicentino, da|| imparareʹ di|| scriue=||reʹ : </t>
        </is>
      </c>
      <c r="T98" t="inlineStr">
        <is>
          <t xml:space="preserve"> : </t>
        </is>
      </c>
      <c r="U98" t="inlineStr">
        <is>
          <t>X</t>
        </is>
      </c>
      <c r="V98" t="inlineStr"/>
      <c r="W98" t="inlineStr">
        <is>
          <t>Ledereinband</t>
        </is>
      </c>
      <c r="X98" t="inlineStr">
        <is>
          <t>bis 25 cm</t>
        </is>
      </c>
      <c r="Y98" t="inlineStr">
        <is>
          <t>80° bis 110°, einseitig digitalisierbar?</t>
        </is>
      </c>
      <c r="Z98" t="inlineStr">
        <is>
          <t>fester Rücken mit Schmuckprägung</t>
        </is>
      </c>
      <c r="AA98" t="inlineStr"/>
      <c r="AB98" t="inlineStr">
        <is>
          <t>Archivkarton</t>
        </is>
      </c>
      <c r="AC98" t="inlineStr">
        <is>
          <t>Nein</t>
        </is>
      </c>
      <c r="AD98" t="n">
        <v>0</v>
      </c>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BR98" t="inlineStr"/>
      <c r="BS98" t="n">
        <v>0</v>
      </c>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c r="DH98" t="inlineStr"/>
      <c r="DI98" t="inlineStr"/>
      <c r="DJ98" t="inlineStr"/>
      <c r="DK98" t="inlineStr"/>
      <c r="DL98" t="inlineStr"/>
    </row>
    <row r="99">
      <c r="A99" t="inlineStr">
        <is>
          <t>Schreibmeister</t>
        </is>
      </c>
      <c r="B99" t="b">
        <v>1</v>
      </c>
      <c r="C99" t="inlineStr"/>
      <c r="D99" t="inlineStr"/>
      <c r="E99" t="n">
        <v>92</v>
      </c>
      <c r="F99">
        <f>HYPERLINK("https://portal.dnb.de/opac.htm?method=simpleSearch&amp;cqlMode=true&amp;query=idn%3D1002859336", "Portal")</f>
        <v/>
      </c>
      <c r="G99" t="inlineStr">
        <is>
          <t>Aal</t>
        </is>
      </c>
      <c r="H99">
        <f>HYPERLINK("https://portal.dnb.de/opac.htm?method=simpleSearch&amp;cqlMode=true&amp;query=idn%3D1002859336", "Portal")</f>
        <v/>
      </c>
      <c r="I99" t="inlineStr">
        <is>
          <t>L-1522-178397555</t>
        </is>
      </c>
      <c r="J99" t="inlineStr">
        <is>
          <t>1002859336</t>
        </is>
      </c>
      <c r="K99" t="inlineStr">
        <is>
          <t>Bö B I 509</t>
        </is>
      </c>
      <c r="L99" t="inlineStr">
        <is>
          <t>Bö B I 509</t>
        </is>
      </c>
      <c r="M99" t="inlineStr">
        <is>
          <t>Bö B I 509</t>
        </is>
      </c>
      <c r="N99" t="inlineStr">
        <is>
          <t xml:space="preserve">La @Operi||na|| di Ludouico Vicentino, da|| imparareʹ di|| scriue=||reʹ : </t>
        </is>
      </c>
      <c r="O99" t="inlineStr">
        <is>
          <t xml:space="preserve"> : </t>
        </is>
      </c>
      <c r="P99" t="inlineStr">
        <is>
          <t>Bö B I 509</t>
        </is>
      </c>
      <c r="Q99" t="inlineStr"/>
      <c r="R99" t="inlineStr"/>
      <c r="S99" t="inlineStr">
        <is>
          <t xml:space="preserve">La @Operi||na|| di Ludouico Vicentino, da|| imparareʹ di|| scriue=||reʹ : </t>
        </is>
      </c>
      <c r="T99" t="inlineStr">
        <is>
          <t xml:space="preserve"> : </t>
        </is>
      </c>
      <c r="U99" t="inlineStr">
        <is>
          <t>X</t>
        </is>
      </c>
      <c r="V99" t="inlineStr"/>
      <c r="W99" t="inlineStr">
        <is>
          <t>Halbpergamentband</t>
        </is>
      </c>
      <c r="X99" t="inlineStr">
        <is>
          <t>bis 25 cm</t>
        </is>
      </c>
      <c r="Y99" t="inlineStr">
        <is>
          <t>80° bis 110°, einseitig digitalisierbar?</t>
        </is>
      </c>
      <c r="Z99" t="inlineStr"/>
      <c r="AA99" t="inlineStr"/>
      <c r="AB99" t="inlineStr">
        <is>
          <t>Archivkarton</t>
        </is>
      </c>
      <c r="AC99" t="inlineStr">
        <is>
          <t>Nein</t>
        </is>
      </c>
      <c r="AD99" t="n">
        <v>2</v>
      </c>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BR99" t="inlineStr"/>
      <c r="BS99" t="n">
        <v>0</v>
      </c>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c r="DH99" t="inlineStr"/>
      <c r="DI99" t="inlineStr"/>
      <c r="DJ99" t="inlineStr"/>
      <c r="DK99" t="inlineStr"/>
      <c r="DL99" t="inlineStr"/>
    </row>
    <row r="100">
      <c r="A100" t="inlineStr">
        <is>
          <t>Schreibmeister</t>
        </is>
      </c>
      <c r="B100" t="b">
        <v>1</v>
      </c>
      <c r="C100" t="inlineStr"/>
      <c r="D100" t="inlineStr"/>
      <c r="E100" t="n">
        <v>93</v>
      </c>
      <c r="F100">
        <f>HYPERLINK("https://portal.dnb.de/opac.htm?method=simpleSearch&amp;cqlMode=true&amp;query=idn%3D1002859336", "Portal")</f>
        <v/>
      </c>
      <c r="G100" t="inlineStr">
        <is>
          <t>Aal</t>
        </is>
      </c>
      <c r="H100">
        <f>HYPERLINK("https://portal.dnb.de/opac.htm?method=simpleSearch&amp;cqlMode=true&amp;query=idn%3D1002859336", "Portal")</f>
        <v/>
      </c>
      <c r="I100" t="inlineStr">
        <is>
          <t>L-1522-178397849</t>
        </is>
      </c>
      <c r="J100" t="inlineStr">
        <is>
          <t>1002859336</t>
        </is>
      </c>
      <c r="K100" t="inlineStr">
        <is>
          <t>Bö B I 510</t>
        </is>
      </c>
      <c r="L100" t="inlineStr">
        <is>
          <t>Bö B I 510</t>
        </is>
      </c>
      <c r="M100" t="inlineStr">
        <is>
          <t>Bö B I 510</t>
        </is>
      </c>
      <c r="N100" t="inlineStr">
        <is>
          <t xml:space="preserve">La @Operi||na|| di Ludouico Vicentino, da|| imparareʹ di|| scriue=||reʹ : </t>
        </is>
      </c>
      <c r="O100" t="inlineStr">
        <is>
          <t xml:space="preserve"> : </t>
        </is>
      </c>
      <c r="P100" t="inlineStr">
        <is>
          <t>Bö B I 510</t>
        </is>
      </c>
      <c r="Q100" t="inlineStr"/>
      <c r="R100" t="inlineStr"/>
      <c r="S100" t="inlineStr">
        <is>
          <t xml:space="preserve">La @Operi||na|| di Ludouico Vicentino, da|| imparareʹ di|| scriue=||reʹ : </t>
        </is>
      </c>
      <c r="T100" t="inlineStr">
        <is>
          <t xml:space="preserve"> : </t>
        </is>
      </c>
      <c r="U100" t="inlineStr">
        <is>
          <t>X</t>
        </is>
      </c>
      <c r="V100" t="inlineStr"/>
      <c r="W100" t="inlineStr">
        <is>
          <t>Halbgewebeband</t>
        </is>
      </c>
      <c r="X100" t="inlineStr">
        <is>
          <t>bis 25 cm</t>
        </is>
      </c>
      <c r="Y100" t="inlineStr">
        <is>
          <t>180°</t>
        </is>
      </c>
      <c r="Z100" t="inlineStr"/>
      <c r="AA100" t="inlineStr"/>
      <c r="AB100" t="inlineStr">
        <is>
          <t>Archivkarton</t>
        </is>
      </c>
      <c r="AC100" t="inlineStr">
        <is>
          <t>Nein</t>
        </is>
      </c>
      <c r="AD100" t="n">
        <v>1</v>
      </c>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c r="BR100" t="inlineStr"/>
      <c r="BS100" t="n">
        <v>0</v>
      </c>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c r="DH100" t="inlineStr"/>
      <c r="DI100" t="inlineStr"/>
      <c r="DJ100" t="inlineStr"/>
      <c r="DK100" t="inlineStr"/>
      <c r="DL100" t="inlineStr"/>
    </row>
    <row r="101">
      <c r="A101" t="inlineStr">
        <is>
          <t>Schreibmeister</t>
        </is>
      </c>
      <c r="B101" t="b">
        <v>1</v>
      </c>
      <c r="C101" t="inlineStr"/>
      <c r="D101" t="inlineStr"/>
      <c r="E101" t="n">
        <v>94</v>
      </c>
      <c r="F101">
        <f>HYPERLINK("https://portal.dnb.de/opac.htm?method=simpleSearch&amp;cqlMode=true&amp;query=idn%3D1002858550", "Portal")</f>
        <v/>
      </c>
      <c r="G101" t="inlineStr">
        <is>
          <t>Aal</t>
        </is>
      </c>
      <c r="H101">
        <f>HYPERLINK("https://portal.dnb.de/opac.htm?method=simpleSearch&amp;cqlMode=true&amp;query=idn%3D1002858550", "Portal")</f>
        <v/>
      </c>
      <c r="I101" t="inlineStr">
        <is>
          <t>L-1523-178261874</t>
        </is>
      </c>
      <c r="J101" t="inlineStr">
        <is>
          <t>1002858550</t>
        </is>
      </c>
      <c r="K101" t="inlineStr">
        <is>
          <t>Bö B I 511</t>
        </is>
      </c>
      <c r="L101" t="inlineStr">
        <is>
          <t>Bö B I 511</t>
        </is>
      </c>
      <c r="M101" t="inlineStr">
        <is>
          <t>Bö B I 511</t>
        </is>
      </c>
      <c r="N101" t="inlineStr">
        <is>
          <t xml:space="preserve">Il @modo temperare le|| Penne|| con le uarie Sorti de littere|| ordinato : </t>
        </is>
      </c>
      <c r="O101" t="inlineStr">
        <is>
          <t xml:space="preserve"> : </t>
        </is>
      </c>
      <c r="P101" t="inlineStr">
        <is>
          <t>Bö B I 511</t>
        </is>
      </c>
      <c r="Q101" t="inlineStr"/>
      <c r="R101" t="inlineStr"/>
      <c r="S101" t="inlineStr">
        <is>
          <t xml:space="preserve">Il @modo temperare le|| Penne|| con le uarie Sorti de littere|| ordinato : </t>
        </is>
      </c>
      <c r="T101" t="inlineStr">
        <is>
          <t xml:space="preserve"> : </t>
        </is>
      </c>
      <c r="U101" t="inlineStr">
        <is>
          <t>X</t>
        </is>
      </c>
      <c r="V101" t="inlineStr"/>
      <c r="W101" t="inlineStr">
        <is>
          <t>Halbledereinband</t>
        </is>
      </c>
      <c r="X101" t="inlineStr">
        <is>
          <t>bis 25 cm</t>
        </is>
      </c>
      <c r="Y101" t="inlineStr">
        <is>
          <t>180°</t>
        </is>
      </c>
      <c r="Z101" t="inlineStr"/>
      <c r="AA101" t="inlineStr"/>
      <c r="AB101" t="inlineStr">
        <is>
          <t>Archivkarton</t>
        </is>
      </c>
      <c r="AC101" t="inlineStr">
        <is>
          <t>Nein</t>
        </is>
      </c>
      <c r="AD101" t="n">
        <v>0</v>
      </c>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BR101" t="inlineStr"/>
      <c r="BS101" t="n">
        <v>0</v>
      </c>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c r="DH101" t="inlineStr"/>
      <c r="DI101" t="inlineStr"/>
      <c r="DJ101" t="inlineStr"/>
      <c r="DK101" t="inlineStr"/>
      <c r="DL101" t="inlineStr"/>
    </row>
    <row r="102">
      <c r="A102" t="inlineStr">
        <is>
          <t>Schreibmeister</t>
        </is>
      </c>
      <c r="B102" t="b">
        <v>1</v>
      </c>
      <c r="C102" t="inlineStr"/>
      <c r="D102" t="inlineStr"/>
      <c r="E102" t="n">
        <v>95</v>
      </c>
      <c r="F102">
        <f>HYPERLINK("https://portal.dnb.de/opac.htm?method=simpleSearch&amp;cqlMode=true&amp;query=idn%3D1002891205", "Portal")</f>
        <v/>
      </c>
      <c r="G102" t="inlineStr">
        <is>
          <t>Aal</t>
        </is>
      </c>
      <c r="H102">
        <f>HYPERLINK("https://portal.dnb.de/opac.htm?method=simpleSearch&amp;cqlMode=true&amp;query=idn%3D1002891205", "Portal")</f>
        <v/>
      </c>
      <c r="I102" t="inlineStr">
        <is>
          <t>L-1525-178399337</t>
        </is>
      </c>
      <c r="J102" t="inlineStr">
        <is>
          <t>1002891205</t>
        </is>
      </c>
      <c r="K102" t="inlineStr">
        <is>
          <t>Bö B I 512</t>
        </is>
      </c>
      <c r="L102" t="inlineStr">
        <is>
          <t>Bö B I 512</t>
        </is>
      </c>
      <c r="M102" t="inlineStr">
        <is>
          <t>Bö B I 512</t>
        </is>
      </c>
      <c r="N102" t="inlineStr">
        <is>
          <t>La @Operi||na|| di Ludouico Vicentino, da|| imparare di|| scriue=||re|| littera Can=||cellares=||cha||. Con molte altre noue littere agiunte, et una b</t>
        </is>
      </c>
      <c r="O102" t="inlineStr">
        <is>
          <t xml:space="preserve"> : </t>
        </is>
      </c>
      <c r="P102" t="inlineStr">
        <is>
          <t>Bö B I 512</t>
        </is>
      </c>
      <c r="Q102" t="inlineStr"/>
      <c r="R102" t="inlineStr"/>
      <c r="S102" t="inlineStr">
        <is>
          <t>La @Operi||na|| di Ludouico Vicentino, da|| imparare di|| scriue=||re|| littera Can=||cellares=||cha||. Con molte altre noue littere agiunte, et una b</t>
        </is>
      </c>
      <c r="T102" t="inlineStr">
        <is>
          <t xml:space="preserve"> : </t>
        </is>
      </c>
      <c r="U102" t="inlineStr">
        <is>
          <t>X</t>
        </is>
      </c>
      <c r="V102" t="inlineStr"/>
      <c r="W102" t="inlineStr">
        <is>
          <t>Halbpergamentband</t>
        </is>
      </c>
      <c r="X102" t="inlineStr">
        <is>
          <t>bis 25 cm</t>
        </is>
      </c>
      <c r="Y102" t="inlineStr">
        <is>
          <t>80° bis 110°, einseitig digitalisierbar?</t>
        </is>
      </c>
      <c r="Z102" t="inlineStr">
        <is>
          <t>hohler Rücken</t>
        </is>
      </c>
      <c r="AA102" t="inlineStr"/>
      <c r="AB102" t="inlineStr">
        <is>
          <t>Archivkarton</t>
        </is>
      </c>
      <c r="AC102" t="inlineStr">
        <is>
          <t>Nein</t>
        </is>
      </c>
      <c r="AD102" t="n">
        <v>1</v>
      </c>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BR102" t="inlineStr"/>
      <c r="BS102" t="n">
        <v>0</v>
      </c>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c r="DH102" t="inlineStr"/>
      <c r="DI102" t="inlineStr"/>
      <c r="DJ102" t="inlineStr"/>
      <c r="DK102" t="inlineStr"/>
      <c r="DL102" t="inlineStr"/>
    </row>
    <row r="103">
      <c r="A103" t="inlineStr">
        <is>
          <t>Schreibmeister</t>
        </is>
      </c>
      <c r="B103" t="b">
        <v>1</v>
      </c>
      <c r="C103" t="inlineStr"/>
      <c r="D103" t="inlineStr"/>
      <c r="E103" t="n">
        <v>96</v>
      </c>
      <c r="F103">
        <f>HYPERLINK("https://portal.dnb.de/opac.htm?method=simpleSearch&amp;cqlMode=true&amp;query=idn%3D1002894832", "Portal")</f>
        <v/>
      </c>
      <c r="G103" t="inlineStr">
        <is>
          <t>Aal</t>
        </is>
      </c>
      <c r="H103">
        <f>HYPERLINK("https://portal.dnb.de/opac.htm?method=simpleSearch&amp;cqlMode=true&amp;query=idn%3D1002894832", "Portal")</f>
        <v/>
      </c>
      <c r="I103" t="inlineStr">
        <is>
          <t>L-1755-178402966</t>
        </is>
      </c>
      <c r="J103" t="inlineStr">
        <is>
          <t>1002894832</t>
        </is>
      </c>
      <c r="K103" t="inlineStr">
        <is>
          <t>Bö B I 514</t>
        </is>
      </c>
      <c r="L103" t="inlineStr">
        <is>
          <t>Bö B I 514</t>
        </is>
      </c>
      <c r="M103" t="inlineStr">
        <is>
          <t>Bö B I 514</t>
        </is>
      </c>
      <c r="N103" t="inlineStr">
        <is>
          <t xml:space="preserve">Der|| @Cantzleymäßige|| und|| Geographische|| Schreibe-Schüler|| so wohl in|| Städten als auf dem Lande,|| gefertiget und herausgegeben|| : </t>
        </is>
      </c>
      <c r="O103" t="inlineStr">
        <is>
          <t xml:space="preserve"> : </t>
        </is>
      </c>
      <c r="P103" t="inlineStr">
        <is>
          <t>Bö B I 514</t>
        </is>
      </c>
      <c r="Q103" t="inlineStr"/>
      <c r="R103" t="inlineStr"/>
      <c r="S103" t="inlineStr">
        <is>
          <t xml:space="preserve">Der|| @Cantzleymäßige|| und|| Geographische|| Schreibe-Schüler|| so wohl in|| Städten als auf dem Lande,|| gefertiget und herausgegeben|| : </t>
        </is>
      </c>
      <c r="T103" t="inlineStr">
        <is>
          <t xml:space="preserve"> : </t>
        </is>
      </c>
      <c r="U103" t="inlineStr">
        <is>
          <t>X</t>
        </is>
      </c>
      <c r="V103" t="inlineStr"/>
      <c r="W103" t="inlineStr">
        <is>
          <t>Halbgewebeband</t>
        </is>
      </c>
      <c r="X103" t="inlineStr">
        <is>
          <t>bis 25 cm</t>
        </is>
      </c>
      <c r="Y103" t="inlineStr">
        <is>
          <t>180°</t>
        </is>
      </c>
      <c r="Z103" t="inlineStr">
        <is>
          <t>hohler Rücken</t>
        </is>
      </c>
      <c r="AA103" t="inlineStr"/>
      <c r="AB103" t="inlineStr">
        <is>
          <t xml:space="preserve">Papierumschlag </t>
        </is>
      </c>
      <c r="AC103" t="inlineStr">
        <is>
          <t>Nein</t>
        </is>
      </c>
      <c r="AD103" t="n">
        <v>0</v>
      </c>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BR103" t="inlineStr"/>
      <c r="BS103" t="n">
        <v>0</v>
      </c>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c r="DH103" t="inlineStr"/>
      <c r="DI103" t="inlineStr"/>
      <c r="DJ103" t="inlineStr"/>
      <c r="DK103" t="inlineStr"/>
      <c r="DL103" t="inlineStr"/>
    </row>
    <row r="104">
      <c r="A104" t="inlineStr">
        <is>
          <t>Schreibmeister</t>
        </is>
      </c>
      <c r="B104" t="b">
        <v>1</v>
      </c>
      <c r="C104" t="inlineStr"/>
      <c r="D104" t="inlineStr"/>
      <c r="E104" t="n">
        <v>97</v>
      </c>
      <c r="F104">
        <f>HYPERLINK("https://portal.dnb.de/opac.htm?method=simpleSearch&amp;cqlMode=true&amp;query=idn%3D1003200567", "Portal")</f>
        <v/>
      </c>
      <c r="G104" t="inlineStr">
        <is>
          <t>Aal</t>
        </is>
      </c>
      <c r="H104">
        <f>HYPERLINK("https://portal.dnb.de/opac.htm?method=simpleSearch&amp;cqlMode=true&amp;query=idn%3D1003200567", "Portal")</f>
        <v/>
      </c>
      <c r="I104" t="inlineStr">
        <is>
          <t>L-1700-179234773</t>
        </is>
      </c>
      <c r="J104" t="inlineStr">
        <is>
          <t>1003200567</t>
        </is>
      </c>
      <c r="K104" t="inlineStr">
        <is>
          <t>Bö B I 517</t>
        </is>
      </c>
      <c r="L104" t="inlineStr">
        <is>
          <t>Bö B I 517</t>
        </is>
      </c>
      <c r="M104" t="inlineStr">
        <is>
          <t>Bö B I 517</t>
        </is>
      </c>
      <c r="N104" t="inlineStr">
        <is>
          <t xml:space="preserve">Gründliches Vorschrifftlein,|| für|| die anfahende Jugend, in welchen das gantze|| ABC, durch alle Titul geübet werden muß|| : </t>
        </is>
      </c>
      <c r="O104" t="inlineStr">
        <is>
          <t xml:space="preserve"> : </t>
        </is>
      </c>
      <c r="P104" t="inlineStr">
        <is>
          <t>Bö B I 517</t>
        </is>
      </c>
      <c r="Q104" t="inlineStr"/>
      <c r="R104" t="inlineStr"/>
      <c r="S104" t="inlineStr">
        <is>
          <t xml:space="preserve">Gründliches Vorschrifftlein,|| für|| die anfahende Jugend, in welchen das gantze|| ABC, durch alle Titul geübet werden muß|| : </t>
        </is>
      </c>
      <c r="T104" t="inlineStr">
        <is>
          <t xml:space="preserve"> : </t>
        </is>
      </c>
      <c r="U104" t="inlineStr">
        <is>
          <t>X</t>
        </is>
      </c>
      <c r="V104" t="inlineStr"/>
      <c r="W104" t="inlineStr">
        <is>
          <t>Halbpergamentband</t>
        </is>
      </c>
      <c r="X104" t="inlineStr">
        <is>
          <t>bis 25 cm</t>
        </is>
      </c>
      <c r="Y104" t="inlineStr">
        <is>
          <t>180°</t>
        </is>
      </c>
      <c r="Z104" t="inlineStr">
        <is>
          <t>hohler Rücken</t>
        </is>
      </c>
      <c r="AA104" t="inlineStr"/>
      <c r="AB104" t="inlineStr">
        <is>
          <t>Archivkarton</t>
        </is>
      </c>
      <c r="AC104" t="inlineStr">
        <is>
          <t>Nein</t>
        </is>
      </c>
      <c r="AD104" t="n">
        <v>0</v>
      </c>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BR104" t="inlineStr"/>
      <c r="BS104" t="n">
        <v>0</v>
      </c>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c r="DH104" t="inlineStr"/>
      <c r="DI104" t="inlineStr"/>
      <c r="DJ104" t="inlineStr"/>
      <c r="DK104" t="inlineStr"/>
      <c r="DL104" t="inlineStr"/>
    </row>
    <row r="105">
      <c r="A105" t="inlineStr">
        <is>
          <t>Schreibmeister</t>
        </is>
      </c>
      <c r="B105" t="b">
        <v>1</v>
      </c>
      <c r="C105" t="inlineStr"/>
      <c r="D105" t="inlineStr"/>
      <c r="E105" t="n">
        <v>98</v>
      </c>
      <c r="F105">
        <f>HYPERLINK("https://portal.dnb.de/opac.htm?method=simpleSearch&amp;cqlMode=true&amp;query=idn%3D1003171788", "Portal")</f>
        <v/>
      </c>
      <c r="G105" t="inlineStr">
        <is>
          <t>Afl</t>
        </is>
      </c>
      <c r="H105">
        <f>HYPERLINK("https://portal.dnb.de/opac.htm?method=simpleSearch&amp;cqlMode=true&amp;query=idn%3D1003171788", "Portal")</f>
        <v/>
      </c>
      <c r="I105" t="inlineStr">
        <is>
          <t>L-1780-178922358</t>
        </is>
      </c>
      <c r="J105" t="inlineStr">
        <is>
          <t>1003171788</t>
        </is>
      </c>
      <c r="K105" t="inlineStr">
        <is>
          <t>Bö B I 519</t>
        </is>
      </c>
      <c r="L105" t="inlineStr">
        <is>
          <t>Bö B I 519</t>
        </is>
      </c>
      <c r="M105" t="inlineStr">
        <is>
          <t>Bö B I 519</t>
        </is>
      </c>
      <c r="N105" t="inlineStr">
        <is>
          <t>Allgemeine Anweisung der neuesten Schönschreibkunst des Johann Gottfried Weber. Für d. Jugend hohen u. niederen Standes, desgl. f. andere Liebhaber ei</t>
        </is>
      </c>
      <c r="O105" t="inlineStr">
        <is>
          <t xml:space="preserve">[Bd. 1.] : </t>
        </is>
      </c>
      <c r="P105" t="inlineStr">
        <is>
          <t>Bö B I 519</t>
        </is>
      </c>
      <c r="Q105" t="inlineStr"/>
      <c r="R105" t="inlineStr"/>
      <c r="S105" t="inlineStr">
        <is>
          <t>Allgemeine Anweisung der neuesten Schönschreibkunst des Johann Gottfried Weber. Für d. Jugend hohen u. niederen Standes, desgl. f. andere Liebhaber ei</t>
        </is>
      </c>
      <c r="T105" t="inlineStr">
        <is>
          <t xml:space="preserve">[Bd. 1.] : </t>
        </is>
      </c>
      <c r="U105" t="inlineStr">
        <is>
          <t>X</t>
        </is>
      </c>
      <c r="V105" t="inlineStr"/>
      <c r="W105" t="inlineStr">
        <is>
          <t>Papier- oder Pappeinband</t>
        </is>
      </c>
      <c r="X105" t="inlineStr">
        <is>
          <t>bis 25 cm</t>
        </is>
      </c>
      <c r="Y105" t="inlineStr">
        <is>
          <t>180°</t>
        </is>
      </c>
      <c r="Z105" t="inlineStr"/>
      <c r="AA105" t="inlineStr"/>
      <c r="AB105" t="inlineStr">
        <is>
          <t>Archivkarton</t>
        </is>
      </c>
      <c r="AC105" t="inlineStr">
        <is>
          <t>Nein</t>
        </is>
      </c>
      <c r="AD105" t="n">
        <v>0</v>
      </c>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n">
        <v>0</v>
      </c>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c r="DH105" t="inlineStr"/>
      <c r="DI105" t="inlineStr"/>
      <c r="DJ105" t="inlineStr"/>
      <c r="DK105" t="inlineStr"/>
      <c r="DL105" t="inlineStr"/>
    </row>
    <row r="106">
      <c r="A106" t="inlineStr">
        <is>
          <t>Schreibmeister</t>
        </is>
      </c>
      <c r="B106" t="b">
        <v>1</v>
      </c>
      <c r="C106" t="inlineStr"/>
      <c r="D106" t="inlineStr"/>
      <c r="E106" t="n">
        <v>99</v>
      </c>
      <c r="F106">
        <f>HYPERLINK("https://portal.dnb.de/opac.htm?method=simpleSearch&amp;cqlMode=true&amp;query=idn%3D1003171567", "Portal")</f>
        <v/>
      </c>
      <c r="G106" t="inlineStr">
        <is>
          <t>Afl</t>
        </is>
      </c>
      <c r="H106">
        <f>HYPERLINK("https://portal.dnb.de/opac.htm?method=simpleSearch&amp;cqlMode=true&amp;query=idn%3D1003171567", "Portal")</f>
        <v/>
      </c>
      <c r="I106" t="inlineStr">
        <is>
          <t>L-1780-182434990</t>
        </is>
      </c>
      <c r="J106" t="inlineStr">
        <is>
          <t>1003171567</t>
        </is>
      </c>
      <c r="K106" t="inlineStr">
        <is>
          <t>Bö B I 520</t>
        </is>
      </c>
      <c r="L106" t="inlineStr">
        <is>
          <t>Bö B I 520</t>
        </is>
      </c>
      <c r="M106" t="inlineStr">
        <is>
          <t>Bö B I 520</t>
        </is>
      </c>
      <c r="N106" t="inlineStr">
        <is>
          <t>Allgemeine Anweisung der neuesten Schönschreibkunst des Johann Gottfried Weber. Für d. Jugend hohen u. niederen Standes, desgl. f. andere Liebhaber ei</t>
        </is>
      </c>
      <c r="O106" t="inlineStr">
        <is>
          <t xml:space="preserve">Nachtr. : </t>
        </is>
      </c>
      <c r="P106" t="inlineStr">
        <is>
          <t>Bö B I 520</t>
        </is>
      </c>
      <c r="Q106" t="inlineStr"/>
      <c r="R106" t="inlineStr"/>
      <c r="S106" t="inlineStr">
        <is>
          <t>Allgemeine Anweisung der neuesten Schönschreibkunst des Johann Gottfried Weber. Für d. Jugend hohen u. niederen Standes, desgl. f. andere Liebhaber ei</t>
        </is>
      </c>
      <c r="T106" t="inlineStr">
        <is>
          <t xml:space="preserve">Nachtr. : </t>
        </is>
      </c>
      <c r="U106" t="inlineStr">
        <is>
          <t>X</t>
        </is>
      </c>
      <c r="V106" t="inlineStr"/>
      <c r="W106" t="inlineStr">
        <is>
          <t>Halbledereinband</t>
        </is>
      </c>
      <c r="X106" t="inlineStr">
        <is>
          <t>bis 25 cm</t>
        </is>
      </c>
      <c r="Y106" t="inlineStr">
        <is>
          <t>180°</t>
        </is>
      </c>
      <c r="Z106" t="inlineStr">
        <is>
          <t>gefaltete Blätter, Schrift bis in den Falz</t>
        </is>
      </c>
      <c r="AA106" t="inlineStr"/>
      <c r="AB106" t="inlineStr">
        <is>
          <t>Archivkarton</t>
        </is>
      </c>
      <c r="AC106" t="inlineStr">
        <is>
          <t>Nein</t>
        </is>
      </c>
      <c r="AD106" t="n">
        <v>1</v>
      </c>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n">
        <v>0</v>
      </c>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c r="DH106" t="inlineStr"/>
      <c r="DI106" t="inlineStr"/>
      <c r="DJ106" t="inlineStr"/>
      <c r="DK106" t="inlineStr"/>
      <c r="DL106" t="inlineStr"/>
    </row>
    <row r="107">
      <c r="A107" t="inlineStr">
        <is>
          <t>Schreibmeister</t>
        </is>
      </c>
      <c r="B107" t="b">
        <v>1</v>
      </c>
      <c r="C107" t="inlineStr"/>
      <c r="D107" t="inlineStr"/>
      <c r="E107" t="n">
        <v>100</v>
      </c>
      <c r="F107">
        <f>HYPERLINK("https://portal.dnb.de/opac.htm?method=simpleSearch&amp;cqlMode=true&amp;query=idn%3D1003146600", "Portal")</f>
        <v/>
      </c>
      <c r="G107" t="inlineStr">
        <is>
          <t>Aal</t>
        </is>
      </c>
      <c r="H107">
        <f>HYPERLINK("https://portal.dnb.de/opac.htm?method=simpleSearch&amp;cqlMode=true&amp;query=idn%3D1003146600", "Portal")</f>
        <v/>
      </c>
      <c r="I107" t="inlineStr">
        <is>
          <t>L-1787-178818011</t>
        </is>
      </c>
      <c r="J107" t="inlineStr">
        <is>
          <t>1003146600</t>
        </is>
      </c>
      <c r="K107" t="inlineStr">
        <is>
          <t>Bö B I 522</t>
        </is>
      </c>
      <c r="L107" t="inlineStr">
        <is>
          <t>Bö B I 522</t>
        </is>
      </c>
      <c r="M107" t="inlineStr">
        <is>
          <t>Bö B I 522</t>
        </is>
      </c>
      <c r="N107" t="inlineStr">
        <is>
          <t>Round Text Copies : with a set of Roman ciphers for marking goods</t>
        </is>
      </c>
      <c r="O107" t="inlineStr">
        <is>
          <t xml:space="preserve"> : </t>
        </is>
      </c>
      <c r="P107" t="inlineStr">
        <is>
          <t>Bö B I 522</t>
        </is>
      </c>
      <c r="Q107" t="inlineStr"/>
      <c r="R107" t="inlineStr"/>
      <c r="S107" t="inlineStr">
        <is>
          <t>Round Text Copies : with a set of Roman ciphers for marking goods</t>
        </is>
      </c>
      <c r="T107" t="inlineStr">
        <is>
          <t xml:space="preserve"> : </t>
        </is>
      </c>
      <c r="U107" t="inlineStr">
        <is>
          <t>X</t>
        </is>
      </c>
      <c r="V107" t="inlineStr"/>
      <c r="W107" t="inlineStr">
        <is>
          <t>Broschur</t>
        </is>
      </c>
      <c r="X107" t="inlineStr">
        <is>
          <t>bis 25 cm</t>
        </is>
      </c>
      <c r="Y107" t="inlineStr">
        <is>
          <t>80° bis 110°, einseitig digitalisierbar?</t>
        </is>
      </c>
      <c r="Z107" t="inlineStr"/>
      <c r="AA107" t="inlineStr"/>
      <c r="AB107" t="inlineStr">
        <is>
          <t>Archivkarton</t>
        </is>
      </c>
      <c r="AC107" t="inlineStr">
        <is>
          <t>Nein</t>
        </is>
      </c>
      <c r="AD107" t="n">
        <v>0</v>
      </c>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BR107" t="inlineStr"/>
      <c r="BS107" t="n">
        <v>0</v>
      </c>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c r="DH107" t="inlineStr"/>
      <c r="DI107" t="inlineStr"/>
      <c r="DJ107" t="inlineStr"/>
      <c r="DK107" t="inlineStr"/>
      <c r="DL107" t="inlineStr"/>
    </row>
    <row r="108">
      <c r="A108" t="inlineStr">
        <is>
          <t>Schreibmeister</t>
        </is>
      </c>
      <c r="B108" t="b">
        <v>1</v>
      </c>
      <c r="C108" t="inlineStr"/>
      <c r="D108" t="inlineStr"/>
      <c r="E108" t="n">
        <v>101</v>
      </c>
      <c r="F108">
        <f>HYPERLINK("https://portal.dnb.de/opac.htm?method=simpleSearch&amp;cqlMode=true&amp;query=idn%3D1003623514", "Portal")</f>
        <v/>
      </c>
      <c r="G108" t="inlineStr">
        <is>
          <t>Aal</t>
        </is>
      </c>
      <c r="H108">
        <f>HYPERLINK("https://portal.dnb.de/opac.htm?method=simpleSearch&amp;cqlMode=true&amp;query=idn%3D1003623514", "Portal")</f>
        <v/>
      </c>
      <c r="I108" t="inlineStr">
        <is>
          <t>L-1559-180351710</t>
        </is>
      </c>
      <c r="J108" t="inlineStr">
        <is>
          <t>1003623514</t>
        </is>
      </c>
      <c r="K108" t="inlineStr">
        <is>
          <t>Bö B I 525</t>
        </is>
      </c>
      <c r="L108" t="inlineStr">
        <is>
          <t>Bö B I 525</t>
        </is>
      </c>
      <c r="M108" t="inlineStr">
        <is>
          <t>Bö B I 525</t>
        </is>
      </c>
      <c r="N108" t="inlineStr">
        <is>
          <t xml:space="preserve">Libro svbtilissimo, por el qual se enseña a escreuir y contar perfectamente el cual lleua el mesmo horden que 11eua vn maestro con su discipulo Hecho </t>
        </is>
      </c>
      <c r="O108" t="inlineStr">
        <is>
          <t xml:space="preserve"> : </t>
        </is>
      </c>
      <c r="P108" t="inlineStr">
        <is>
          <t>Bö B I 525</t>
        </is>
      </c>
      <c r="Q108" t="inlineStr"/>
      <c r="R108" t="inlineStr"/>
      <c r="S108" t="inlineStr">
        <is>
          <t xml:space="preserve">Libro svbtilissimo, por el qual se enseña a escreuir y contar perfectamente el cual lleua el mesmo horden que 11eua vn maestro con su discipulo Hecho </t>
        </is>
      </c>
      <c r="T108" t="inlineStr">
        <is>
          <t xml:space="preserve"> : </t>
        </is>
      </c>
      <c r="U108" t="inlineStr">
        <is>
          <t>X</t>
        </is>
      </c>
      <c r="V108" t="inlineStr"/>
      <c r="W108" t="inlineStr">
        <is>
          <t>Halbledereinband</t>
        </is>
      </c>
      <c r="X108" t="inlineStr">
        <is>
          <t>bis 25 cm</t>
        </is>
      </c>
      <c r="Y108" t="inlineStr">
        <is>
          <t>180°</t>
        </is>
      </c>
      <c r="Z108" t="inlineStr">
        <is>
          <t>fester Rücken mit Schmuckprägung</t>
        </is>
      </c>
      <c r="AA108" t="inlineStr"/>
      <c r="AB108" t="inlineStr">
        <is>
          <t>Archivkarton</t>
        </is>
      </c>
      <c r="AC108" t="inlineStr">
        <is>
          <t>Nein</t>
        </is>
      </c>
      <c r="AD108" t="n">
        <v>0</v>
      </c>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c r="BR108" t="inlineStr"/>
      <c r="BS108" t="n">
        <v>0</v>
      </c>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c r="DH108" t="inlineStr"/>
      <c r="DI108" t="inlineStr"/>
      <c r="DJ108" t="inlineStr"/>
      <c r="DK108" t="inlineStr"/>
      <c r="DL108" t="inlineStr"/>
    </row>
    <row r="109">
      <c r="A109" t="inlineStr">
        <is>
          <t>Schreibmeister</t>
        </is>
      </c>
      <c r="B109" t="b">
        <v>1</v>
      </c>
      <c r="C109" t="inlineStr"/>
      <c r="D109" t="inlineStr"/>
      <c r="E109" t="n">
        <v>102</v>
      </c>
      <c r="F109">
        <f>HYPERLINK("https://portal.dnb.de/opac.htm?method=simpleSearch&amp;cqlMode=true&amp;query=idn%3D1003651798", "Portal")</f>
        <v/>
      </c>
      <c r="G109" t="inlineStr">
        <is>
          <t>Aal</t>
        </is>
      </c>
      <c r="H109">
        <f>HYPERLINK("https://portal.dnb.de/opac.htm?method=simpleSearch&amp;cqlMode=true&amp;query=idn%3D1003651798", "Portal")</f>
        <v/>
      </c>
      <c r="I109" t="inlineStr">
        <is>
          <t>L-1605-180389939</t>
        </is>
      </c>
      <c r="J109" t="inlineStr">
        <is>
          <t>1003651798</t>
        </is>
      </c>
      <c r="K109" t="inlineStr">
        <is>
          <t>Bö B I 526</t>
        </is>
      </c>
      <c r="L109" t="inlineStr">
        <is>
          <t>Bö B I 526</t>
        </is>
      </c>
      <c r="M109" t="inlineStr">
        <is>
          <t>Bö B I 526</t>
        </is>
      </c>
      <c r="N109" t="inlineStr">
        <is>
          <t>Nouo Modo di Scriuere Cancellaresco Corsiuo Moderno : Libro primo</t>
        </is>
      </c>
      <c r="O109" t="inlineStr">
        <is>
          <t xml:space="preserve"> : </t>
        </is>
      </c>
      <c r="P109" t="inlineStr">
        <is>
          <t>Bö B I 526</t>
        </is>
      </c>
      <c r="Q109" t="inlineStr"/>
      <c r="R109" t="inlineStr"/>
      <c r="S109" t="inlineStr">
        <is>
          <t>Nouo Modo di Scriuere Cancellaresco Corsiuo Moderno : Libro primo</t>
        </is>
      </c>
      <c r="T109" t="inlineStr">
        <is>
          <t xml:space="preserve"> : </t>
        </is>
      </c>
      <c r="U109" t="inlineStr">
        <is>
          <t>X</t>
        </is>
      </c>
      <c r="V109" t="inlineStr"/>
      <c r="W109" t="inlineStr">
        <is>
          <t>Halbledereinband</t>
        </is>
      </c>
      <c r="X109" t="inlineStr">
        <is>
          <t>bis 25 cm</t>
        </is>
      </c>
      <c r="Y109" t="inlineStr">
        <is>
          <t>180°</t>
        </is>
      </c>
      <c r="Z109" t="inlineStr">
        <is>
          <t>hohler Rücken</t>
        </is>
      </c>
      <c r="AA109" t="inlineStr"/>
      <c r="AB109" t="inlineStr">
        <is>
          <t>Archivkarton</t>
        </is>
      </c>
      <c r="AC109" t="inlineStr">
        <is>
          <t>Nein</t>
        </is>
      </c>
      <c r="AD109" t="n">
        <v>0</v>
      </c>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BR109" t="inlineStr"/>
      <c r="BS109" t="n">
        <v>0</v>
      </c>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c r="DH109" t="inlineStr"/>
      <c r="DI109" t="inlineStr"/>
      <c r="DJ109" t="inlineStr"/>
      <c r="DK109" t="inlineStr"/>
      <c r="DL109" t="inlineStr"/>
    </row>
    <row r="110">
      <c r="A110" t="inlineStr">
        <is>
          <t>Schreibmeister</t>
        </is>
      </c>
      <c r="B110" t="b">
        <v>1</v>
      </c>
      <c r="C110" t="inlineStr"/>
      <c r="D110" t="inlineStr"/>
      <c r="E110" t="n">
        <v>103</v>
      </c>
      <c r="F110">
        <f>HYPERLINK("https://portal.dnb.de/opac.htm?method=simpleSearch&amp;cqlMode=true&amp;query=idn%3D998025399", "Portal")</f>
        <v/>
      </c>
      <c r="G110" t="inlineStr">
        <is>
          <t>Aal</t>
        </is>
      </c>
      <c r="H110">
        <f>HYPERLINK("https://portal.dnb.de/opac.htm?method=simpleSearch&amp;cqlMode=true&amp;query=idn%3D998025399", "Portal")</f>
        <v/>
      </c>
      <c r="I110" t="inlineStr">
        <is>
          <t>L-1781-165453893</t>
        </is>
      </c>
      <c r="J110" t="inlineStr">
        <is>
          <t>998025399</t>
        </is>
      </c>
      <c r="K110" t="inlineStr">
        <is>
          <t>Bö B I 527</t>
        </is>
      </c>
      <c r="L110" t="inlineStr">
        <is>
          <t>Bö B I 527</t>
        </is>
      </c>
      <c r="M110" t="inlineStr">
        <is>
          <t>Bö B I 527</t>
        </is>
      </c>
      <c r="N110" t="inlineStr">
        <is>
          <t xml:space="preserve">Vorübungen in der Kalligraphie : </t>
        </is>
      </c>
      <c r="O110" t="inlineStr">
        <is>
          <t xml:space="preserve"> : </t>
        </is>
      </c>
      <c r="P110" t="inlineStr">
        <is>
          <t>Bö B I 527</t>
        </is>
      </c>
      <c r="Q110" t="inlineStr"/>
      <c r="R110" t="inlineStr"/>
      <c r="S110" t="inlineStr">
        <is>
          <t xml:space="preserve">Vorübungen in der Kalligraphie : </t>
        </is>
      </c>
      <c r="T110" t="inlineStr">
        <is>
          <t xml:space="preserve"> : </t>
        </is>
      </c>
      <c r="U110" t="inlineStr">
        <is>
          <t>X</t>
        </is>
      </c>
      <c r="V110" t="inlineStr"/>
      <c r="W110" t="inlineStr">
        <is>
          <t>Pergamentband</t>
        </is>
      </c>
      <c r="X110" t="inlineStr">
        <is>
          <t>bis 25 cm</t>
        </is>
      </c>
      <c r="Y110" t="inlineStr">
        <is>
          <t>180°</t>
        </is>
      </c>
      <c r="Z110" t="inlineStr">
        <is>
          <t>hohler Rücken</t>
        </is>
      </c>
      <c r="AA110" t="inlineStr"/>
      <c r="AB110" t="inlineStr">
        <is>
          <t>Archivkarton</t>
        </is>
      </c>
      <c r="AC110" t="inlineStr">
        <is>
          <t>Nein</t>
        </is>
      </c>
      <c r="AD110" t="n">
        <v>0</v>
      </c>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BR110" t="inlineStr"/>
      <c r="BS110" t="n">
        <v>0</v>
      </c>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c r="DH110" t="inlineStr"/>
      <c r="DI110" t="inlineStr"/>
      <c r="DJ110" t="inlineStr"/>
      <c r="DK110" t="inlineStr"/>
      <c r="DL110" t="inlineStr"/>
    </row>
    <row r="111">
      <c r="A111" t="inlineStr">
        <is>
          <t>Schreibmeister</t>
        </is>
      </c>
      <c r="B111" t="b">
        <v>1</v>
      </c>
      <c r="C111" t="inlineStr">
        <is>
          <t>x</t>
        </is>
      </c>
      <c r="D111" t="inlineStr"/>
      <c r="E111" t="n">
        <v>104</v>
      </c>
      <c r="F111">
        <f>HYPERLINK("https://portal.dnb.de/opac.htm?method=simpleSearch&amp;cqlMode=true&amp;query=idn%3D1000112233", "Portal")</f>
        <v/>
      </c>
      <c r="G111" t="inlineStr">
        <is>
          <t>Aal</t>
        </is>
      </c>
      <c r="H111">
        <f>HYPERLINK("https://portal.dnb.de/opac.htm?method=simpleSearch&amp;cqlMode=true&amp;query=idn%3D1000112233", "Portal")</f>
        <v/>
      </c>
      <c r="I111" t="inlineStr">
        <is>
          <t>L-1563-170015858</t>
        </is>
      </c>
      <c r="J111" t="inlineStr">
        <is>
          <t>1000112233</t>
        </is>
      </c>
      <c r="K111" t="inlineStr">
        <is>
          <t>Bö B I 529</t>
        </is>
      </c>
      <c r="L111" t="inlineStr">
        <is>
          <t>Bö B I 529</t>
        </is>
      </c>
      <c r="M111" t="inlineStr">
        <is>
          <t>Bö B I 529</t>
        </is>
      </c>
      <c r="N111" t="inlineStr">
        <is>
          <t xml:space="preserve">De furtivis literarum notis, vulgo de ziferis libri 4 : </t>
        </is>
      </c>
      <c r="O111" t="inlineStr">
        <is>
          <t xml:space="preserve"> : </t>
        </is>
      </c>
      <c r="P111" t="inlineStr">
        <is>
          <t>Bö B I 529</t>
        </is>
      </c>
      <c r="Q111" t="inlineStr"/>
      <c r="R111" t="inlineStr"/>
      <c r="S111" t="inlineStr">
        <is>
          <t xml:space="preserve">De furtivis literarum notis, vulgo de ziferis libri 4 : </t>
        </is>
      </c>
      <c r="T111" t="inlineStr">
        <is>
          <t xml:space="preserve"> : </t>
        </is>
      </c>
      <c r="U111" t="inlineStr">
        <is>
          <t>X</t>
        </is>
      </c>
      <c r="V111" t="inlineStr"/>
      <c r="W111" t="inlineStr">
        <is>
          <t>Pergamentband</t>
        </is>
      </c>
      <c r="X111" t="inlineStr">
        <is>
          <t>bis 25 cm</t>
        </is>
      </c>
      <c r="Y111" t="inlineStr">
        <is>
          <t>180°</t>
        </is>
      </c>
      <c r="Z111" t="inlineStr">
        <is>
          <t>hohler Rücken</t>
        </is>
      </c>
      <c r="AA111" t="inlineStr"/>
      <c r="AB111" t="inlineStr">
        <is>
          <t>Kassette</t>
        </is>
      </c>
      <c r="AC111" t="inlineStr">
        <is>
          <t>Nein</t>
        </is>
      </c>
      <c r="AD111" t="n">
        <v>1</v>
      </c>
      <c r="AE111" t="inlineStr"/>
      <c r="AF111" t="inlineStr"/>
      <c r="AG111" t="inlineStr"/>
      <c r="AH111" t="inlineStr"/>
      <c r="AI111" t="inlineStr"/>
      <c r="AJ111" t="inlineStr"/>
      <c r="AK111" t="inlineStr"/>
      <c r="AL111" t="inlineStr"/>
      <c r="AM111" t="inlineStr"/>
      <c r="AN111" t="inlineStr">
        <is>
          <t>Pg</t>
        </is>
      </c>
      <c r="AO111" t="inlineStr">
        <is>
          <t xml:space="preserve">
flexibler Pg</t>
        </is>
      </c>
      <c r="AP111" t="inlineStr"/>
      <c r="AQ111" t="inlineStr"/>
      <c r="AR111" t="inlineStr">
        <is>
          <t>h</t>
        </is>
      </c>
      <c r="AS111" t="inlineStr"/>
      <c r="AT111" t="inlineStr"/>
      <c r="AU111" t="inlineStr"/>
      <c r="AV111" t="inlineStr"/>
      <c r="AW111" t="inlineStr"/>
      <c r="AX111" t="inlineStr">
        <is>
          <t>Pa</t>
        </is>
      </c>
      <c r="AY111" t="inlineStr"/>
      <c r="AZ111" t="inlineStr"/>
      <c r="BA111" t="inlineStr"/>
      <c r="BB111" t="inlineStr"/>
      <c r="BC111" t="inlineStr"/>
      <c r="BD111" t="inlineStr"/>
      <c r="BE111" t="inlineStr"/>
      <c r="BF111" t="inlineStr"/>
      <c r="BG111" t="inlineStr"/>
      <c r="BH111" t="inlineStr"/>
      <c r="BI111" t="inlineStr"/>
      <c r="BJ111" t="inlineStr"/>
      <c r="BK111" t="inlineStr"/>
      <c r="BL111" t="n">
        <v>60</v>
      </c>
      <c r="BM111" t="inlineStr">
        <is>
          <t xml:space="preserve">
entgültig nach Rest. festlegen</t>
        </is>
      </c>
      <c r="BN111" t="inlineStr"/>
      <c r="BO111" t="inlineStr"/>
      <c r="BP111" t="inlineStr"/>
      <c r="BQ111" t="inlineStr"/>
      <c r="BR111" t="inlineStr">
        <is>
          <t>ja vor</t>
        </is>
      </c>
      <c r="BS111" t="n">
        <v>7</v>
      </c>
      <c r="BT111" t="inlineStr"/>
      <c r="BU111" t="inlineStr">
        <is>
          <t>Gewebe</t>
        </is>
      </c>
      <c r="BV111" t="inlineStr"/>
      <c r="BW111" t="inlineStr"/>
      <c r="BX111" t="inlineStr"/>
      <c r="BY111" t="inlineStr"/>
      <c r="BZ111" t="inlineStr"/>
      <c r="CA111" t="inlineStr">
        <is>
          <t>mit Volvelle</t>
        </is>
      </c>
      <c r="CB111" t="inlineStr"/>
      <c r="CC111" t="inlineStr"/>
      <c r="CD111" t="inlineStr"/>
      <c r="CE111" t="inlineStr">
        <is>
          <t>x</t>
        </is>
      </c>
      <c r="CF111" t="inlineStr"/>
      <c r="CG111" t="inlineStr">
        <is>
          <t>x</t>
        </is>
      </c>
      <c r="CH111" t="inlineStr"/>
      <c r="CI111" t="inlineStr"/>
      <c r="CJ111" t="inlineStr"/>
      <c r="CK111" t="inlineStr"/>
      <c r="CL111" t="inlineStr"/>
      <c r="CM111" t="inlineStr"/>
      <c r="CN111" t="inlineStr"/>
      <c r="CO111" t="inlineStr"/>
      <c r="CP111" t="inlineStr"/>
      <c r="CQ111" t="inlineStr"/>
      <c r="CR111" t="n">
        <v>4</v>
      </c>
      <c r="CS111" t="inlineStr">
        <is>
          <t>Fehlstellen mit JP ergänzen, in sito arbeiten, Kante an VD sichern</t>
        </is>
      </c>
      <c r="CT111" t="inlineStr"/>
      <c r="CU111" t="inlineStr"/>
      <c r="CV111" t="inlineStr"/>
      <c r="CW111" t="inlineStr"/>
      <c r="CX111" t="inlineStr">
        <is>
          <t>x</t>
        </is>
      </c>
      <c r="CY111" t="inlineStr"/>
      <c r="CZ111" t="inlineStr"/>
      <c r="DA111" t="inlineStr">
        <is>
          <t>x</t>
        </is>
      </c>
      <c r="DB111" t="inlineStr"/>
      <c r="DC111" t="inlineStr"/>
      <c r="DD111" t="inlineStr"/>
      <c r="DE111" t="inlineStr"/>
      <c r="DF111" t="inlineStr"/>
      <c r="DG111" t="inlineStr"/>
      <c r="DH111" t="inlineStr"/>
      <c r="DI111" t="inlineStr"/>
      <c r="DJ111" t="inlineStr"/>
      <c r="DK111" t="n">
        <v>3</v>
      </c>
      <c r="DL111" t="inlineStr">
        <is>
          <t>nur das nötigste, Spiegel (ggf. nur am Rand) fixieren (nicht ablösen und vollflächig verkleben)</t>
        </is>
      </c>
    </row>
    <row r="112">
      <c r="A112" t="inlineStr">
        <is>
          <t>Schreibmeister</t>
        </is>
      </c>
      <c r="B112" t="b">
        <v>1</v>
      </c>
      <c r="C112" t="inlineStr"/>
      <c r="D112" t="inlineStr"/>
      <c r="E112" t="n">
        <v>105</v>
      </c>
      <c r="F112">
        <f>HYPERLINK("https://portal.dnb.de/opac.htm?method=simpleSearch&amp;cqlMode=true&amp;query=idn%3D99409051X", "Portal")</f>
        <v/>
      </c>
      <c r="G112" t="inlineStr">
        <is>
          <t>Aal</t>
        </is>
      </c>
      <c r="H112">
        <f>HYPERLINK("https://portal.dnb.de/opac.htm?method=simpleSearch&amp;cqlMode=true&amp;query=idn%3D99409051X", "Portal")</f>
        <v/>
      </c>
      <c r="I112" t="inlineStr">
        <is>
          <t>L-1661-154496189</t>
        </is>
      </c>
      <c r="J112" t="inlineStr">
        <is>
          <t>99409051X</t>
        </is>
      </c>
      <c r="K112" t="inlineStr">
        <is>
          <t>Bö B I 532</t>
        </is>
      </c>
      <c r="L112" t="inlineStr">
        <is>
          <t>Bö B I 532</t>
        </is>
      </c>
      <c r="M112" t="inlineStr">
        <is>
          <t>Bö B I 532</t>
        </is>
      </c>
      <c r="N112" t="inlineStr">
        <is>
          <t>Character, pro notitia linguarum universali : Inventum steganographicum hactenus inauditum quo quilibet suam legendo vernaculam diversas imò omnes lin</t>
        </is>
      </c>
      <c r="O112" t="inlineStr">
        <is>
          <t xml:space="preserve"> : </t>
        </is>
      </c>
      <c r="P112" t="inlineStr">
        <is>
          <t>Bö B I 532</t>
        </is>
      </c>
      <c r="Q112" t="inlineStr"/>
      <c r="R112" t="inlineStr"/>
      <c r="S112" t="inlineStr">
        <is>
          <t>Character, pro notitia linguarum universali : Inventum steganographicum hactenus inauditum quo quilibet suam legendo vernaculam diversas imò omnes lin</t>
        </is>
      </c>
      <c r="T112" t="inlineStr">
        <is>
          <t xml:space="preserve"> : </t>
        </is>
      </c>
      <c r="U112" t="inlineStr">
        <is>
          <t>X</t>
        </is>
      </c>
      <c r="V112" t="inlineStr"/>
      <c r="W112" t="inlineStr">
        <is>
          <t>Halbledereinband</t>
        </is>
      </c>
      <c r="X112" t="inlineStr">
        <is>
          <t>bis 25 cm</t>
        </is>
      </c>
      <c r="Y112" t="inlineStr">
        <is>
          <t>180°</t>
        </is>
      </c>
      <c r="Z112" t="inlineStr">
        <is>
          <t>gefaltete Blätter, hohler Rücken</t>
        </is>
      </c>
      <c r="AA112" t="inlineStr"/>
      <c r="AB112" t="inlineStr"/>
      <c r="AC112" t="inlineStr"/>
      <c r="AD112" t="n">
        <v>0</v>
      </c>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BR112" t="inlineStr"/>
      <c r="BS112" t="n">
        <v>0</v>
      </c>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c r="DH112" t="inlineStr"/>
      <c r="DI112" t="inlineStr"/>
      <c r="DJ112" t="inlineStr"/>
      <c r="DK112" t="inlineStr"/>
      <c r="DL112" t="inlineStr"/>
    </row>
    <row r="113">
      <c r="A113" t="inlineStr">
        <is>
          <t>Schreibmeister</t>
        </is>
      </c>
      <c r="B113" t="b">
        <v>1</v>
      </c>
      <c r="C113" t="inlineStr"/>
      <c r="D113" t="inlineStr"/>
      <c r="E113" t="n">
        <v>106</v>
      </c>
      <c r="F113">
        <f>HYPERLINK("https://portal.dnb.de/opac.htm?method=simpleSearch&amp;cqlMode=true&amp;query=idn%3D99558690X", "Portal")</f>
        <v/>
      </c>
      <c r="G113" t="inlineStr">
        <is>
          <t>Aal</t>
        </is>
      </c>
      <c r="H113">
        <f>HYPERLINK("https://portal.dnb.de/opac.htm?method=simpleSearch&amp;cqlMode=true&amp;query=idn%3D99558690X", "Portal")</f>
        <v/>
      </c>
      <c r="I113" t="inlineStr">
        <is>
          <t>L-1560-16023820X</t>
        </is>
      </c>
      <c r="J113" t="inlineStr">
        <is>
          <t>99558690X</t>
        </is>
      </c>
      <c r="K113" t="inlineStr">
        <is>
          <t>Bö B I 537</t>
        </is>
      </c>
      <c r="L113" t="inlineStr">
        <is>
          <t>Bö B I 537</t>
        </is>
      </c>
      <c r="M113" t="inlineStr">
        <is>
          <t>Bö B I 537</t>
        </is>
      </c>
      <c r="N113" t="inlineStr">
        <is>
          <t xml:space="preserve">Della nuova Inventione della vera scienza delle cifre : </t>
        </is>
      </c>
      <c r="O113" t="inlineStr">
        <is>
          <t xml:space="preserve"> : </t>
        </is>
      </c>
      <c r="P113" t="inlineStr">
        <is>
          <t>Bö B I 537</t>
        </is>
      </c>
      <c r="Q113" t="inlineStr"/>
      <c r="R113" t="inlineStr"/>
      <c r="S113" t="inlineStr">
        <is>
          <t xml:space="preserve">Della nuova Inventione della vera scienza delle cifre : </t>
        </is>
      </c>
      <c r="T113" t="inlineStr">
        <is>
          <t xml:space="preserve"> : </t>
        </is>
      </c>
      <c r="U113" t="inlineStr">
        <is>
          <t>X</t>
        </is>
      </c>
      <c r="V113" t="inlineStr"/>
      <c r="W113" t="inlineStr">
        <is>
          <t>Broschur</t>
        </is>
      </c>
      <c r="X113" t="inlineStr">
        <is>
          <t>bis 25 cm</t>
        </is>
      </c>
      <c r="Y113" t="inlineStr">
        <is>
          <t>180°</t>
        </is>
      </c>
      <c r="Z113" t="inlineStr"/>
      <c r="AA113" t="inlineStr"/>
      <c r="AB113" t="inlineStr"/>
      <c r="AC113" t="inlineStr"/>
      <c r="AD113" t="n">
        <v>0</v>
      </c>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BR113" t="inlineStr"/>
      <c r="BS113" t="n">
        <v>0</v>
      </c>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c r="DH113" t="inlineStr"/>
      <c r="DI113" t="inlineStr"/>
      <c r="DJ113" t="inlineStr"/>
      <c r="DK113" t="inlineStr"/>
      <c r="DL113" t="inlineStr"/>
    </row>
    <row r="114">
      <c r="A114" t="inlineStr">
        <is>
          <t>Schreibmeister</t>
        </is>
      </c>
      <c r="B114" t="b">
        <v>1</v>
      </c>
      <c r="C114" t="inlineStr"/>
      <c r="D114" t="inlineStr"/>
      <c r="E114" t="n">
        <v>107</v>
      </c>
      <c r="F114">
        <f>HYPERLINK("https://portal.dnb.de/opac.htm?method=simpleSearch&amp;cqlMode=true&amp;query=idn%3D997334037", "Portal")</f>
        <v/>
      </c>
      <c r="G114" t="inlineStr">
        <is>
          <t>Aal</t>
        </is>
      </c>
      <c r="H114">
        <f>HYPERLINK("https://portal.dnb.de/opac.htm?method=simpleSearch&amp;cqlMode=true&amp;query=idn%3D997334037", "Portal")</f>
        <v/>
      </c>
      <c r="I114" t="inlineStr">
        <is>
          <t>L-1620-163679193</t>
        </is>
      </c>
      <c r="J114" t="inlineStr">
        <is>
          <t>997334037</t>
        </is>
      </c>
      <c r="K114" t="inlineStr">
        <is>
          <t>Bö B I 543</t>
        </is>
      </c>
      <c r="L114" t="inlineStr">
        <is>
          <t>Bö B I 543</t>
        </is>
      </c>
      <c r="M114" t="inlineStr">
        <is>
          <t>Bö B I 543</t>
        </is>
      </c>
      <c r="N114" t="inlineStr">
        <is>
          <t xml:space="preserve">Polygraphie ou methode universelle de l'escriture cachée: avec les tables et figures concernants l'effect et l'intelligence d'icelle : </t>
        </is>
      </c>
      <c r="O114" t="inlineStr">
        <is>
          <t xml:space="preserve"> : </t>
        </is>
      </c>
      <c r="P114" t="inlineStr">
        <is>
          <t>Bö B I 543</t>
        </is>
      </c>
      <c r="Q114" t="inlineStr"/>
      <c r="R114" t="inlineStr"/>
      <c r="S114" t="inlineStr">
        <is>
          <t xml:space="preserve">Polygraphie ou methode universelle de l'escriture cachée: avec les tables et figures concernants l'effect et l'intelligence d'icelle : </t>
        </is>
      </c>
      <c r="T114" t="inlineStr">
        <is>
          <t xml:space="preserve"> : </t>
        </is>
      </c>
      <c r="U114" t="inlineStr">
        <is>
          <t>X</t>
        </is>
      </c>
      <c r="V114" t="inlineStr"/>
      <c r="W114" t="inlineStr">
        <is>
          <t>Ledereinband</t>
        </is>
      </c>
      <c r="X114" t="inlineStr">
        <is>
          <t>bis 25 cm</t>
        </is>
      </c>
      <c r="Y114" t="inlineStr">
        <is>
          <t>80° bis 110°, einseitig digitalisierbar?</t>
        </is>
      </c>
      <c r="Z114" t="inlineStr">
        <is>
          <t>gefaltete Blätter</t>
        </is>
      </c>
      <c r="AA114" t="inlineStr"/>
      <c r="AB114" t="inlineStr">
        <is>
          <t>Kassette</t>
        </is>
      </c>
      <c r="AC114" t="inlineStr">
        <is>
          <t>Nein</t>
        </is>
      </c>
      <c r="AD114" t="n">
        <v>1</v>
      </c>
      <c r="AE114" t="inlineStr"/>
      <c r="AF114" t="inlineStr">
        <is>
          <t>gereinigt</t>
        </is>
      </c>
      <c r="AG114" t="inlineStr"/>
      <c r="AH114" t="inlineStr"/>
      <c r="AI114" t="inlineStr"/>
      <c r="AJ114" t="inlineStr"/>
      <c r="AK114" t="inlineStr"/>
      <c r="AL114" t="inlineStr"/>
      <c r="AM114" t="inlineStr"/>
      <c r="AN114" t="inlineStr">
        <is>
          <t>L</t>
        </is>
      </c>
      <c r="AO114" t="inlineStr"/>
      <c r="AP114" t="inlineStr"/>
      <c r="AQ114" t="inlineStr"/>
      <c r="AR114" t="inlineStr">
        <is>
          <t>f/V</t>
        </is>
      </c>
      <c r="AS114" t="inlineStr"/>
      <c r="AT114" t="inlineStr"/>
      <c r="AU114" t="inlineStr"/>
      <c r="AV114" t="inlineStr"/>
      <c r="AW114" t="inlineStr"/>
      <c r="AX114" t="inlineStr">
        <is>
          <t>Pa</t>
        </is>
      </c>
      <c r="AY114" t="inlineStr"/>
      <c r="AZ114" t="inlineStr"/>
      <c r="BA114" t="inlineStr"/>
      <c r="BB114" t="inlineStr"/>
      <c r="BC114" t="inlineStr"/>
      <c r="BD114" t="inlineStr"/>
      <c r="BE114" t="inlineStr"/>
      <c r="BF114" t="inlineStr"/>
      <c r="BG114" t="inlineStr"/>
      <c r="BH114" t="inlineStr"/>
      <c r="BI114" t="inlineStr"/>
      <c r="BJ114" t="inlineStr"/>
      <c r="BK114" t="inlineStr"/>
      <c r="BL114" t="n">
        <v>45</v>
      </c>
      <c r="BM114" t="inlineStr"/>
      <c r="BN114" t="inlineStr"/>
      <c r="BO114" t="inlineStr"/>
      <c r="BP114" t="inlineStr"/>
      <c r="BQ114" t="inlineStr"/>
      <c r="BR114" t="inlineStr">
        <is>
          <t>n</t>
        </is>
      </c>
      <c r="BS114" t="n">
        <v>0</v>
      </c>
      <c r="BT114" t="inlineStr"/>
      <c r="BU114" t="inlineStr">
        <is>
          <t>Gewebe</t>
        </is>
      </c>
      <c r="BV114" t="inlineStr"/>
      <c r="BW114" t="inlineStr"/>
      <c r="BX114" t="inlineStr"/>
      <c r="BY114" t="inlineStr"/>
      <c r="BZ114" t="inlineStr"/>
      <c r="CA114" t="inlineStr">
        <is>
          <t>Schaden stabil, mit Volvelle</t>
        </is>
      </c>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c r="DH114" t="inlineStr"/>
      <c r="DI114" t="inlineStr"/>
      <c r="DJ114" t="inlineStr"/>
      <c r="DK114" t="inlineStr"/>
      <c r="DL114" t="inlineStr"/>
    </row>
    <row r="115">
      <c r="A115" t="inlineStr">
        <is>
          <t>Schreibmeister</t>
        </is>
      </c>
      <c r="B115" t="b">
        <v>1</v>
      </c>
      <c r="C115" t="inlineStr"/>
      <c r="D115" t="inlineStr"/>
      <c r="E115" t="n">
        <v>108</v>
      </c>
      <c r="F115">
        <f>HYPERLINK("https://portal.dnb.de/opac.htm?method=simpleSearch&amp;cqlMode=true&amp;query=idn%3D999886444", "Portal")</f>
        <v/>
      </c>
      <c r="G115" t="inlineStr">
        <is>
          <t>Afl</t>
        </is>
      </c>
      <c r="H115">
        <f>HYPERLINK("https://portal.dnb.de/opac.htm?method=simpleSearch&amp;cqlMode=true&amp;query=idn%3D999886444", "Portal")</f>
        <v/>
      </c>
      <c r="I115" t="inlineStr">
        <is>
          <t>L-1797-169617831</t>
        </is>
      </c>
      <c r="J115" t="inlineStr">
        <is>
          <t>999886444</t>
        </is>
      </c>
      <c r="K115" t="inlineStr">
        <is>
          <t>Bö B I 548</t>
        </is>
      </c>
      <c r="L115" t="inlineStr">
        <is>
          <t>Bö B I 548</t>
        </is>
      </c>
      <c r="M115" t="inlineStr">
        <is>
          <t>Bö B I 548</t>
        </is>
      </c>
      <c r="N115" t="inlineStr">
        <is>
          <t>Pasigraphie, ou premiers élémens du nouvel art-science d'écrire et d'imprimer en une langue de manière à être lu et entendu dans toute autre langue sa</t>
        </is>
      </c>
      <c r="O115" t="inlineStr">
        <is>
          <t xml:space="preserve">1 : </t>
        </is>
      </c>
      <c r="P115" t="inlineStr">
        <is>
          <t>Bö B I 548</t>
        </is>
      </c>
      <c r="Q115" t="inlineStr"/>
      <c r="R115" t="inlineStr"/>
      <c r="S115" t="inlineStr">
        <is>
          <t>Pasigraphie, ou premiers élémens du nouvel art-science d'écrire et d'imprimer en une langue de manière à être lu et entendu dans toute autre langue sa</t>
        </is>
      </c>
      <c r="T115" t="inlineStr">
        <is>
          <t xml:space="preserve">1 : </t>
        </is>
      </c>
      <c r="U115" t="inlineStr">
        <is>
          <t>X</t>
        </is>
      </c>
      <c r="V115" t="inlineStr"/>
      <c r="W115" t="inlineStr">
        <is>
          <t>Halbledereinband</t>
        </is>
      </c>
      <c r="X115" t="inlineStr">
        <is>
          <t>bis 35 cm</t>
        </is>
      </c>
      <c r="Y115" t="inlineStr">
        <is>
          <t>180°</t>
        </is>
      </c>
      <c r="Z115" t="inlineStr">
        <is>
          <t>fester Rücken mit Schmuckprägung</t>
        </is>
      </c>
      <c r="AA115" t="inlineStr"/>
      <c r="AB115" t="inlineStr"/>
      <c r="AC115" t="inlineStr"/>
      <c r="AD115" t="n">
        <v>0</v>
      </c>
      <c r="AE115" t="inlineStr"/>
      <c r="AF115" t="inlineStr"/>
      <c r="AG115" t="inlineStr"/>
      <c r="AH115" t="inlineStr"/>
      <c r="AI115" t="inlineStr"/>
      <c r="AJ115" t="inlineStr"/>
      <c r="AK115" t="inlineStr"/>
      <c r="AL115" t="inlineStr"/>
      <c r="AM115" t="inlineStr"/>
      <c r="AN115" t="inlineStr">
        <is>
          <t>HL</t>
        </is>
      </c>
      <c r="AO115" t="inlineStr"/>
      <c r="AP115" t="inlineStr"/>
      <c r="AQ115" t="inlineStr"/>
      <c r="AR115" t="inlineStr">
        <is>
          <t>f</t>
        </is>
      </c>
      <c r="AS115" t="inlineStr"/>
      <c r="AT115" t="inlineStr"/>
      <c r="AU115" t="inlineStr"/>
      <c r="AV115" t="inlineStr"/>
      <c r="AW115" t="inlineStr"/>
      <c r="AX115" t="inlineStr">
        <is>
          <t>Pa</t>
        </is>
      </c>
      <c r="AY115" t="inlineStr"/>
      <c r="AZ115" t="inlineStr"/>
      <c r="BA115" t="inlineStr"/>
      <c r="BB115" t="inlineStr"/>
      <c r="BC115" t="inlineStr"/>
      <c r="BD115" t="inlineStr"/>
      <c r="BE115" t="inlineStr"/>
      <c r="BF115" t="inlineStr"/>
      <c r="BG115" t="inlineStr"/>
      <c r="BH115" t="inlineStr"/>
      <c r="BI115" t="inlineStr"/>
      <c r="BJ115" t="inlineStr"/>
      <c r="BK115" t="inlineStr"/>
      <c r="BL115" t="n">
        <v>80</v>
      </c>
      <c r="BM115" t="inlineStr"/>
      <c r="BN115" t="inlineStr"/>
      <c r="BO115" t="inlineStr"/>
      <c r="BP115" t="inlineStr"/>
      <c r="BQ115" t="inlineStr"/>
      <c r="BR115" t="inlineStr">
        <is>
          <t>n</t>
        </is>
      </c>
      <c r="BS115" t="n">
        <v>0</v>
      </c>
      <c r="BT115" t="inlineStr"/>
      <c r="BU115" t="inlineStr"/>
      <c r="BV115" t="inlineStr"/>
      <c r="BW115" t="inlineStr"/>
      <c r="BX115" t="inlineStr">
        <is>
          <t>x</t>
        </is>
      </c>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c r="DH115" t="inlineStr"/>
      <c r="DI115" t="inlineStr"/>
      <c r="DJ115" t="inlineStr"/>
      <c r="DK115" t="inlineStr"/>
      <c r="DL115" t="inlineStr"/>
    </row>
    <row r="116">
      <c r="A116" t="inlineStr">
        <is>
          <t>Schreibmeister</t>
        </is>
      </c>
      <c r="B116" t="b">
        <v>1</v>
      </c>
      <c r="C116" t="inlineStr"/>
      <c r="D116" t="inlineStr"/>
      <c r="E116" t="n">
        <v>109</v>
      </c>
      <c r="F116">
        <f>HYPERLINK("https://portal.dnb.de/opac.htm?method=simpleSearch&amp;cqlMode=true&amp;query=idn%3D999886479", "Portal")</f>
        <v/>
      </c>
      <c r="G116" t="inlineStr">
        <is>
          <t>Afl</t>
        </is>
      </c>
      <c r="H116">
        <f>HYPERLINK("https://portal.dnb.de/opac.htm?method=simpleSearch&amp;cqlMode=true&amp;query=idn%3D999886479", "Portal")</f>
        <v/>
      </c>
      <c r="I116" t="inlineStr">
        <is>
          <t>L-1979-169617874</t>
        </is>
      </c>
      <c r="J116" t="inlineStr">
        <is>
          <t>999886479</t>
        </is>
      </c>
      <c r="K116" t="inlineStr">
        <is>
          <t>Bö B I 548</t>
        </is>
      </c>
      <c r="L116" t="inlineStr">
        <is>
          <t>Bö B I 548</t>
        </is>
      </c>
      <c r="M116" t="inlineStr">
        <is>
          <t>Bö B I 548</t>
        </is>
      </c>
      <c r="N116" t="inlineStr">
        <is>
          <t>Pasigraphie, ou premiers élémens du nouvel art-science d'écrire et d'imprimer en une langue de manière à être lu et entendu dans toute autre langue sa</t>
        </is>
      </c>
      <c r="O116" t="inlineStr">
        <is>
          <t xml:space="preserve">2 : </t>
        </is>
      </c>
      <c r="P116" t="inlineStr">
        <is>
          <t>Bö B I 548 (angebunden)</t>
        </is>
      </c>
      <c r="Q116" t="inlineStr"/>
      <c r="R116" t="inlineStr"/>
      <c r="S116" t="inlineStr">
        <is>
          <t>Pasigraphie, ou premiers élémens du nouvel art-science d'écrire et d'imprimer en une langue de manière à être lu et entendu dans toute autre langue sa</t>
        </is>
      </c>
      <c r="T116" t="inlineStr">
        <is>
          <t xml:space="preserve">2 : </t>
        </is>
      </c>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n">
        <v>0</v>
      </c>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c r="DH116" t="inlineStr"/>
      <c r="DI116" t="inlineStr"/>
      <c r="DJ116" t="inlineStr"/>
      <c r="DK116" t="inlineStr"/>
      <c r="DL116" t="inlineStr"/>
    </row>
    <row r="117">
      <c r="A117" t="inlineStr">
        <is>
          <t>Schreibmeister</t>
        </is>
      </c>
      <c r="B117" t="b">
        <v>1</v>
      </c>
      <c r="C117" t="inlineStr"/>
      <c r="D117" t="inlineStr"/>
      <c r="E117" t="n">
        <v>110</v>
      </c>
      <c r="F117">
        <f>HYPERLINK("https://portal.dnb.de/opac.htm?method=simpleSearch&amp;cqlMode=true&amp;query=idn%3D994029276", "Portal")</f>
        <v/>
      </c>
      <c r="G117" t="inlineStr">
        <is>
          <t>Aal</t>
        </is>
      </c>
      <c r="H117">
        <f>HYPERLINK("https://portal.dnb.de/opac.htm?method=simpleSearch&amp;cqlMode=true&amp;query=idn%3D994029276", "Portal")</f>
        <v/>
      </c>
      <c r="I117" t="inlineStr">
        <is>
          <t>L-1719-154309494</t>
        </is>
      </c>
      <c r="J117" t="inlineStr">
        <is>
          <t>994029276</t>
        </is>
      </c>
      <c r="K117" t="inlineStr">
        <is>
          <t>Bö B III 143/4°</t>
        </is>
      </c>
      <c r="L117" t="inlineStr">
        <is>
          <t>Bö B III 143/4°</t>
        </is>
      </c>
      <c r="M117" t="inlineStr">
        <is>
          <t>Bö B III 143/4°</t>
        </is>
      </c>
      <c r="N117" t="inlineStr">
        <is>
          <t xml:space="preserve">Arte nuevo de escribir por preceptos geometricos, y reglas mathematicas : </t>
        </is>
      </c>
      <c r="O117" t="inlineStr">
        <is>
          <t xml:space="preserve"> : </t>
        </is>
      </c>
      <c r="P117" t="inlineStr">
        <is>
          <t>Bö B III 143/4°</t>
        </is>
      </c>
      <c r="Q117" t="inlineStr">
        <is>
          <t>2500,00 EUR; 3500,00 USD</t>
        </is>
      </c>
      <c r="R117" t="inlineStr"/>
      <c r="S117" t="inlineStr">
        <is>
          <t xml:space="preserve">Arte nuevo de escribir por preceptos geometricos, y reglas mathematicas : </t>
        </is>
      </c>
      <c r="T117" t="inlineStr">
        <is>
          <t xml:space="preserve"> : </t>
        </is>
      </c>
      <c r="U117" t="inlineStr">
        <is>
          <t>X</t>
        </is>
      </c>
      <c r="V117" t="inlineStr">
        <is>
          <t>2500,00 EUR; 3500,00 USD</t>
        </is>
      </c>
      <c r="W117" t="inlineStr">
        <is>
          <t>Halbledereinband</t>
        </is>
      </c>
      <c r="X117" t="inlineStr">
        <is>
          <t>bis 35 cm</t>
        </is>
      </c>
      <c r="Y117" t="inlineStr">
        <is>
          <t>80° bis 110°, einseitig digitalisierbar?</t>
        </is>
      </c>
      <c r="Z117" t="inlineStr">
        <is>
          <t>fester Rücken mit Schmuckprägung, gefaltete Blätter</t>
        </is>
      </c>
      <c r="AA117" t="inlineStr"/>
      <c r="AB117" t="inlineStr"/>
      <c r="AC117" t="inlineStr"/>
      <c r="AD117" t="n">
        <v>1</v>
      </c>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BR117" t="inlineStr"/>
      <c r="BS117" t="n">
        <v>0</v>
      </c>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c r="DH117" t="inlineStr"/>
      <c r="DI117" t="inlineStr"/>
      <c r="DJ117" t="inlineStr"/>
      <c r="DK117" t="inlineStr"/>
      <c r="DL117" t="inlineStr"/>
    </row>
    <row r="118">
      <c r="A118" t="inlineStr">
        <is>
          <t>Schreibmeister</t>
        </is>
      </c>
      <c r="B118" t="b">
        <v>1</v>
      </c>
      <c r="C118" t="inlineStr"/>
      <c r="D118" t="inlineStr"/>
      <c r="E118" t="n">
        <v>111</v>
      </c>
      <c r="F118">
        <f>HYPERLINK("https://portal.dnb.de/opac.htm?method=simpleSearch&amp;cqlMode=true&amp;query=idn%3D1001306082", "Portal")</f>
        <v/>
      </c>
      <c r="G118" t="inlineStr">
        <is>
          <t>Aal</t>
        </is>
      </c>
      <c r="H118">
        <f>HYPERLINK("https://portal.dnb.de/opac.htm?method=simpleSearch&amp;cqlMode=true&amp;query=idn%3D1001306082", "Portal")</f>
        <v/>
      </c>
      <c r="I118" t="inlineStr">
        <is>
          <t>L-1679-174114281</t>
        </is>
      </c>
      <c r="J118" t="inlineStr">
        <is>
          <t>1001306082</t>
        </is>
      </c>
      <c r="K118" t="inlineStr">
        <is>
          <t>Bö B III 144</t>
        </is>
      </c>
      <c r="L118" t="inlineStr">
        <is>
          <t>Bö B III 144</t>
        </is>
      </c>
      <c r="M118" t="inlineStr">
        <is>
          <t>Bö B III 144</t>
        </is>
      </c>
      <c r="N118" t="inlineStr">
        <is>
          <t>Der @Curiose Schreiber : Von allerley künstlichen und erdencklichen Arthen zu schreiben/ Itzt Mit vielen andern Raritäten/ auch Figuren die Proportion</t>
        </is>
      </c>
      <c r="O118" t="inlineStr">
        <is>
          <t xml:space="preserve"> : </t>
        </is>
      </c>
      <c r="P118" t="inlineStr">
        <is>
          <t>Bö B III 144</t>
        </is>
      </c>
      <c r="Q118" t="inlineStr"/>
      <c r="R118" t="inlineStr"/>
      <c r="S118" t="inlineStr">
        <is>
          <t>Der @Curiose Schreiber : Von allerley künstlichen und erdencklichen Arthen zu schreiben/ Itzt Mit vielen andern Raritäten/ auch Figuren die Proportion</t>
        </is>
      </c>
      <c r="T118" t="inlineStr">
        <is>
          <t xml:space="preserve"> : </t>
        </is>
      </c>
      <c r="U118" t="inlineStr">
        <is>
          <t>X</t>
        </is>
      </c>
      <c r="V118" t="inlineStr"/>
      <c r="W118" t="inlineStr">
        <is>
          <t>Pergamentband</t>
        </is>
      </c>
      <c r="X118" t="inlineStr">
        <is>
          <t>bis 25 cm</t>
        </is>
      </c>
      <c r="Y118" t="inlineStr">
        <is>
          <t>80° bis 110°, einseitig digitalisierbar?</t>
        </is>
      </c>
      <c r="Z118" t="inlineStr">
        <is>
          <t>hohler Rücken, welliger Buchblock, gefaltete Blätter, Einband mit Schutz- oder Stoßkanten, Schrift bis in den Falz</t>
        </is>
      </c>
      <c r="AA118" t="inlineStr"/>
      <c r="AB118" t="inlineStr"/>
      <c r="AC118" t="inlineStr"/>
      <c r="AD118" t="n">
        <v>1</v>
      </c>
      <c r="AE118" t="inlineStr"/>
      <c r="AF118" t="inlineStr"/>
      <c r="AG118" t="inlineStr"/>
      <c r="AH118" t="inlineStr"/>
      <c r="AI118" t="inlineStr"/>
      <c r="AJ118" t="inlineStr"/>
      <c r="AK118" t="inlineStr"/>
      <c r="AL118" t="inlineStr"/>
      <c r="AM118" t="inlineStr"/>
      <c r="AN118" t="inlineStr">
        <is>
          <t>Pg</t>
        </is>
      </c>
      <c r="AO118" t="inlineStr"/>
      <c r="AP118" t="inlineStr"/>
      <c r="AQ118" t="inlineStr"/>
      <c r="AR118" t="inlineStr">
        <is>
          <t>h</t>
        </is>
      </c>
      <c r="AS118" t="inlineStr">
        <is>
          <t>x</t>
        </is>
      </c>
      <c r="AT118" t="inlineStr"/>
      <c r="AU118" t="inlineStr"/>
      <c r="AV118" t="inlineStr"/>
      <c r="AW118" t="inlineStr"/>
      <c r="AX118" t="inlineStr">
        <is>
          <t>Pa</t>
        </is>
      </c>
      <c r="AY118" t="inlineStr"/>
      <c r="AZ118" t="inlineStr"/>
      <c r="BA118" t="inlineStr"/>
      <c r="BB118" t="inlineStr"/>
      <c r="BC118" t="inlineStr"/>
      <c r="BD118" t="inlineStr"/>
      <c r="BE118" t="inlineStr">
        <is>
          <t>x</t>
        </is>
      </c>
      <c r="BF118" t="inlineStr">
        <is>
          <t>B: 10x16
F: 33x42</t>
        </is>
      </c>
      <c r="BG118" t="inlineStr">
        <is>
          <t>x</t>
        </is>
      </c>
      <c r="BH118" t="inlineStr"/>
      <c r="BI118" t="inlineStr"/>
      <c r="BJ118" t="n">
        <v>2</v>
      </c>
      <c r="BK118" t="inlineStr">
        <is>
          <t>x</t>
        </is>
      </c>
      <c r="BL118" t="n">
        <v>60</v>
      </c>
      <c r="BM118" t="inlineStr"/>
      <c r="BN118" t="inlineStr"/>
      <c r="BO118" t="inlineStr"/>
      <c r="BP118" t="inlineStr"/>
      <c r="BQ118" t="inlineStr"/>
      <c r="BR118" t="inlineStr">
        <is>
          <t>n</t>
        </is>
      </c>
      <c r="BS118" t="n">
        <v>0</v>
      </c>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c r="DH118" t="inlineStr"/>
      <c r="DI118" t="inlineStr"/>
      <c r="DJ118" t="inlineStr"/>
      <c r="DK118" t="inlineStr"/>
      <c r="DL118" t="inlineStr"/>
    </row>
    <row r="119">
      <c r="A119" t="inlineStr">
        <is>
          <t>Schreibmeister</t>
        </is>
      </c>
      <c r="B119" t="b">
        <v>1</v>
      </c>
      <c r="C119" t="inlineStr">
        <is>
          <t>x</t>
        </is>
      </c>
      <c r="D119" t="inlineStr"/>
      <c r="E119" t="n">
        <v>112</v>
      </c>
      <c r="F119">
        <f>HYPERLINK("https://portal.dnb.de/opac.htm?method=simpleSearch&amp;cqlMode=true&amp;query=idn%3D1002571642", "Portal")</f>
        <v/>
      </c>
      <c r="G119" t="inlineStr">
        <is>
          <t>Aal</t>
        </is>
      </c>
      <c r="H119">
        <f>HYPERLINK("https://portal.dnb.de/opac.htm?method=simpleSearch&amp;cqlMode=true&amp;query=idn%3D1002571642", "Portal")</f>
        <v/>
      </c>
      <c r="I119" t="inlineStr">
        <is>
          <t>L-1535-177605987</t>
        </is>
      </c>
      <c r="J119" t="inlineStr">
        <is>
          <t>1002571642</t>
        </is>
      </c>
      <c r="K119" t="inlineStr">
        <is>
          <t>Bö B III 152</t>
        </is>
      </c>
      <c r="L119" t="inlineStr">
        <is>
          <t>Bö B III 152</t>
        </is>
      </c>
      <c r="M119" t="inlineStr">
        <is>
          <t>Bö B III 152</t>
        </is>
      </c>
      <c r="N119" t="inlineStr">
        <is>
          <t>Thesavro De Scrit=||tori|| : opera artificiosa laquale con grandissima arte, si per pratica|| come per geometria insegna a Scruere diuerse sorte litte</t>
        </is>
      </c>
      <c r="O119" t="inlineStr">
        <is>
          <t xml:space="preserve"> : </t>
        </is>
      </c>
      <c r="P119" t="inlineStr">
        <is>
          <t>Bö B III 152</t>
        </is>
      </c>
      <c r="Q119" t="inlineStr"/>
      <c r="R119" t="inlineStr"/>
      <c r="S119" t="inlineStr">
        <is>
          <t>Thesavro De Scrit=||tori|| : opera artificiosa laquale con grandissima arte, si per pratica|| come per geometria insegna a Scruere diuerse sorte litte</t>
        </is>
      </c>
      <c r="T119" t="inlineStr">
        <is>
          <t xml:space="preserve"> : </t>
        </is>
      </c>
      <c r="U119" t="inlineStr">
        <is>
          <t>X</t>
        </is>
      </c>
      <c r="V119" t="inlineStr"/>
      <c r="W119" t="inlineStr">
        <is>
          <t>Ledereinband</t>
        </is>
      </c>
      <c r="X119" t="inlineStr">
        <is>
          <t>bis 25 cm</t>
        </is>
      </c>
      <c r="Y119" t="inlineStr">
        <is>
          <t>180°</t>
        </is>
      </c>
      <c r="Z119" t="inlineStr"/>
      <c r="AA119" t="inlineStr"/>
      <c r="AB119" t="inlineStr">
        <is>
          <t xml:space="preserve">Papierumschlag </t>
        </is>
      </c>
      <c r="AC119" t="inlineStr">
        <is>
          <t>Ja</t>
        </is>
      </c>
      <c r="AD119" t="n">
        <v>2</v>
      </c>
      <c r="AE119" t="inlineStr"/>
      <c r="AF119" t="inlineStr"/>
      <c r="AG119" t="inlineStr"/>
      <c r="AH119" t="inlineStr"/>
      <c r="AI119" t="inlineStr"/>
      <c r="AJ119" t="inlineStr"/>
      <c r="AK119" t="inlineStr"/>
      <c r="AL119" t="inlineStr"/>
      <c r="AM119" t="inlineStr"/>
      <c r="AN119" t="inlineStr">
        <is>
          <t>Br</t>
        </is>
      </c>
      <c r="AO119" t="inlineStr"/>
      <c r="AP119" t="inlineStr"/>
      <c r="AQ119" t="inlineStr"/>
      <c r="AR119" t="inlineStr"/>
      <c r="AS119" t="inlineStr"/>
      <c r="AT119" t="inlineStr"/>
      <c r="AU119" t="inlineStr"/>
      <c r="AV119" t="inlineStr"/>
      <c r="AW119" t="inlineStr"/>
      <c r="AX119" t="inlineStr">
        <is>
          <t>Pa</t>
        </is>
      </c>
      <c r="AY119" t="inlineStr"/>
      <c r="AZ119" t="inlineStr"/>
      <c r="BA119" t="inlineStr"/>
      <c r="BB119" t="inlineStr"/>
      <c r="BC119" t="inlineStr"/>
      <c r="BD119" t="inlineStr"/>
      <c r="BE119" t="inlineStr"/>
      <c r="BF119" t="inlineStr"/>
      <c r="BG119" t="inlineStr">
        <is>
          <t>x</t>
        </is>
      </c>
      <c r="BH119" t="inlineStr"/>
      <c r="BI119" t="inlineStr">
        <is>
          <t>x</t>
        </is>
      </c>
      <c r="BJ119" t="inlineStr"/>
      <c r="BK119" t="inlineStr"/>
      <c r="BL119" t="inlineStr">
        <is>
          <t>nur 110</t>
        </is>
      </c>
      <c r="BM119" t="inlineStr"/>
      <c r="BN119" t="inlineStr"/>
      <c r="BO119" t="inlineStr"/>
      <c r="BP119" t="inlineStr"/>
      <c r="BQ119" t="inlineStr">
        <is>
          <t>x</t>
        </is>
      </c>
      <c r="BR119" t="inlineStr">
        <is>
          <t>ja vor</t>
        </is>
      </c>
      <c r="BS119" t="n">
        <v>5</v>
      </c>
      <c r="BT119" t="inlineStr"/>
      <c r="BU119" t="inlineStr"/>
      <c r="BV119" t="inlineStr"/>
      <c r="BW119" t="inlineStr"/>
      <c r="BX119" t="inlineStr"/>
      <c r="BY119" t="inlineStr">
        <is>
          <t>x sauer</t>
        </is>
      </c>
      <c r="BZ119" t="inlineStr">
        <is>
          <t>x</t>
        </is>
      </c>
      <c r="CA119" t="inlineStr">
        <is>
          <t>Schaden am Umschlag stabil</t>
        </is>
      </c>
      <c r="CB119" t="inlineStr"/>
      <c r="CC119" t="inlineStr"/>
      <c r="CD119" t="inlineStr">
        <is>
          <t>Jurismappe (Einband mit Schaden)</t>
        </is>
      </c>
      <c r="CE119" t="inlineStr">
        <is>
          <t>x</t>
        </is>
      </c>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is>
          <t>x</t>
        </is>
      </c>
      <c r="DC119" t="inlineStr"/>
      <c r="DD119" t="inlineStr">
        <is>
          <t>x</t>
        </is>
      </c>
      <c r="DE119" t="inlineStr"/>
      <c r="DF119" t="inlineStr"/>
      <c r="DG119" t="inlineStr"/>
      <c r="DH119" t="inlineStr"/>
      <c r="DI119" t="inlineStr"/>
      <c r="DJ119" t="inlineStr"/>
      <c r="DK119" t="n">
        <v>5</v>
      </c>
      <c r="DL119" t="inlineStr">
        <is>
          <t>das Nötigste, Einband lassen (ist stabil)</t>
        </is>
      </c>
    </row>
    <row r="120">
      <c r="A120" t="inlineStr">
        <is>
          <t>Schreibmeister</t>
        </is>
      </c>
      <c r="B120" t="b">
        <v>1</v>
      </c>
      <c r="C120" t="inlineStr"/>
      <c r="D120" t="inlineStr"/>
      <c r="E120" t="n">
        <v>113</v>
      </c>
      <c r="F120">
        <f>HYPERLINK("https://portal.dnb.de/opac.htm?method=simpleSearch&amp;cqlMode=true&amp;query=idn%3D999592254", "Portal")</f>
        <v/>
      </c>
      <c r="G120" t="inlineStr">
        <is>
          <t>Hal</t>
        </is>
      </c>
      <c r="H120">
        <f>HYPERLINK("https://portal.dnb.de/opac.htm?method=simpleSearch&amp;cqlMode=true&amp;query=idn%3D999592254", "Portal")</f>
        <v/>
      </c>
      <c r="I120" t="inlineStr">
        <is>
          <t>L-1538-16858381X</t>
        </is>
      </c>
      <c r="J120" t="inlineStr">
        <is>
          <t>999592254</t>
        </is>
      </c>
      <c r="K120" t="inlineStr">
        <is>
          <t>Bö H 146</t>
        </is>
      </c>
      <c r="L120" t="inlineStr">
        <is>
          <t>Bö H 146</t>
        </is>
      </c>
      <c r="M120" t="inlineStr">
        <is>
          <t>Bö H 146</t>
        </is>
      </c>
      <c r="N120" t="inlineStr">
        <is>
          <t>Ein @gute Ordnung vnnd Kurtze vnnterricht der|| fürnembsten grunde aus denen die Jungen Zierlichs|| schreibens begirlich mit besonnderer, kunst vnd be</t>
        </is>
      </c>
      <c r="O120" t="inlineStr">
        <is>
          <t xml:space="preserve"> : </t>
        </is>
      </c>
      <c r="P120" t="inlineStr">
        <is>
          <t>Bö H 146</t>
        </is>
      </c>
      <c r="Q120" t="inlineStr"/>
      <c r="R120" t="inlineStr"/>
      <c r="S120" t="inlineStr">
        <is>
          <t>Ein @gute Ordnung vnnd Kurtze vnnterricht der|| fürnembsten grunde aus denen die Jungen Zierlichs|| schreibens begirlich mit besonnderer, kunst vnd be</t>
        </is>
      </c>
      <c r="T120" t="inlineStr">
        <is>
          <t xml:space="preserve"> : </t>
        </is>
      </c>
      <c r="U120" t="inlineStr"/>
      <c r="V120" t="inlineStr"/>
      <c r="W120" t="inlineStr"/>
      <c r="X120" t="inlineStr">
        <is>
          <t>bis 25 cm</t>
        </is>
      </c>
      <c r="Y120" t="inlineStr"/>
      <c r="Z120" t="inlineStr"/>
      <c r="AA120" t="inlineStr"/>
      <c r="AB120" t="inlineStr"/>
      <c r="AC120" t="inlineStr"/>
      <c r="AD120" t="inlineStr"/>
      <c r="AE120" t="inlineStr"/>
      <c r="AF120" t="inlineStr"/>
      <c r="AG120" t="inlineStr"/>
      <c r="AH120" t="inlineStr"/>
      <c r="AI120" t="inlineStr"/>
      <c r="AJ120" t="inlineStr"/>
      <c r="AK120" t="inlineStr">
        <is>
          <t>QF (25x18)</t>
        </is>
      </c>
      <c r="AL120" t="inlineStr"/>
      <c r="AM120" t="inlineStr"/>
      <c r="AN120" t="inlineStr">
        <is>
          <t>HPg</t>
        </is>
      </c>
      <c r="AO120" t="inlineStr"/>
      <c r="AP120" t="inlineStr"/>
      <c r="AQ120" t="inlineStr"/>
      <c r="AR120" t="inlineStr">
        <is>
          <t>h/E</t>
        </is>
      </c>
      <c r="AS120" t="inlineStr"/>
      <c r="AT120" t="inlineStr"/>
      <c r="AU120" t="inlineStr"/>
      <c r="AV120" t="inlineStr"/>
      <c r="AW120" t="inlineStr"/>
      <c r="AX120" t="inlineStr">
        <is>
          <t>Pg</t>
        </is>
      </c>
      <c r="AY120" t="inlineStr"/>
      <c r="AZ120" t="inlineStr"/>
      <c r="BA120" t="inlineStr"/>
      <c r="BB120" t="inlineStr"/>
      <c r="BC120" t="inlineStr"/>
      <c r="BD120" t="inlineStr"/>
      <c r="BE120" t="inlineStr"/>
      <c r="BF120" t="inlineStr"/>
      <c r="BG120" t="inlineStr"/>
      <c r="BH120" t="inlineStr"/>
      <c r="BI120" t="inlineStr">
        <is>
          <t>x</t>
        </is>
      </c>
      <c r="BJ120" t="inlineStr"/>
      <c r="BK120" t="inlineStr"/>
      <c r="BL120" t="n">
        <v>110</v>
      </c>
      <c r="BM120" t="inlineStr"/>
      <c r="BN120" t="inlineStr"/>
      <c r="BO120" t="inlineStr"/>
      <c r="BP120" t="inlineStr"/>
      <c r="BQ120" t="inlineStr"/>
      <c r="BR120" t="inlineStr">
        <is>
          <t>n</t>
        </is>
      </c>
      <c r="BS120" t="n">
        <v>0</v>
      </c>
      <c r="BT120" t="inlineStr"/>
      <c r="BU120" t="inlineStr">
        <is>
          <t>Gewebe</t>
        </is>
      </c>
      <c r="BV120" t="inlineStr"/>
      <c r="BW120" t="inlineStr"/>
      <c r="BX120" t="inlineStr"/>
      <c r="BY120" t="inlineStr"/>
      <c r="BZ120" t="inlineStr"/>
      <c r="CA120" t="inlineStr">
        <is>
          <t>ist eine Handschrift</t>
        </is>
      </c>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c r="DH120" t="inlineStr"/>
      <c r="DI120" t="inlineStr"/>
      <c r="DJ120" t="inlineStr"/>
      <c r="DK120" t="inlineStr"/>
      <c r="DL120" t="inlineStr"/>
    </row>
    <row r="121">
      <c r="A121" t="inlineStr">
        <is>
          <t>Schreibmeister</t>
        </is>
      </c>
      <c r="B121" t="b">
        <v>1</v>
      </c>
      <c r="C121" t="inlineStr"/>
      <c r="D121" t="inlineStr"/>
      <c r="E121" t="inlineStr"/>
      <c r="F121">
        <f>HYPERLINK("https://portal.dnb.de/opac.htm?method=simpleSearch&amp;cqlMode=true&amp;query=idn%3D994483619", "Portal")</f>
        <v/>
      </c>
      <c r="G121" t="inlineStr">
        <is>
          <t>Hal</t>
        </is>
      </c>
      <c r="H121">
        <f>HYPERLINK("https://portal.dnb.de/opac.htm?method=simpleSearch&amp;cqlMode=true&amp;query=idn%3D994483619", "Portal")</f>
        <v/>
      </c>
      <c r="I121" t="inlineStr">
        <is>
          <t>L-9999-156026031</t>
        </is>
      </c>
      <c r="J121" t="inlineStr">
        <is>
          <t>994483619</t>
        </is>
      </c>
      <c r="K121" t="inlineStr">
        <is>
          <t>Bö H 168</t>
        </is>
      </c>
      <c r="L121" t="inlineStr">
        <is>
          <t>Bö H 168</t>
        </is>
      </c>
      <c r="M121" t="inlineStr">
        <is>
          <t>Bö H 168</t>
        </is>
      </c>
      <c r="N121" t="inlineStr">
        <is>
          <t xml:space="preserve">[Handgeschriebene Schreibvorlage] : </t>
        </is>
      </c>
      <c r="O121" t="inlineStr">
        <is>
          <t xml:space="preserve"> : </t>
        </is>
      </c>
      <c r="P121" t="inlineStr">
        <is>
          <t>Bö H 168</t>
        </is>
      </c>
      <c r="Q121" t="inlineStr"/>
      <c r="R121" t="inlineStr"/>
      <c r="S121" t="inlineStr">
        <is>
          <t xml:space="preserve">[Handgeschriebene Schreibvorlage] : </t>
        </is>
      </c>
      <c r="T121" t="inlineStr">
        <is>
          <t xml:space="preserve"> : </t>
        </is>
      </c>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c r="DH121" t="inlineStr"/>
      <c r="DI121" t="inlineStr"/>
      <c r="DJ121" t="inlineStr"/>
      <c r="DK121" t="inlineStr"/>
      <c r="DL121" t="inlineStr"/>
    </row>
    <row r="122">
      <c r="A122" t="inlineStr">
        <is>
          <t>Schreibmeister</t>
        </is>
      </c>
      <c r="B122" t="b">
        <v>1</v>
      </c>
      <c r="C122" t="inlineStr"/>
      <c r="D122" t="inlineStr"/>
      <c r="E122" t="inlineStr"/>
      <c r="F122">
        <f>HYPERLINK("https://portal.dnb.de/opac.htm?method=simpleSearch&amp;cqlMode=true&amp;query=idn%3D999347039", "Portal")</f>
        <v/>
      </c>
      <c r="G122" t="inlineStr">
        <is>
          <t>Hal</t>
        </is>
      </c>
      <c r="H122">
        <f>HYPERLINK("https://portal.dnb.de/opac.htm?method=simpleSearch&amp;cqlMode=true&amp;query=idn%3D999347039", "Portal")</f>
        <v/>
      </c>
      <c r="I122" t="inlineStr">
        <is>
          <t>L-9999-167946870</t>
        </is>
      </c>
      <c r="J122" t="inlineStr">
        <is>
          <t>999347039</t>
        </is>
      </c>
      <c r="K122" t="inlineStr">
        <is>
          <t>Bö H 168</t>
        </is>
      </c>
      <c r="L122" t="inlineStr">
        <is>
          <t>Bö H 168</t>
        </is>
      </c>
      <c r="M122" t="inlineStr">
        <is>
          <t>Bö H 168</t>
        </is>
      </c>
      <c r="N122" t="inlineStr">
        <is>
          <t xml:space="preserve">[Handgeschriebene Schreibvorlagen:] Round Text Alphabet; The Old English Alphabet; The Italic Print Alphabet [u.a.] James Fairlie scripsit [bezw. Bl. </t>
        </is>
      </c>
      <c r="O122" t="inlineStr">
        <is>
          <t xml:space="preserve"> : </t>
        </is>
      </c>
      <c r="P122" t="inlineStr">
        <is>
          <t>Bö H 168</t>
        </is>
      </c>
      <c r="Q122" t="inlineStr"/>
      <c r="R122" t="inlineStr"/>
      <c r="S122" t="inlineStr">
        <is>
          <t xml:space="preserve">[Handgeschriebene Schreibvorlagen:] Round Text Alphabet; The Old English Alphabet; The Italic Print Alphabet [u.a.] James Fairlie scripsit [bezw. Bl. </t>
        </is>
      </c>
      <c r="T122" t="inlineStr">
        <is>
          <t xml:space="preserve"> : </t>
        </is>
      </c>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c r="DH122" t="inlineStr"/>
      <c r="DI122" t="inlineStr"/>
      <c r="DJ122" t="inlineStr"/>
      <c r="DK122" t="inlineStr"/>
      <c r="DL122" t="inlineStr"/>
    </row>
    <row r="123">
      <c r="A123" t="inlineStr">
        <is>
          <t>Schreibmeister</t>
        </is>
      </c>
      <c r="B123" t="b">
        <v>1</v>
      </c>
      <c r="C123" t="inlineStr"/>
      <c r="D123" t="inlineStr"/>
      <c r="E123" t="n">
        <v>114</v>
      </c>
      <c r="F123">
        <f>HYPERLINK("https://portal.dnb.de/opac.htm?method=simpleSearch&amp;cqlMode=true&amp;query=idn%3D1205037268", "Portal")</f>
        <v/>
      </c>
      <c r="G123" t="inlineStr">
        <is>
          <t>Aa</t>
        </is>
      </c>
      <c r="H123">
        <f>HYPERLINK("https://portal.dnb.de/opac.htm?method=simpleSearch&amp;cqlMode=true&amp;query=idn%3D1205037268", "Portal")</f>
        <v/>
      </c>
      <c r="I123" t="inlineStr">
        <is>
          <t>L-2020-302133</t>
        </is>
      </c>
      <c r="J123" t="inlineStr">
        <is>
          <t>1205037268</t>
        </is>
      </c>
      <c r="K123" t="inlineStr">
        <is>
          <t>Caa 564</t>
        </is>
      </c>
      <c r="L123" t="inlineStr">
        <is>
          <t>Caa 564</t>
        </is>
      </c>
      <c r="M123" t="inlineStr">
        <is>
          <t>Caa 564</t>
        </is>
      </c>
      <c r="N123" t="inlineStr">
        <is>
          <t>Paleografía Espanõla, : que contiene todos los modos conocidos, que ha habido de escribir en España, desde su principio, y fundacion, hasta el present</t>
        </is>
      </c>
      <c r="O123" t="inlineStr">
        <is>
          <t xml:space="preserve"> : </t>
        </is>
      </c>
      <c r="P123" t="inlineStr">
        <is>
          <t>Caa 564</t>
        </is>
      </c>
      <c r="Q123" t="inlineStr">
        <is>
          <t>600,00 EUR</t>
        </is>
      </c>
      <c r="R123" t="inlineStr"/>
      <c r="S123" t="inlineStr">
        <is>
          <t>Paleografía Espanõla, : que contiene todos los modos conocidos, que ha habido de escribir en España, desde su principio, y fundacion, hasta el present</t>
        </is>
      </c>
      <c r="T123" t="inlineStr">
        <is>
          <t xml:space="preserve"> : </t>
        </is>
      </c>
      <c r="U123" t="inlineStr"/>
      <c r="V123" t="inlineStr">
        <is>
          <t>600,00 EUR</t>
        </is>
      </c>
      <c r="W123" t="inlineStr"/>
      <c r="X123" t="inlineStr">
        <is>
          <t>bis 25 cm</t>
        </is>
      </c>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is>
          <t>Pg</t>
        </is>
      </c>
      <c r="AO123" t="inlineStr"/>
      <c r="AP123" t="inlineStr"/>
      <c r="AQ123" t="inlineStr"/>
      <c r="AR123" t="inlineStr">
        <is>
          <t>h</t>
        </is>
      </c>
      <c r="AS123" t="inlineStr"/>
      <c r="AT123" t="inlineStr"/>
      <c r="AU123" t="inlineStr"/>
      <c r="AV123" t="inlineStr"/>
      <c r="AW123" t="inlineStr"/>
      <c r="AX123" t="inlineStr">
        <is>
          <t>Pa</t>
        </is>
      </c>
      <c r="AY123" t="inlineStr"/>
      <c r="AZ123" t="inlineStr"/>
      <c r="BA123" t="inlineStr"/>
      <c r="BB123" t="inlineStr"/>
      <c r="BC123" t="inlineStr"/>
      <c r="BD123" t="inlineStr"/>
      <c r="BE123" t="inlineStr">
        <is>
          <t>x</t>
        </is>
      </c>
      <c r="BF123" t="inlineStr"/>
      <c r="BG123" t="inlineStr"/>
      <c r="BH123" t="inlineStr"/>
      <c r="BI123" t="inlineStr"/>
      <c r="BJ123" t="inlineStr"/>
      <c r="BK123" t="inlineStr"/>
      <c r="BL123" t="n">
        <v>110</v>
      </c>
      <c r="BM123" t="inlineStr"/>
      <c r="BN123" t="inlineStr"/>
      <c r="BO123" t="inlineStr"/>
      <c r="BP123" t="inlineStr"/>
      <c r="BQ123" t="inlineStr"/>
      <c r="BR123" t="inlineStr">
        <is>
          <t>n</t>
        </is>
      </c>
      <c r="BS123" t="n">
        <v>0</v>
      </c>
      <c r="BT123" t="inlineStr"/>
      <c r="BU123" t="inlineStr">
        <is>
          <t>Wellpappe</t>
        </is>
      </c>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c r="DH123" t="inlineStr"/>
      <c r="DI123" t="inlineStr"/>
      <c r="DJ123" t="inlineStr"/>
      <c r="DK123" t="inlineStr"/>
      <c r="DL123" t="inlineStr"/>
    </row>
    <row r="124">
      <c r="A124" t="inlineStr">
        <is>
          <t>Schreibmeister</t>
        </is>
      </c>
      <c r="B124" t="b">
        <v>1</v>
      </c>
      <c r="C124" t="inlineStr"/>
      <c r="D124" t="inlineStr"/>
      <c r="E124" t="n">
        <v>115</v>
      </c>
      <c r="F124">
        <f>HYPERLINK("https://portal.dnb.de/opac.htm?method=simpleSearch&amp;cqlMode=true&amp;query=idn%3D986026832", "Portal")</f>
        <v/>
      </c>
      <c r="G124" t="inlineStr">
        <is>
          <t>Af</t>
        </is>
      </c>
      <c r="H124">
        <f>HYPERLINK("https://portal.dnb.de/opac.htm?method=simpleSearch&amp;cqlMode=true&amp;query=idn%3D986026832", "Portal")</f>
        <v/>
      </c>
      <c r="I124" t="inlineStr">
        <is>
          <t>L-2007-324966</t>
        </is>
      </c>
      <c r="J124" t="inlineStr">
        <is>
          <t>986026832</t>
        </is>
      </c>
      <c r="K124" t="inlineStr">
        <is>
          <t>Cb 1</t>
        </is>
      </c>
      <c r="L124" t="inlineStr">
        <is>
          <t>Cb 1</t>
        </is>
      </c>
      <c r="M124" t="inlineStr">
        <is>
          <t>Cb 1</t>
        </is>
      </c>
      <c r="N124" t="inlineStr">
        <is>
          <t>Michael Baurenfeinds Vollkommene Wieder-Herstellung der bißher sehr in Verfall gekommenen gründlich- u. zierlichen Schreib-Kunst ...</t>
        </is>
      </c>
      <c r="O124" t="inlineStr">
        <is>
          <t>Theil 2. : In welchem die rechten Fundamenta derer gebräuchlichsten modernen Schrifften compendiös und leicht begreifflich, zu jedermans Nutzen, Aushülffe und Nachahmung, mit Figuren in Punktis und Linien, deutlich vorgestellet, demonstriret und verschiedene Hand-Griffe und Vortheile angezeiget und gewiesen werden</t>
        </is>
      </c>
      <c r="P124" t="inlineStr">
        <is>
          <t>Cb 1</t>
        </is>
      </c>
      <c r="Q124" t="inlineStr">
        <is>
          <t>7000,00 EUR</t>
        </is>
      </c>
      <c r="R124" t="inlineStr"/>
      <c r="S124" t="inlineStr">
        <is>
          <t>Michael Baurenfeinds Vollkommene Wieder-Herstellung der bißher sehr in Verfall gekommenen gründlich- u. zierlichen Schreib-Kunst ...</t>
        </is>
      </c>
      <c r="T124" t="inlineStr">
        <is>
          <t>Theil 2. : In welchem die rechten Fundamenta derer gebräuchlichsten modernen Schrifften compendiös und leicht begreifflich, zu jedermans Nutzen, Aushülffe und Nachahmung, mit Figuren in Punktis und Linien, deutlich vorgestellet, demonstriret und verschiedene Hand-Griffe und Vortheile angezeiget und gewiesen werden</t>
        </is>
      </c>
      <c r="U124" t="inlineStr">
        <is>
          <t>X</t>
        </is>
      </c>
      <c r="V124" t="inlineStr">
        <is>
          <t>7000,00 EUR</t>
        </is>
      </c>
      <c r="W124" t="inlineStr">
        <is>
          <t>Halbgewebeband</t>
        </is>
      </c>
      <c r="X124" t="inlineStr">
        <is>
          <t>bis 25 cm</t>
        </is>
      </c>
      <c r="Y124" t="inlineStr">
        <is>
          <t>80° bis 110°, einseitig digitalisierbar?</t>
        </is>
      </c>
      <c r="Z124" t="inlineStr">
        <is>
          <t>hohler Rücken</t>
        </is>
      </c>
      <c r="AA124" t="inlineStr"/>
      <c r="AB124" t="inlineStr">
        <is>
          <t xml:space="preserve">Papierumschlag </t>
        </is>
      </c>
      <c r="AC124" t="inlineStr">
        <is>
          <t>Ja</t>
        </is>
      </c>
      <c r="AD124" t="n">
        <v>1</v>
      </c>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BR124" t="inlineStr"/>
      <c r="BS124" t="n">
        <v>0</v>
      </c>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c r="DH124" t="inlineStr"/>
      <c r="DI124" t="inlineStr"/>
      <c r="DJ124" t="inlineStr"/>
      <c r="DK124" t="inlineStr"/>
      <c r="DL124" t="inlineStr"/>
    </row>
    <row r="125">
      <c r="A125" t="inlineStr">
        <is>
          <t>Schreibmeister</t>
        </is>
      </c>
      <c r="B125" t="b">
        <v>1</v>
      </c>
      <c r="C125" t="inlineStr"/>
      <c r="D125" t="inlineStr"/>
      <c r="E125" t="n">
        <v>117</v>
      </c>
      <c r="F125">
        <f>HYPERLINK("https://portal.dnb.de/opac.htm?method=simpleSearch&amp;cqlMode=true&amp;query=idn%3D1066933804", "Portal")</f>
        <v/>
      </c>
      <c r="G125" t="inlineStr">
        <is>
          <t>Aaf</t>
        </is>
      </c>
      <c r="H125">
        <f>HYPERLINK("https://portal.dnb.de/opac.htm?method=simpleSearch&amp;cqlMode=true&amp;query=idn%3D1066933804", "Portal")</f>
        <v/>
      </c>
      <c r="I125" t="inlineStr">
        <is>
          <t>L-1748-315461861</t>
        </is>
      </c>
      <c r="J125" t="inlineStr">
        <is>
          <t>1066933804</t>
        </is>
      </c>
      <c r="K125" t="inlineStr">
        <is>
          <t>Cb 2</t>
        </is>
      </c>
      <c r="L125" t="inlineStr">
        <is>
          <t>Cb 2</t>
        </is>
      </c>
      <c r="M125" t="inlineStr">
        <is>
          <t>Cb 2</t>
        </is>
      </c>
      <c r="N125" t="inlineStr">
        <is>
          <t xml:space="preserve">H. B. K. und J. G. V. Selbstlehrende Canzleymäßige Schreibe-Kunst : </t>
        </is>
      </c>
      <c r="O125" t="inlineStr">
        <is>
          <t xml:space="preserve"> : </t>
        </is>
      </c>
      <c r="P125" t="inlineStr">
        <is>
          <t>Cb 2</t>
        </is>
      </c>
      <c r="Q125" t="inlineStr"/>
      <c r="R125" t="inlineStr"/>
      <c r="S125" t="inlineStr">
        <is>
          <t xml:space="preserve">H. B. K. und J. G. V. Selbstlehrende Canzleymäßige Schreibe-Kunst : </t>
        </is>
      </c>
      <c r="T125" t="inlineStr">
        <is>
          <t xml:space="preserve"> : </t>
        </is>
      </c>
      <c r="U125" t="inlineStr">
        <is>
          <t>X</t>
        </is>
      </c>
      <c r="V125" t="inlineStr"/>
      <c r="W125" t="inlineStr">
        <is>
          <t>Papier- oder Pappeinband</t>
        </is>
      </c>
      <c r="X125" t="inlineStr">
        <is>
          <t>bis 25 cm</t>
        </is>
      </c>
      <c r="Y125" t="inlineStr">
        <is>
          <t>80° bis 110°, einseitig digitalisierbar?</t>
        </is>
      </c>
      <c r="Z125" t="inlineStr">
        <is>
          <t>hohler Rücken, gefaltete Blätter</t>
        </is>
      </c>
      <c r="AA125" t="inlineStr"/>
      <c r="AB125" t="inlineStr">
        <is>
          <t xml:space="preserve">Papierumschlag </t>
        </is>
      </c>
      <c r="AC125" t="inlineStr">
        <is>
          <t>Ja</t>
        </is>
      </c>
      <c r="AD125" t="n">
        <v>0</v>
      </c>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BR125" t="inlineStr"/>
      <c r="BS125" t="n">
        <v>0</v>
      </c>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c r="DH125" t="inlineStr"/>
      <c r="DI125" t="inlineStr"/>
      <c r="DJ125" t="inlineStr"/>
      <c r="DK125" t="inlineStr"/>
      <c r="DL125" t="inlineStr"/>
    </row>
    <row r="126">
      <c r="A126" t="inlineStr">
        <is>
          <t>Schreibmeister</t>
        </is>
      </c>
      <c r="B126" t="b">
        <v>1</v>
      </c>
      <c r="C126" t="inlineStr"/>
      <c r="D126" t="inlineStr"/>
      <c r="E126" t="n">
        <v>118</v>
      </c>
      <c r="F126">
        <f>HYPERLINK("https://portal.dnb.de/opac.htm?method=simpleSearch&amp;cqlMode=true&amp;query=idn%3D999332031", "Portal")</f>
        <v/>
      </c>
      <c r="G126" t="inlineStr">
        <is>
          <t>Afl</t>
        </is>
      </c>
      <c r="H126">
        <f>HYPERLINK("https://portal.dnb.de/opac.htm?method=simpleSearch&amp;cqlMode=true&amp;query=idn%3D999332031", "Portal")</f>
        <v/>
      </c>
      <c r="I126" t="inlineStr">
        <is>
          <t>L-1649-167930168</t>
        </is>
      </c>
      <c r="J126" t="inlineStr">
        <is>
          <t>999332031</t>
        </is>
      </c>
      <c r="K126" t="inlineStr">
        <is>
          <t>Cb 3</t>
        </is>
      </c>
      <c r="L126" t="inlineStr">
        <is>
          <t>Cb 3</t>
        </is>
      </c>
      <c r="M126" t="inlineStr">
        <is>
          <t>Cb 3</t>
        </is>
      </c>
      <c r="N126" t="inlineStr">
        <is>
          <t>Schreib-Stübelein ...</t>
        </is>
      </c>
      <c r="O126" t="inlineStr">
        <is>
          <t xml:space="preserve">1 : </t>
        </is>
      </c>
      <c r="P126" t="inlineStr">
        <is>
          <t>Cb 3</t>
        </is>
      </c>
      <c r="Q126" t="inlineStr"/>
      <c r="R126" t="inlineStr"/>
      <c r="S126" t="inlineStr">
        <is>
          <t>Schreib-Stübelein ...</t>
        </is>
      </c>
      <c r="T126" t="inlineStr">
        <is>
          <t xml:space="preserve">1 : </t>
        </is>
      </c>
      <c r="U126" t="inlineStr">
        <is>
          <t>X</t>
        </is>
      </c>
      <c r="V126" t="inlineStr"/>
      <c r="W126" t="inlineStr">
        <is>
          <t>Pergamentband</t>
        </is>
      </c>
      <c r="X126" t="inlineStr">
        <is>
          <t>bis 25 cm</t>
        </is>
      </c>
      <c r="Y126" t="inlineStr">
        <is>
          <t>80° bis 110°, einseitig digitalisierbar?</t>
        </is>
      </c>
      <c r="Z126" t="inlineStr">
        <is>
          <t>hohler Rücken, welliger Buchblock</t>
        </is>
      </c>
      <c r="AA126" t="inlineStr"/>
      <c r="AB126" t="inlineStr"/>
      <c r="AC126" t="inlineStr"/>
      <c r="AD126" t="n">
        <v>1</v>
      </c>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BR126" t="inlineStr"/>
      <c r="BS126" t="n">
        <v>0</v>
      </c>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c r="DH126" t="inlineStr"/>
      <c r="DI126" t="inlineStr"/>
      <c r="DJ126" t="inlineStr"/>
      <c r="DK126" t="inlineStr"/>
      <c r="DL126" t="inlineStr"/>
    </row>
    <row r="127">
      <c r="A127" t="inlineStr">
        <is>
          <t>Schreibmeister</t>
        </is>
      </c>
      <c r="B127" t="b">
        <v>1</v>
      </c>
      <c r="C127" t="inlineStr"/>
      <c r="D127" t="inlineStr"/>
      <c r="E127" t="n">
        <v>119</v>
      </c>
      <c r="F127">
        <f>HYPERLINK("https://portal.dnb.de/opac.htm?method=simpleSearch&amp;cqlMode=true&amp;query=idn%3D999332104", "Portal")</f>
        <v/>
      </c>
      <c r="G127" t="inlineStr">
        <is>
          <t>Afl</t>
        </is>
      </c>
      <c r="H127">
        <f>HYPERLINK("https://portal.dnb.de/opac.htm?method=simpleSearch&amp;cqlMode=true&amp;query=idn%3D999332104", "Portal")</f>
        <v/>
      </c>
      <c r="I127" t="inlineStr">
        <is>
          <t>L-1649-167930222</t>
        </is>
      </c>
      <c r="J127" t="inlineStr">
        <is>
          <t>999332104</t>
        </is>
      </c>
      <c r="K127" t="inlineStr">
        <is>
          <t>Cb 3</t>
        </is>
      </c>
      <c r="L127" t="inlineStr">
        <is>
          <t>Cb 3</t>
        </is>
      </c>
      <c r="M127" t="inlineStr">
        <is>
          <t>Cb 3</t>
        </is>
      </c>
      <c r="N127" t="inlineStr">
        <is>
          <t>Schreib-Stübelein ...</t>
        </is>
      </c>
      <c r="O127" t="inlineStr">
        <is>
          <t xml:space="preserve">2 : </t>
        </is>
      </c>
      <c r="P127" t="inlineStr">
        <is>
          <t>Cb 3</t>
        </is>
      </c>
      <c r="Q127" t="inlineStr"/>
      <c r="R127" t="inlineStr"/>
      <c r="S127" t="inlineStr">
        <is>
          <t>Schreib-Stübelein ...</t>
        </is>
      </c>
      <c r="T127" t="inlineStr">
        <is>
          <t xml:space="preserve">2 : </t>
        </is>
      </c>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BR127" t="inlineStr"/>
      <c r="BS127" t="n">
        <v>0</v>
      </c>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c r="DH127" t="inlineStr"/>
      <c r="DI127" t="inlineStr"/>
      <c r="DJ127" t="inlineStr"/>
      <c r="DK127" t="inlineStr"/>
      <c r="DL127" t="inlineStr"/>
    </row>
    <row r="128">
      <c r="A128" t="inlineStr">
        <is>
          <t>Schreibmeister</t>
        </is>
      </c>
      <c r="B128" t="b">
        <v>1</v>
      </c>
      <c r="C128" t="inlineStr"/>
      <c r="D128" t="inlineStr"/>
      <c r="E128" t="n">
        <v>120</v>
      </c>
      <c r="F128">
        <f>HYPERLINK("https://portal.dnb.de/opac.htm?method=simpleSearch&amp;cqlMode=true&amp;query=idn%3D999332171", "Portal")</f>
        <v/>
      </c>
      <c r="G128" t="inlineStr">
        <is>
          <t>Afl</t>
        </is>
      </c>
      <c r="H128">
        <f>HYPERLINK("https://portal.dnb.de/opac.htm?method=simpleSearch&amp;cqlMode=true&amp;query=idn%3D999332171", "Portal")</f>
        <v/>
      </c>
      <c r="I128" t="inlineStr">
        <is>
          <t>L-1649-167930303</t>
        </is>
      </c>
      <c r="J128" t="inlineStr">
        <is>
          <t>999332171</t>
        </is>
      </c>
      <c r="K128" t="inlineStr">
        <is>
          <t>Cb 3</t>
        </is>
      </c>
      <c r="L128" t="inlineStr">
        <is>
          <t>Cb 3</t>
        </is>
      </c>
      <c r="M128" t="inlineStr">
        <is>
          <t>Cb 3</t>
        </is>
      </c>
      <c r="N128" t="inlineStr">
        <is>
          <t>Schreib-Stübelein ...</t>
        </is>
      </c>
      <c r="O128" t="inlineStr">
        <is>
          <t xml:space="preserve">3 : </t>
        </is>
      </c>
      <c r="P128" t="inlineStr">
        <is>
          <t>Cb 3</t>
        </is>
      </c>
      <c r="Q128" t="inlineStr"/>
      <c r="R128" t="inlineStr"/>
      <c r="S128" t="inlineStr">
        <is>
          <t>Schreib-Stübelein ...</t>
        </is>
      </c>
      <c r="T128" t="inlineStr">
        <is>
          <t xml:space="preserve">3 : </t>
        </is>
      </c>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BR128" t="inlineStr"/>
      <c r="BS128" t="n">
        <v>0</v>
      </c>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c r="DH128" t="inlineStr"/>
      <c r="DI128" t="inlineStr"/>
      <c r="DJ128" t="inlineStr"/>
      <c r="DK128" t="inlineStr"/>
      <c r="DL128" t="inlineStr"/>
    </row>
    <row r="129">
      <c r="A129" t="inlineStr">
        <is>
          <t>Schreibmeister</t>
        </is>
      </c>
      <c r="B129" t="b">
        <v>1</v>
      </c>
      <c r="C129" t="inlineStr"/>
      <c r="D129" t="inlineStr"/>
      <c r="E129" t="n">
        <v>121</v>
      </c>
      <c r="F129">
        <f>HYPERLINK("https://portal.dnb.de/opac.htm?method=simpleSearch&amp;cqlMode=true&amp;query=idn%3D995812764", "Portal")</f>
        <v/>
      </c>
      <c r="G129" t="inlineStr">
        <is>
          <t>Aal</t>
        </is>
      </c>
      <c r="H129">
        <f>HYPERLINK("https://portal.dnb.de/opac.htm?method=simpleSearch&amp;cqlMode=true&amp;query=idn%3D995812764", "Portal")</f>
        <v/>
      </c>
      <c r="I129" t="inlineStr">
        <is>
          <t>L-1553-160866332</t>
        </is>
      </c>
      <c r="J129" t="inlineStr">
        <is>
          <t>995812764</t>
        </is>
      </c>
      <c r="K129" t="inlineStr">
        <is>
          <t>Cb 5</t>
        </is>
      </c>
      <c r="L129" t="inlineStr">
        <is>
          <t>Cb 5</t>
        </is>
      </c>
      <c r="M129" t="inlineStr">
        <is>
          <t>Cb 5</t>
        </is>
      </c>
      <c r="N129" t="inlineStr">
        <is>
          <t>Ein @nutzlich und wolgegrundt Formular, manncherley schöner Schriefften, als teutscher, lateinischer, griechischer unnd hebray͏̈scher Buchstaben, samp</t>
        </is>
      </c>
      <c r="O129" t="inlineStr">
        <is>
          <t xml:space="preserve"> : </t>
        </is>
      </c>
      <c r="P129" t="inlineStr">
        <is>
          <t>Cb 5</t>
        </is>
      </c>
      <c r="Q129" t="inlineStr">
        <is>
          <t>600,00 EUR</t>
        </is>
      </c>
      <c r="R129" t="inlineStr"/>
      <c r="S129" t="inlineStr">
        <is>
          <t>Ein @nutzlich und wolgegrundt Formular, manncherley schöner Schriefften, als teutscher, lateinischer, griechischer unnd hebray͏̈scher Buchstaben, samp</t>
        </is>
      </c>
      <c r="T129" t="inlineStr">
        <is>
          <t xml:space="preserve"> : </t>
        </is>
      </c>
      <c r="U129" t="inlineStr"/>
      <c r="V129" t="inlineStr">
        <is>
          <t>600,00 EUR</t>
        </is>
      </c>
      <c r="W129" t="inlineStr">
        <is>
          <t>Pergamentband, Schließen, erhabene Buchbeschläge</t>
        </is>
      </c>
      <c r="X129" t="inlineStr">
        <is>
          <t>bis 25 cm</t>
        </is>
      </c>
      <c r="Y129" t="inlineStr">
        <is>
          <t>80° bis 110°, einseitig digitalisierbar?</t>
        </is>
      </c>
      <c r="Z129" t="inlineStr">
        <is>
          <t>hohler Rücken</t>
        </is>
      </c>
      <c r="AA129" t="inlineStr"/>
      <c r="AB129" t="inlineStr">
        <is>
          <t>Kassette</t>
        </is>
      </c>
      <c r="AC129" t="inlineStr">
        <is>
          <t>Nein</t>
        </is>
      </c>
      <c r="AD129" t="n">
        <v>0</v>
      </c>
      <c r="AE129" t="inlineStr"/>
      <c r="AF129" t="inlineStr">
        <is>
          <t>Originaleinband separat</t>
        </is>
      </c>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BR129" t="inlineStr"/>
      <c r="BS129" t="n">
        <v>0</v>
      </c>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c r="DH129" t="inlineStr"/>
      <c r="DI129" t="inlineStr"/>
      <c r="DJ129" t="inlineStr"/>
      <c r="DK129" t="inlineStr"/>
      <c r="DL129" t="inlineStr"/>
    </row>
    <row r="130">
      <c r="A130" t="inlineStr">
        <is>
          <t>Schreibmeister</t>
        </is>
      </c>
      <c r="B130" t="b">
        <v>1</v>
      </c>
      <c r="C130" t="inlineStr">
        <is>
          <t>x</t>
        </is>
      </c>
      <c r="D130" t="inlineStr"/>
      <c r="E130" t="n">
        <v>122</v>
      </c>
      <c r="F130">
        <f>HYPERLINK("https://portal.dnb.de/opac.htm?method=simpleSearch&amp;cqlMode=true&amp;query=idn%3D999212214", "Portal")</f>
        <v/>
      </c>
      <c r="G130" t="inlineStr">
        <is>
          <t>Afl</t>
        </is>
      </c>
      <c r="H130">
        <f>HYPERLINK("https://portal.dnb.de/opac.htm?method=simpleSearch&amp;cqlMode=true&amp;query=idn%3D999212214", "Portal")</f>
        <v/>
      </c>
      <c r="I130" t="inlineStr">
        <is>
          <t>L-1782-167732293</t>
        </is>
      </c>
      <c r="J130" t="inlineStr">
        <is>
          <t>999212214</t>
        </is>
      </c>
      <c r="K130" t="inlineStr">
        <is>
          <t>Cb 6</t>
        </is>
      </c>
      <c r="L130" t="inlineStr">
        <is>
          <t>Cb 6</t>
        </is>
      </c>
      <c r="M130" t="inlineStr">
        <is>
          <t>Cb 6</t>
        </is>
      </c>
      <c r="N130" t="inlineStr">
        <is>
          <t>Liber artificiosus alphabeti maioris, oder: neu inventirtes Kunst-Schreib -und Zeichenbuch, bestehend in 56 künstlich gravirten Kupferstichen, nebst b</t>
        </is>
      </c>
      <c r="O130" t="inlineStr">
        <is>
          <t xml:space="preserve">1 : </t>
        </is>
      </c>
      <c r="P130" t="inlineStr">
        <is>
          <t>Cb 6 -1</t>
        </is>
      </c>
      <c r="Q130" t="inlineStr">
        <is>
          <t>2000,00 EUR</t>
        </is>
      </c>
      <c r="R130" t="inlineStr"/>
      <c r="S130" t="inlineStr">
        <is>
          <t>Liber artificiosus alphabeti maioris, oder: neu inventirtes Kunst-Schreib -und Zeichenbuch, bestehend in 56 künstlich gravirten Kupferstichen, nebst b</t>
        </is>
      </c>
      <c r="T130" t="inlineStr">
        <is>
          <t xml:space="preserve">1 : </t>
        </is>
      </c>
      <c r="U130" t="inlineStr">
        <is>
          <t>X</t>
        </is>
      </c>
      <c r="V130" t="inlineStr">
        <is>
          <t>2000,00 EUR</t>
        </is>
      </c>
      <c r="W130" t="inlineStr">
        <is>
          <t>Halbledereinband</t>
        </is>
      </c>
      <c r="X130" t="inlineStr">
        <is>
          <t>bis 35 cm</t>
        </is>
      </c>
      <c r="Y130" t="inlineStr">
        <is>
          <t>80° bis 110°, einseitig digitalisierbar?</t>
        </is>
      </c>
      <c r="Z130" t="inlineStr"/>
      <c r="AA130" t="inlineStr"/>
      <c r="AB130" t="inlineStr">
        <is>
          <t>Kassette</t>
        </is>
      </c>
      <c r="AC130" t="inlineStr">
        <is>
          <t>Nein, Signaturfahne austauschen</t>
        </is>
      </c>
      <c r="AD130" t="n">
        <v>2</v>
      </c>
      <c r="AE130" t="inlineStr"/>
      <c r="AF130" t="inlineStr"/>
      <c r="AG130" t="inlineStr"/>
      <c r="AH130" t="inlineStr"/>
      <c r="AI130" t="inlineStr"/>
      <c r="AJ130" t="inlineStr"/>
      <c r="AK130" t="inlineStr">
        <is>
          <t>QF (38x26)</t>
        </is>
      </c>
      <c r="AL130" t="inlineStr"/>
      <c r="AM130" t="inlineStr"/>
      <c r="AN130" t="inlineStr">
        <is>
          <t>HL</t>
        </is>
      </c>
      <c r="AO130" t="inlineStr"/>
      <c r="AP130" t="inlineStr"/>
      <c r="AQ130" t="inlineStr"/>
      <c r="AR130" t="inlineStr">
        <is>
          <t>f</t>
        </is>
      </c>
      <c r="AS130" t="inlineStr"/>
      <c r="AT130" t="inlineStr"/>
      <c r="AU130" t="inlineStr"/>
      <c r="AV130" t="inlineStr"/>
      <c r="AW130" t="inlineStr"/>
      <c r="AX130" t="inlineStr">
        <is>
          <t>Pa</t>
        </is>
      </c>
      <c r="AY130" t="inlineStr"/>
      <c r="AZ130" t="inlineStr"/>
      <c r="BA130" t="inlineStr"/>
      <c r="BB130" t="inlineStr"/>
      <c r="BC130" t="inlineStr"/>
      <c r="BD130" t="inlineStr"/>
      <c r="BE130" t="inlineStr"/>
      <c r="BF130" t="inlineStr"/>
      <c r="BG130" t="inlineStr">
        <is>
          <t>x</t>
        </is>
      </c>
      <c r="BH130" t="inlineStr"/>
      <c r="BI130" t="inlineStr">
        <is>
          <t>x</t>
        </is>
      </c>
      <c r="BJ130" t="inlineStr"/>
      <c r="BK130" t="inlineStr"/>
      <c r="BL130" t="n">
        <v>110</v>
      </c>
      <c r="BM130" t="inlineStr"/>
      <c r="BN130" t="inlineStr"/>
      <c r="BO130" t="inlineStr"/>
      <c r="BP130" t="inlineStr"/>
      <c r="BQ130" t="inlineStr"/>
      <c r="BR130" t="inlineStr">
        <is>
          <t>ja vor</t>
        </is>
      </c>
      <c r="BS130" t="n">
        <v>4</v>
      </c>
      <c r="BT130" t="inlineStr"/>
      <c r="BU130" t="inlineStr">
        <is>
          <t>Gewebe</t>
        </is>
      </c>
      <c r="BV130" t="inlineStr"/>
      <c r="BW130" t="inlineStr"/>
      <c r="BX130" t="inlineStr"/>
      <c r="BY130" t="inlineStr"/>
      <c r="BZ130" t="inlineStr"/>
      <c r="CA130" t="inlineStr"/>
      <c r="CB130" t="inlineStr"/>
      <c r="CC130" t="inlineStr"/>
      <c r="CD130" t="inlineStr"/>
      <c r="CE130" t="inlineStr">
        <is>
          <t>x</t>
        </is>
      </c>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is>
          <t>x</t>
        </is>
      </c>
      <c r="DG130" t="inlineStr"/>
      <c r="DH130" t="inlineStr"/>
      <c r="DI130" t="inlineStr"/>
      <c r="DJ130" t="inlineStr"/>
      <c r="DK130" t="n">
        <v>4</v>
      </c>
      <c r="DL130" t="inlineStr">
        <is>
          <t>Einband belassen, ist stabil</t>
        </is>
      </c>
    </row>
    <row r="131">
      <c r="A131" t="inlineStr">
        <is>
          <t>Schreibmeister</t>
        </is>
      </c>
      <c r="B131" t="b">
        <v>1</v>
      </c>
      <c r="C131" t="inlineStr">
        <is>
          <t>x</t>
        </is>
      </c>
      <c r="D131" t="inlineStr"/>
      <c r="E131" t="n">
        <v>123</v>
      </c>
      <c r="F131">
        <f>HYPERLINK("https://portal.dnb.de/opac.htm?method=simpleSearch&amp;cqlMode=true&amp;query=idn%3D999212273", "Portal")</f>
        <v/>
      </c>
      <c r="G131" t="inlineStr">
        <is>
          <t>Afl</t>
        </is>
      </c>
      <c r="H131">
        <f>HYPERLINK("https://portal.dnb.de/opac.htm?method=simpleSearch&amp;cqlMode=true&amp;query=idn%3D999212273", "Portal")</f>
        <v/>
      </c>
      <c r="I131" t="inlineStr">
        <is>
          <t>L-1785-167732366</t>
        </is>
      </c>
      <c r="J131" t="inlineStr">
        <is>
          <t>999212273</t>
        </is>
      </c>
      <c r="K131" t="inlineStr">
        <is>
          <t>Cb 6</t>
        </is>
      </c>
      <c r="L131" t="inlineStr">
        <is>
          <t>Cb 6</t>
        </is>
      </c>
      <c r="M131" t="inlineStr">
        <is>
          <t>Cb 6</t>
        </is>
      </c>
      <c r="N131" t="inlineStr">
        <is>
          <t>Liber artificiosus alphabeti maioris, oder: neu inventirtes Kunst-Schreib -und Zeichenbuch, bestehend in 56 künstlich gravirten Kupferstichen, nebst b</t>
        </is>
      </c>
      <c r="O131" t="inlineStr">
        <is>
          <t xml:space="preserve">2 : </t>
        </is>
      </c>
      <c r="P131" t="inlineStr">
        <is>
          <t>Cb 6 -2</t>
        </is>
      </c>
      <c r="Q131" t="inlineStr">
        <is>
          <t>2000,00 EUR</t>
        </is>
      </c>
      <c r="R131" t="inlineStr"/>
      <c r="S131" t="inlineStr">
        <is>
          <t>Liber artificiosus alphabeti maioris, oder: neu inventirtes Kunst-Schreib -und Zeichenbuch, bestehend in 56 künstlich gravirten Kupferstichen, nebst b</t>
        </is>
      </c>
      <c r="T131" t="inlineStr">
        <is>
          <t xml:space="preserve">2 : </t>
        </is>
      </c>
      <c r="U131" t="inlineStr">
        <is>
          <t>X</t>
        </is>
      </c>
      <c r="V131" t="inlineStr">
        <is>
          <t>2000,00 EUR</t>
        </is>
      </c>
      <c r="W131" t="inlineStr">
        <is>
          <t>Halbledereinband</t>
        </is>
      </c>
      <c r="X131" t="inlineStr">
        <is>
          <t>bis 35 cm</t>
        </is>
      </c>
      <c r="Y131" t="inlineStr">
        <is>
          <t>80° bis 110°, einseitig digitalisierbar?</t>
        </is>
      </c>
      <c r="Z131" t="inlineStr"/>
      <c r="AA131" t="inlineStr"/>
      <c r="AB131" t="inlineStr">
        <is>
          <t>Kassette</t>
        </is>
      </c>
      <c r="AC131" t="inlineStr">
        <is>
          <t>Nein, Signaturfahne austauschen</t>
        </is>
      </c>
      <c r="AD131" t="n">
        <v>1</v>
      </c>
      <c r="AE131" t="inlineStr"/>
      <c r="AF131" t="inlineStr"/>
      <c r="AG131" t="inlineStr"/>
      <c r="AH131" t="inlineStr"/>
      <c r="AI131" t="inlineStr"/>
      <c r="AJ131" t="inlineStr"/>
      <c r="AK131" t="inlineStr">
        <is>
          <t>QF (38x26)</t>
        </is>
      </c>
      <c r="AL131" t="inlineStr"/>
      <c r="AM131" t="inlineStr"/>
      <c r="AN131" t="inlineStr">
        <is>
          <t>HL</t>
        </is>
      </c>
      <c r="AO131" t="inlineStr"/>
      <c r="AP131" t="inlineStr"/>
      <c r="AQ131" t="inlineStr"/>
      <c r="AR131" t="inlineStr">
        <is>
          <t>f</t>
        </is>
      </c>
      <c r="AS131" t="inlineStr"/>
      <c r="AT131" t="inlineStr"/>
      <c r="AU131" t="inlineStr"/>
      <c r="AV131" t="inlineStr"/>
      <c r="AW131" t="inlineStr"/>
      <c r="AX131" t="inlineStr">
        <is>
          <t>Pa</t>
        </is>
      </c>
      <c r="AY131" t="inlineStr"/>
      <c r="AZ131" t="inlineStr"/>
      <c r="BA131" t="inlineStr"/>
      <c r="BB131" t="inlineStr"/>
      <c r="BC131" t="inlineStr"/>
      <c r="BD131" t="inlineStr"/>
      <c r="BE131" t="inlineStr"/>
      <c r="BF131" t="inlineStr"/>
      <c r="BG131" t="inlineStr">
        <is>
          <t>x</t>
        </is>
      </c>
      <c r="BH131" t="inlineStr"/>
      <c r="BI131" t="inlineStr">
        <is>
          <t>x</t>
        </is>
      </c>
      <c r="BJ131" t="inlineStr"/>
      <c r="BK131" t="inlineStr"/>
      <c r="BL131" t="n">
        <v>110</v>
      </c>
      <c r="BM131" t="inlineStr"/>
      <c r="BN131" t="inlineStr"/>
      <c r="BO131" t="inlineStr"/>
      <c r="BP131" t="inlineStr"/>
      <c r="BQ131" t="inlineStr"/>
      <c r="BR131" t="inlineStr">
        <is>
          <t>ja vor</t>
        </is>
      </c>
      <c r="BS131" t="n">
        <v>4</v>
      </c>
      <c r="BT131" t="inlineStr"/>
      <c r="BU131" t="inlineStr">
        <is>
          <t>Gewebe</t>
        </is>
      </c>
      <c r="BV131" t="inlineStr"/>
      <c r="BW131" t="inlineStr"/>
      <c r="BX131" t="inlineStr"/>
      <c r="BY131" t="inlineStr"/>
      <c r="BZ131" t="inlineStr"/>
      <c r="CA131" t="inlineStr"/>
      <c r="CB131" t="inlineStr"/>
      <c r="CC131" t="inlineStr"/>
      <c r="CD131" t="inlineStr"/>
      <c r="CE131" t="inlineStr">
        <is>
          <t>x</t>
        </is>
      </c>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is>
          <t>x</t>
        </is>
      </c>
      <c r="DG131" t="inlineStr"/>
      <c r="DH131" t="inlineStr"/>
      <c r="DI131" t="inlineStr"/>
      <c r="DJ131" t="inlineStr"/>
      <c r="DK131" t="n">
        <v>4</v>
      </c>
      <c r="DL131" t="inlineStr">
        <is>
          <t>Einband belassen, ist stabil</t>
        </is>
      </c>
    </row>
    <row r="132">
      <c r="A132" t="inlineStr">
        <is>
          <t>Schreibmeister</t>
        </is>
      </c>
      <c r="B132" t="b">
        <v>1</v>
      </c>
      <c r="C132" t="inlineStr"/>
      <c r="D132" t="inlineStr"/>
      <c r="E132" t="n">
        <v>124</v>
      </c>
      <c r="F132">
        <f>HYPERLINK("https://portal.dnb.de/opac.htm?method=simpleSearch&amp;cqlMode=true&amp;query=idn%3D1000646203", "Portal")</f>
        <v/>
      </c>
      <c r="G132" t="inlineStr">
        <is>
          <t>Aal</t>
        </is>
      </c>
      <c r="H132">
        <f>HYPERLINK("https://portal.dnb.de/opac.htm?method=simpleSearch&amp;cqlMode=true&amp;query=idn%3D1000646203", "Portal")</f>
        <v/>
      </c>
      <c r="I132" t="inlineStr">
        <is>
          <t>L-1575-170980553</t>
        </is>
      </c>
      <c r="J132" t="inlineStr">
        <is>
          <t>1000646203</t>
        </is>
      </c>
      <c r="K132" t="inlineStr">
        <is>
          <t>Cb 7</t>
        </is>
      </c>
      <c r="L132" t="inlineStr">
        <is>
          <t>Cb 7</t>
        </is>
      </c>
      <c r="M132" t="inlineStr">
        <is>
          <t>Cb 7</t>
        </is>
      </c>
      <c r="N132" t="inlineStr">
        <is>
          <t>Capital- und Versal-Buech, allerhandt grosser und kleiner Alphabeth, zue den Haubtschrifften und Büechern, deß gleichen in Canntzleyen und gemein, zue</t>
        </is>
      </c>
      <c r="O132" t="inlineStr">
        <is>
          <t xml:space="preserve"> : </t>
        </is>
      </c>
      <c r="P132" t="inlineStr">
        <is>
          <t>Cb 7</t>
        </is>
      </c>
      <c r="Q132" t="inlineStr"/>
      <c r="R132" t="inlineStr"/>
      <c r="S132" t="inlineStr">
        <is>
          <t>Capital- und Versal-Buech, allerhandt grosser und kleiner Alphabeth, zue den Haubtschrifften und Büechern, deß gleichen in Canntzleyen und gemein, zue</t>
        </is>
      </c>
      <c r="T132" t="inlineStr">
        <is>
          <t xml:space="preserve"> : </t>
        </is>
      </c>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BR132" t="inlineStr"/>
      <c r="BS132" t="n">
        <v>0</v>
      </c>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c r="DH132" t="inlineStr"/>
      <c r="DI132" t="inlineStr"/>
      <c r="DJ132" t="inlineStr"/>
      <c r="DK132" t="inlineStr"/>
      <c r="DL132" t="inlineStr"/>
    </row>
    <row r="133">
      <c r="A133" t="inlineStr">
        <is>
          <t>Schreibmeister</t>
        </is>
      </c>
      <c r="B133" t="b">
        <v>1</v>
      </c>
      <c r="C133" t="inlineStr"/>
      <c r="D133" t="inlineStr"/>
      <c r="E133" t="n">
        <v>125</v>
      </c>
      <c r="F133">
        <f>HYPERLINK("https://portal.dnb.de/opac.htm?method=simpleSearch&amp;cqlMode=true&amp;query=idn%3D1000162397", "Portal")</f>
        <v/>
      </c>
      <c r="G133" t="inlineStr">
        <is>
          <t>Aal</t>
        </is>
      </c>
      <c r="H133">
        <f>HYPERLINK("https://portal.dnb.de/opac.htm?method=simpleSearch&amp;cqlMode=true&amp;query=idn%3D1000162397", "Portal")</f>
        <v/>
      </c>
      <c r="I133" t="inlineStr">
        <is>
          <t>L-1792-170112721</t>
        </is>
      </c>
      <c r="J133" t="inlineStr">
        <is>
          <t>1000162397</t>
        </is>
      </c>
      <c r="K133" t="inlineStr">
        <is>
          <t>Cb 8</t>
        </is>
      </c>
      <c r="L133" t="inlineStr">
        <is>
          <t>Cb 8</t>
        </is>
      </c>
      <c r="M133" t="inlineStr">
        <is>
          <t>Cb 8</t>
        </is>
      </c>
      <c r="N133" t="inlineStr">
        <is>
          <t xml:space="preserve">Vollständige Anleitung zum Schreiben für die Landschulen : </t>
        </is>
      </c>
      <c r="O133" t="inlineStr">
        <is>
          <t xml:space="preserve"> : </t>
        </is>
      </c>
      <c r="P133" t="inlineStr">
        <is>
          <t>Cb 8</t>
        </is>
      </c>
      <c r="Q133" t="inlineStr"/>
      <c r="R133" t="inlineStr"/>
      <c r="S133" t="inlineStr">
        <is>
          <t xml:space="preserve">Vollständige Anleitung zum Schreiben für die Landschulen : </t>
        </is>
      </c>
      <c r="T133" t="inlineStr">
        <is>
          <t xml:space="preserve"> : </t>
        </is>
      </c>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BR133" t="inlineStr"/>
      <c r="BS133" t="n">
        <v>0</v>
      </c>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c r="DH133" t="inlineStr"/>
      <c r="DI133" t="inlineStr"/>
      <c r="DJ133" t="inlineStr"/>
      <c r="DK133" t="inlineStr"/>
      <c r="DL133" t="inlineStr"/>
    </row>
    <row r="134">
      <c r="A134" t="inlineStr">
        <is>
          <t>Schreibmeister</t>
        </is>
      </c>
      <c r="B134" t="b">
        <v>1</v>
      </c>
      <c r="C134" t="inlineStr"/>
      <c r="D134" t="inlineStr"/>
      <c r="E134" t="n">
        <v>126</v>
      </c>
      <c r="F134">
        <f>HYPERLINK("https://portal.dnb.de/opac.htm?method=simpleSearch&amp;cqlMode=true&amp;query=idn%3D994578148", "Portal")</f>
        <v/>
      </c>
      <c r="G134" t="inlineStr">
        <is>
          <t>Afl</t>
        </is>
      </c>
      <c r="H134">
        <f>HYPERLINK("https://portal.dnb.de/opac.htm?method=simpleSearch&amp;cqlMode=true&amp;query=idn%3D994578148", "Portal")</f>
        <v/>
      </c>
      <c r="I134" t="inlineStr">
        <is>
          <t>L-1570-156875926</t>
        </is>
      </c>
      <c r="J134" t="inlineStr">
        <is>
          <t>994578148</t>
        </is>
      </c>
      <c r="K134" t="inlineStr">
        <is>
          <t>Cb 9</t>
        </is>
      </c>
      <c r="L134" t="inlineStr">
        <is>
          <t>Cb 9</t>
        </is>
      </c>
      <c r="M134" t="inlineStr">
        <is>
          <t>Cb 9</t>
        </is>
      </c>
      <c r="N134" t="inlineStr">
        <is>
          <t>Il @perfetto scrittore</t>
        </is>
      </c>
      <c r="O134" t="inlineStr">
        <is>
          <t xml:space="preserve">1 : </t>
        </is>
      </c>
      <c r="P134" t="inlineStr">
        <is>
          <t>Cb 9</t>
        </is>
      </c>
      <c r="Q134" t="inlineStr">
        <is>
          <t>3600,00 EUR</t>
        </is>
      </c>
      <c r="R134" t="inlineStr"/>
      <c r="S134" t="inlineStr">
        <is>
          <t>Il @perfetto scrittore</t>
        </is>
      </c>
      <c r="T134" t="inlineStr">
        <is>
          <t xml:space="preserve">1 : </t>
        </is>
      </c>
      <c r="U134" t="inlineStr"/>
      <c r="V134" t="inlineStr">
        <is>
          <t>3600,00 EUR</t>
        </is>
      </c>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BR134" t="inlineStr"/>
      <c r="BS134" t="n">
        <v>0</v>
      </c>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c r="DH134" t="inlineStr"/>
      <c r="DI134" t="inlineStr"/>
      <c r="DJ134" t="inlineStr"/>
      <c r="DK134" t="inlineStr"/>
      <c r="DL134" t="inlineStr"/>
    </row>
    <row r="135">
      <c r="A135" t="inlineStr">
        <is>
          <t>Schreibmeister</t>
        </is>
      </c>
      <c r="B135" t="b">
        <v>1</v>
      </c>
      <c r="C135" t="inlineStr"/>
      <c r="D135" t="inlineStr"/>
      <c r="E135" t="n">
        <v>127</v>
      </c>
      <c r="F135">
        <f>HYPERLINK("https://portal.dnb.de/opac.htm?method=simpleSearch&amp;cqlMode=true&amp;query=idn%3D994578180", "Portal")</f>
        <v/>
      </c>
      <c r="G135" t="inlineStr">
        <is>
          <t>Afl</t>
        </is>
      </c>
      <c r="H135">
        <f>HYPERLINK("https://portal.dnb.de/opac.htm?method=simpleSearch&amp;cqlMode=true&amp;query=idn%3D994578180", "Portal")</f>
        <v/>
      </c>
      <c r="I135" t="inlineStr">
        <is>
          <t>L-1570-156875969</t>
        </is>
      </c>
      <c r="J135" t="inlineStr">
        <is>
          <t>994578180</t>
        </is>
      </c>
      <c r="K135" t="inlineStr">
        <is>
          <t>Cb 9</t>
        </is>
      </c>
      <c r="L135" t="inlineStr">
        <is>
          <t>Cb 9</t>
        </is>
      </c>
      <c r="M135" t="inlineStr">
        <is>
          <t>Cb 9</t>
        </is>
      </c>
      <c r="N135" t="inlineStr">
        <is>
          <t>Il @perfetto scrittore</t>
        </is>
      </c>
      <c r="O135" t="inlineStr">
        <is>
          <t xml:space="preserve">2 : </t>
        </is>
      </c>
      <c r="P135" t="inlineStr">
        <is>
          <t>Cb 9</t>
        </is>
      </c>
      <c r="Q135" t="inlineStr"/>
      <c r="R135" t="inlineStr"/>
      <c r="S135" t="inlineStr">
        <is>
          <t>Il @perfetto scrittore</t>
        </is>
      </c>
      <c r="T135" t="inlineStr">
        <is>
          <t xml:space="preserve">2 : </t>
        </is>
      </c>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BR135" t="inlineStr"/>
      <c r="BS135" t="n">
        <v>0</v>
      </c>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c r="DH135" t="inlineStr"/>
      <c r="DI135" t="inlineStr"/>
      <c r="DJ135" t="inlineStr"/>
      <c r="DK135" t="inlineStr"/>
      <c r="DL135" t="inlineStr"/>
    </row>
    <row r="136">
      <c r="A136" t="inlineStr">
        <is>
          <t>Schreibmeister</t>
        </is>
      </c>
      <c r="B136" t="b">
        <v>1</v>
      </c>
      <c r="C136" t="inlineStr"/>
      <c r="D136" t="inlineStr"/>
      <c r="E136" t="n">
        <v>192</v>
      </c>
      <c r="F136">
        <f>HYPERLINK("https://portal.dnb.de/opac.htm?method=simpleSearch&amp;cqlMode=true&amp;query=idn%3D994578180", "Portal")</f>
        <v/>
      </c>
      <c r="G136" t="inlineStr">
        <is>
          <t>Afl</t>
        </is>
      </c>
      <c r="H136">
        <f>HYPERLINK("https://portal.dnb.de/opac.htm?method=simpleSearch&amp;cqlMode=true&amp;query=idn%3D994578180", "Portal")</f>
        <v/>
      </c>
      <c r="I136" t="inlineStr">
        <is>
          <t>L-2010-309938</t>
        </is>
      </c>
      <c r="J136" t="inlineStr">
        <is>
          <t>994578180</t>
        </is>
      </c>
      <c r="K136" t="inlineStr">
        <is>
          <t>Cb 9a</t>
        </is>
      </c>
      <c r="L136" t="inlineStr">
        <is>
          <t>Cb 9a</t>
        </is>
      </c>
      <c r="M136" t="inlineStr">
        <is>
          <t>Cb 9a</t>
        </is>
      </c>
      <c r="N136" t="inlineStr">
        <is>
          <t>Il @perfetto scrittore</t>
        </is>
      </c>
      <c r="O136" t="inlineStr">
        <is>
          <t xml:space="preserve">2 : </t>
        </is>
      </c>
      <c r="P136" t="inlineStr">
        <is>
          <t>Cb 9a</t>
        </is>
      </c>
      <c r="Q136" t="inlineStr"/>
      <c r="R136" t="inlineStr"/>
      <c r="S136" t="inlineStr">
        <is>
          <t>Il @perfetto scrittore</t>
        </is>
      </c>
      <c r="T136" t="inlineStr">
        <is>
          <t xml:space="preserve">2 : </t>
        </is>
      </c>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n">
        <v>0</v>
      </c>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c r="DH136" t="inlineStr"/>
      <c r="DI136" t="inlineStr"/>
      <c r="DJ136" t="inlineStr"/>
      <c r="DK136" t="inlineStr"/>
      <c r="DL136" t="inlineStr"/>
    </row>
    <row r="137">
      <c r="A137" t="inlineStr">
        <is>
          <t>Schreibmeister</t>
        </is>
      </c>
      <c r="B137" t="b">
        <v>1</v>
      </c>
      <c r="C137" t="inlineStr"/>
      <c r="D137" t="inlineStr"/>
      <c r="E137" t="n">
        <v>128</v>
      </c>
      <c r="F137">
        <f>HYPERLINK("https://portal.dnb.de/opac.htm?method=simpleSearch&amp;cqlMode=true&amp;query=idn%3D999953923", "Portal")</f>
        <v/>
      </c>
      <c r="G137" t="inlineStr">
        <is>
          <t>Aal</t>
        </is>
      </c>
      <c r="H137">
        <f>HYPERLINK("https://portal.dnb.de/opac.htm?method=simpleSearch&amp;cqlMode=true&amp;query=idn%3D999953923", "Portal")</f>
        <v/>
      </c>
      <c r="I137" t="inlineStr">
        <is>
          <t>L-1569-169766330</t>
        </is>
      </c>
      <c r="J137" t="inlineStr">
        <is>
          <t>999953923</t>
        </is>
      </c>
      <c r="K137" t="inlineStr">
        <is>
          <t>Cb 10</t>
        </is>
      </c>
      <c r="L137" t="inlineStr">
        <is>
          <t>Cb 10</t>
        </is>
      </c>
      <c r="M137" t="inlineStr">
        <is>
          <t>Cb 10</t>
        </is>
      </c>
      <c r="N137" t="inlineStr">
        <is>
          <t>Exercitatio alphabetica nova et utilissima variis expressa linguis et characteribus : varis ornamentis, umbris, et recessibus, picturae, architecturae</t>
        </is>
      </c>
      <c r="O137" t="inlineStr">
        <is>
          <t xml:space="preserve"> : </t>
        </is>
      </c>
      <c r="P137" t="inlineStr">
        <is>
          <t>Cb 10</t>
        </is>
      </c>
      <c r="Q137" t="inlineStr">
        <is>
          <t>28000,00 USD</t>
        </is>
      </c>
      <c r="R137" t="inlineStr"/>
      <c r="S137" t="inlineStr">
        <is>
          <t>Exercitatio alphabetica nova et utilissima variis expressa linguis et characteribus : varis ornamentis, umbris, et recessibus, picturae, architecturae</t>
        </is>
      </c>
      <c r="T137" t="inlineStr">
        <is>
          <t xml:space="preserve"> : </t>
        </is>
      </c>
      <c r="U137" t="inlineStr"/>
      <c r="V137" t="inlineStr">
        <is>
          <t>28000,00 USD</t>
        </is>
      </c>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BR137" t="inlineStr"/>
      <c r="BS137" t="n">
        <v>0</v>
      </c>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c r="DH137" t="inlineStr"/>
      <c r="DI137" t="inlineStr"/>
      <c r="DJ137" t="inlineStr"/>
      <c r="DK137" t="inlineStr"/>
      <c r="DL137" t="inlineStr"/>
    </row>
    <row r="138">
      <c r="A138" t="inlineStr">
        <is>
          <t>Schreibmeister</t>
        </is>
      </c>
      <c r="B138" t="b">
        <v>1</v>
      </c>
      <c r="C138" t="inlineStr">
        <is>
          <t>x</t>
        </is>
      </c>
      <c r="D138" t="inlineStr"/>
      <c r="E138" t="n">
        <v>129</v>
      </c>
      <c r="F138">
        <f>HYPERLINK("https://portal.dnb.de/opac.htm?method=simpleSearch&amp;cqlMode=true&amp;query=idn%3D100125600X", "Portal")</f>
        <v/>
      </c>
      <c r="G138" t="inlineStr">
        <is>
          <t>Aal</t>
        </is>
      </c>
      <c r="H138">
        <f>HYPERLINK("https://portal.dnb.de/opac.htm?method=simpleSearch&amp;cqlMode=true&amp;query=idn%3D100125600X", "Portal")</f>
        <v/>
      </c>
      <c r="I138" t="inlineStr">
        <is>
          <t>L-1764-173913997</t>
        </is>
      </c>
      <c r="J138" t="inlineStr">
        <is>
          <t>100125600X</t>
        </is>
      </c>
      <c r="K138" t="inlineStr">
        <is>
          <t>Cb 11</t>
        </is>
      </c>
      <c r="L138" t="inlineStr">
        <is>
          <t>Cb 11</t>
        </is>
      </c>
      <c r="M138" t="inlineStr">
        <is>
          <t>Cb 11</t>
        </is>
      </c>
      <c r="N138" t="inlineStr">
        <is>
          <t xml:space="preserve">Vorschriften zum Versuch, eine nach heutigen Geschmack eingerichtete ungezwungene Hand zu schreiben : </t>
        </is>
      </c>
      <c r="O138" t="inlineStr">
        <is>
          <t xml:space="preserve"> : </t>
        </is>
      </c>
      <c r="P138" t="inlineStr">
        <is>
          <t>Cb 11</t>
        </is>
      </c>
      <c r="Q138" t="inlineStr"/>
      <c r="R138" t="inlineStr"/>
      <c r="S138" t="inlineStr">
        <is>
          <t xml:space="preserve">Vorschriften zum Versuch, eine nach heutigen Geschmack eingerichtete ungezwungene Hand zu schreiben : </t>
        </is>
      </c>
      <c r="T138" t="inlineStr">
        <is>
          <t xml:space="preserve"> : </t>
        </is>
      </c>
      <c r="U138" t="inlineStr"/>
      <c r="V138" t="inlineStr"/>
      <c r="W138" t="inlineStr"/>
      <c r="X138" t="inlineStr">
        <is>
          <t>bis 25 cm</t>
        </is>
      </c>
      <c r="Y138" t="inlineStr"/>
      <c r="Z138" t="inlineStr"/>
      <c r="AA138" t="inlineStr"/>
      <c r="AB138" t="inlineStr"/>
      <c r="AC138" t="inlineStr"/>
      <c r="AD138" t="inlineStr"/>
      <c r="AE138" t="inlineStr"/>
      <c r="AF138" t="inlineStr"/>
      <c r="AG138" t="inlineStr"/>
      <c r="AH138" t="inlineStr"/>
      <c r="AI138" t="inlineStr"/>
      <c r="AJ138" t="inlineStr"/>
      <c r="AK138" t="inlineStr">
        <is>
          <t>QF (37x22,5)</t>
        </is>
      </c>
      <c r="AL138" t="inlineStr"/>
      <c r="AM138" t="inlineStr"/>
      <c r="AN138" t="inlineStr">
        <is>
          <t>Pa</t>
        </is>
      </c>
      <c r="AO138" t="inlineStr"/>
      <c r="AP138" t="inlineStr"/>
      <c r="AQ138" t="inlineStr"/>
      <c r="AR138" t="inlineStr">
        <is>
          <t>h/E</t>
        </is>
      </c>
      <c r="AS138" t="inlineStr"/>
      <c r="AT138" t="inlineStr"/>
      <c r="AU138" t="inlineStr"/>
      <c r="AV138" t="inlineStr"/>
      <c r="AW138" t="inlineStr"/>
      <c r="AX138" t="inlineStr">
        <is>
          <t>Pa</t>
        </is>
      </c>
      <c r="AY138" t="inlineStr"/>
      <c r="AZ138" t="inlineStr"/>
      <c r="BA138" t="inlineStr"/>
      <c r="BB138" t="inlineStr"/>
      <c r="BC138" t="inlineStr"/>
      <c r="BD138" t="inlineStr"/>
      <c r="BE138" t="inlineStr">
        <is>
          <t>x</t>
        </is>
      </c>
      <c r="BF138" t="inlineStr">
        <is>
          <t>B: 37x22,5
F: 46x36</t>
        </is>
      </c>
      <c r="BG138" t="inlineStr">
        <is>
          <t>x</t>
        </is>
      </c>
      <c r="BH138" t="inlineStr"/>
      <c r="BI138" t="inlineStr">
        <is>
          <t>x</t>
        </is>
      </c>
      <c r="BJ138" t="inlineStr"/>
      <c r="BK138" t="inlineStr"/>
      <c r="BL138" t="n">
        <v>110</v>
      </c>
      <c r="BM138" t="inlineStr"/>
      <c r="BN138" t="inlineStr"/>
      <c r="BO138" t="inlineStr"/>
      <c r="BP138" t="inlineStr"/>
      <c r="BQ138" t="inlineStr"/>
      <c r="BR138" t="inlineStr">
        <is>
          <t>ja vor</t>
        </is>
      </c>
      <c r="BS138" t="n">
        <v>1</v>
      </c>
      <c r="BT138" t="inlineStr"/>
      <c r="BU138" t="inlineStr"/>
      <c r="BV138" t="inlineStr"/>
      <c r="BW138" t="inlineStr"/>
      <c r="BX138" t="inlineStr"/>
      <c r="BY138" t="inlineStr"/>
      <c r="BZ138" t="inlineStr"/>
      <c r="CA138" t="inlineStr"/>
      <c r="CB138" t="inlineStr"/>
      <c r="CC138" t="inlineStr"/>
      <c r="CD138" t="inlineStr"/>
      <c r="CE138" t="inlineStr">
        <is>
          <t>x</t>
        </is>
      </c>
      <c r="CF138" t="inlineStr"/>
      <c r="CG138" t="inlineStr">
        <is>
          <t>x</t>
        </is>
      </c>
      <c r="CH138" t="inlineStr"/>
      <c r="CI138" t="inlineStr">
        <is>
          <t>h</t>
        </is>
      </c>
      <c r="CJ138" t="inlineStr"/>
      <c r="CK138" t="inlineStr">
        <is>
          <t>x</t>
        </is>
      </c>
      <c r="CL138" t="inlineStr"/>
      <c r="CM138" t="inlineStr"/>
      <c r="CN138" t="inlineStr"/>
      <c r="CO138" t="inlineStr"/>
      <c r="CP138" t="inlineStr"/>
      <c r="CQ138" t="inlineStr"/>
      <c r="CR138" t="n">
        <v>1</v>
      </c>
      <c r="CS138" t="inlineStr">
        <is>
          <t>Hülse, Papier im Gelenk fixieren</t>
        </is>
      </c>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c r="DH138" t="inlineStr"/>
      <c r="DI138" t="inlineStr"/>
      <c r="DJ138" t="inlineStr"/>
      <c r="DK138" t="inlineStr"/>
      <c r="DL138" t="inlineStr"/>
    </row>
    <row r="139">
      <c r="A139" t="inlineStr">
        <is>
          <t>Schreibmeister</t>
        </is>
      </c>
      <c r="B139" t="b">
        <v>1</v>
      </c>
      <c r="C139" t="inlineStr">
        <is>
          <t>x</t>
        </is>
      </c>
      <c r="D139" t="inlineStr"/>
      <c r="E139" t="n">
        <v>130</v>
      </c>
      <c r="F139">
        <f>HYPERLINK("https://portal.dnb.de/opac.htm?method=simpleSearch&amp;cqlMode=true&amp;query=idn%3D1001872924", "Portal")</f>
        <v/>
      </c>
      <c r="G139" t="inlineStr">
        <is>
          <t>Aal</t>
        </is>
      </c>
      <c r="H139">
        <f>HYPERLINK("https://portal.dnb.de/opac.htm?method=simpleSearch&amp;cqlMode=true&amp;query=idn%3D1001872924", "Portal")</f>
        <v/>
      </c>
      <c r="I139" t="inlineStr">
        <is>
          <t>L-1741-175756104</t>
        </is>
      </c>
      <c r="J139" t="inlineStr">
        <is>
          <t>1001872924</t>
        </is>
      </c>
      <c r="K139" t="inlineStr">
        <is>
          <t>Cb 12</t>
        </is>
      </c>
      <c r="L139" t="inlineStr">
        <is>
          <t>Cb 12</t>
        </is>
      </c>
      <c r="M139" t="inlineStr">
        <is>
          <t>Cb 12</t>
        </is>
      </c>
      <c r="N139" t="inlineStr">
        <is>
          <t xml:space="preserve">Des ... @Johann Stäpsens in Leipzig, nach einer netten Dreßdner Hand eingerichtete Fundamental-Vorschriftten : </t>
        </is>
      </c>
      <c r="O139" t="inlineStr">
        <is>
          <t xml:space="preserve"> : </t>
        </is>
      </c>
      <c r="P139" t="inlineStr">
        <is>
          <t>Cb 12</t>
        </is>
      </c>
      <c r="Q139" t="inlineStr"/>
      <c r="R139" t="inlineStr"/>
      <c r="S139" t="inlineStr">
        <is>
          <t xml:space="preserve">Des ... @Johann Stäpsens in Leipzig, nach einer netten Dreßdner Hand eingerichtete Fundamental-Vorschriftten : </t>
        </is>
      </c>
      <c r="T139" t="inlineStr">
        <is>
          <t xml:space="preserve"> : </t>
        </is>
      </c>
      <c r="U139" t="inlineStr"/>
      <c r="V139" t="inlineStr"/>
      <c r="W139" t="inlineStr"/>
      <c r="X139" t="inlineStr">
        <is>
          <t>bis 25 cm</t>
        </is>
      </c>
      <c r="Y139" t="inlineStr"/>
      <c r="Z139" t="inlineStr"/>
      <c r="AA139" t="inlineStr"/>
      <c r="AB139" t="inlineStr"/>
      <c r="AC139" t="inlineStr"/>
      <c r="AD139" t="inlineStr"/>
      <c r="AE139" t="inlineStr"/>
      <c r="AF139" t="inlineStr"/>
      <c r="AG139" t="inlineStr"/>
      <c r="AH139" t="inlineStr"/>
      <c r="AI139" t="inlineStr"/>
      <c r="AJ139" t="inlineStr"/>
      <c r="AK139" t="inlineStr">
        <is>
          <t>QF (22x18)</t>
        </is>
      </c>
      <c r="AL139" t="inlineStr"/>
      <c r="AM139" t="inlineStr"/>
      <c r="AN139" t="inlineStr">
        <is>
          <t>Pa</t>
        </is>
      </c>
      <c r="AO139" t="inlineStr"/>
      <c r="AP139" t="inlineStr"/>
      <c r="AQ139" t="inlineStr"/>
      <c r="AR139" t="inlineStr">
        <is>
          <t>h/E</t>
        </is>
      </c>
      <c r="AS139" t="inlineStr"/>
      <c r="AT139" t="inlineStr"/>
      <c r="AU139" t="inlineStr"/>
      <c r="AV139" t="inlineStr"/>
      <c r="AW139" t="inlineStr"/>
      <c r="AX139" t="inlineStr">
        <is>
          <t>Pa</t>
        </is>
      </c>
      <c r="AY139" t="inlineStr"/>
      <c r="AZ139" t="inlineStr"/>
      <c r="BA139" t="inlineStr"/>
      <c r="BB139" t="inlineStr"/>
      <c r="BC139" t="inlineStr"/>
      <c r="BD139" t="inlineStr"/>
      <c r="BE139" t="inlineStr">
        <is>
          <t>x</t>
        </is>
      </c>
      <c r="BF139" t="inlineStr">
        <is>
          <t>B: 22x18
F: 34x29</t>
        </is>
      </c>
      <c r="BG139" t="inlineStr">
        <is>
          <t>x</t>
        </is>
      </c>
      <c r="BH139" t="inlineStr"/>
      <c r="BI139" t="inlineStr">
        <is>
          <t>x</t>
        </is>
      </c>
      <c r="BJ139" t="inlineStr"/>
      <c r="BK139" t="inlineStr"/>
      <c r="BL139" t="n">
        <v>110</v>
      </c>
      <c r="BM139" t="inlineStr"/>
      <c r="BN139" t="inlineStr"/>
      <c r="BO139" t="inlineStr"/>
      <c r="BP139" t="inlineStr"/>
      <c r="BQ139" t="inlineStr"/>
      <c r="BR139" t="inlineStr">
        <is>
          <t>ja vor</t>
        </is>
      </c>
      <c r="BS139" t="n">
        <v>0.5</v>
      </c>
      <c r="BT139" t="inlineStr"/>
      <c r="BU139" t="inlineStr"/>
      <c r="BV139" t="inlineStr"/>
      <c r="BW139" t="inlineStr"/>
      <c r="BX139" t="inlineStr"/>
      <c r="BY139" t="inlineStr"/>
      <c r="BZ139" t="inlineStr"/>
      <c r="CA139" t="inlineStr"/>
      <c r="CB139" t="inlineStr"/>
      <c r="CC139" t="inlineStr"/>
      <c r="CD139" t="inlineStr"/>
      <c r="CE139" t="inlineStr">
        <is>
          <t>x</t>
        </is>
      </c>
      <c r="CF139" t="inlineStr"/>
      <c r="CG139" t="inlineStr">
        <is>
          <t>x</t>
        </is>
      </c>
      <c r="CH139" t="inlineStr"/>
      <c r="CI139" t="inlineStr"/>
      <c r="CJ139" t="inlineStr"/>
      <c r="CK139" t="inlineStr"/>
      <c r="CL139" t="inlineStr"/>
      <c r="CM139" t="inlineStr"/>
      <c r="CN139" t="inlineStr"/>
      <c r="CO139" t="inlineStr"/>
      <c r="CP139" t="inlineStr"/>
      <c r="CQ139" t="inlineStr"/>
      <c r="CR139" t="n">
        <v>0.5</v>
      </c>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c r="DH139" t="inlineStr"/>
      <c r="DI139" t="inlineStr"/>
      <c r="DJ139" t="inlineStr"/>
      <c r="DK139" t="inlineStr"/>
      <c r="DL139" t="inlineStr"/>
    </row>
    <row r="140">
      <c r="A140" t="inlineStr">
        <is>
          <t>Schreibmeister</t>
        </is>
      </c>
      <c r="B140" t="b">
        <v>1</v>
      </c>
      <c r="C140" t="inlineStr">
        <is>
          <t>x</t>
        </is>
      </c>
      <c r="D140" t="inlineStr"/>
      <c r="E140" t="n">
        <v>131</v>
      </c>
      <c r="F140">
        <f>HYPERLINK("https://portal.dnb.de/opac.htm?method=simpleSearch&amp;cqlMode=true&amp;query=idn%3D993908063", "Portal")</f>
        <v/>
      </c>
      <c r="G140" t="inlineStr">
        <is>
          <t>Aal</t>
        </is>
      </c>
      <c r="H140">
        <f>HYPERLINK("https://portal.dnb.de/opac.htm?method=simpleSearch&amp;cqlMode=true&amp;query=idn%3D993908063", "Portal")</f>
        <v/>
      </c>
      <c r="I140" t="inlineStr">
        <is>
          <t>L-1776-153970227</t>
        </is>
      </c>
      <c r="J140" t="inlineStr">
        <is>
          <t>993908063</t>
        </is>
      </c>
      <c r="K140" t="inlineStr">
        <is>
          <t>Cb 13</t>
        </is>
      </c>
      <c r="L140" t="inlineStr">
        <is>
          <t>Cb 13</t>
        </is>
      </c>
      <c r="M140" t="inlineStr">
        <is>
          <t>Cb 13</t>
        </is>
      </c>
      <c r="N140" t="inlineStr">
        <is>
          <t>Vollkommene Gründ- und Regulmäßige Anweisung zur Schön-Schreib-Kunst, darinnen man... die Current- Canzley- und Fractur-Schrifften- ingleichen auch di</t>
        </is>
      </c>
      <c r="O140" t="inlineStr">
        <is>
          <t xml:space="preserve"> : </t>
        </is>
      </c>
      <c r="P140" t="inlineStr">
        <is>
          <t>Cb 13</t>
        </is>
      </c>
      <c r="Q140" t="inlineStr"/>
      <c r="R140" t="inlineStr"/>
      <c r="S140" t="inlineStr">
        <is>
          <t>Vollkommene Gründ- und Regulmäßige Anweisung zur Schön-Schreib-Kunst, darinnen man... die Current- Canzley- und Fractur-Schrifften- ingleichen auch di</t>
        </is>
      </c>
      <c r="T140" t="inlineStr">
        <is>
          <t xml:space="preserve"> : </t>
        </is>
      </c>
      <c r="U140" t="inlineStr"/>
      <c r="V140" t="inlineStr"/>
      <c r="W140" t="inlineStr"/>
      <c r="X140" t="inlineStr">
        <is>
          <t>bis 25 cm</t>
        </is>
      </c>
      <c r="Y140" t="inlineStr"/>
      <c r="Z140" t="inlineStr"/>
      <c r="AA140" t="inlineStr"/>
      <c r="AB140" t="inlineStr"/>
      <c r="AC140" t="inlineStr"/>
      <c r="AD140" t="inlineStr"/>
      <c r="AE140" t="inlineStr"/>
      <c r="AF140" t="inlineStr"/>
      <c r="AG140" t="inlineStr"/>
      <c r="AH140" t="inlineStr"/>
      <c r="AI140" t="inlineStr"/>
      <c r="AJ140" t="inlineStr"/>
      <c r="AK140" t="inlineStr">
        <is>
          <t>QF (42x26)</t>
        </is>
      </c>
      <c r="AL140" t="inlineStr"/>
      <c r="AM140" t="inlineStr"/>
      <c r="AN140" t="inlineStr">
        <is>
          <t>Pa</t>
        </is>
      </c>
      <c r="AO140" t="inlineStr"/>
      <c r="AP140" t="inlineStr"/>
      <c r="AQ140" t="inlineStr"/>
      <c r="AR140" t="inlineStr">
        <is>
          <t>h/E</t>
        </is>
      </c>
      <c r="AS140" t="inlineStr"/>
      <c r="AT140" t="inlineStr"/>
      <c r="AU140" t="inlineStr"/>
      <c r="AV140" t="inlineStr"/>
      <c r="AW140" t="inlineStr"/>
      <c r="AX140" t="inlineStr">
        <is>
          <t>Pa</t>
        </is>
      </c>
      <c r="AY140" t="inlineStr"/>
      <c r="AZ140" t="inlineStr"/>
      <c r="BA140" t="inlineStr"/>
      <c r="BB140" t="inlineStr"/>
      <c r="BC140" t="inlineStr"/>
      <c r="BD140" t="inlineStr"/>
      <c r="BE140" t="inlineStr"/>
      <c r="BF140" t="inlineStr"/>
      <c r="BG140" t="inlineStr">
        <is>
          <t>x</t>
        </is>
      </c>
      <c r="BH140" t="inlineStr"/>
      <c r="BI140" t="inlineStr">
        <is>
          <t>x</t>
        </is>
      </c>
      <c r="BJ140" t="inlineStr"/>
      <c r="BK140" t="inlineStr"/>
      <c r="BL140" t="n">
        <v>110</v>
      </c>
      <c r="BM140" t="inlineStr"/>
      <c r="BN140" t="inlineStr"/>
      <c r="BO140" t="inlineStr"/>
      <c r="BP140" t="inlineStr"/>
      <c r="BQ140" t="inlineStr"/>
      <c r="BR140" t="inlineStr">
        <is>
          <t>ja vor</t>
        </is>
      </c>
      <c r="BS140" t="n">
        <v>6</v>
      </c>
      <c r="BT140" t="inlineStr"/>
      <c r="BU140" t="inlineStr"/>
      <c r="BV140" t="inlineStr"/>
      <c r="BW140" t="inlineStr"/>
      <c r="BX140" t="inlineStr"/>
      <c r="BY140" t="inlineStr">
        <is>
          <t>x sauer</t>
        </is>
      </c>
      <c r="BZ140" t="inlineStr">
        <is>
          <t>x</t>
        </is>
      </c>
      <c r="CA140" t="inlineStr"/>
      <c r="CB140" t="inlineStr"/>
      <c r="CC140" t="inlineStr"/>
      <c r="CD140" t="inlineStr"/>
      <c r="CE140" t="inlineStr">
        <is>
          <t>x</t>
        </is>
      </c>
      <c r="CF140" t="inlineStr"/>
      <c r="CG140" t="inlineStr">
        <is>
          <t>x</t>
        </is>
      </c>
      <c r="CH140" t="inlineStr"/>
      <c r="CI140" t="inlineStr">
        <is>
          <t>v/h</t>
        </is>
      </c>
      <c r="CJ140" t="inlineStr"/>
      <c r="CK140" t="inlineStr"/>
      <c r="CL140" t="inlineStr"/>
      <c r="CM140" t="inlineStr"/>
      <c r="CN140" t="inlineStr"/>
      <c r="CO140" t="inlineStr"/>
      <c r="CP140" t="inlineStr"/>
      <c r="CQ140" t="inlineStr"/>
      <c r="CR140" t="n">
        <v>5</v>
      </c>
      <c r="CS140" t="inlineStr">
        <is>
          <t>Überzug vom Rücken lösen, neuen Rücken einziehen, Rückenfragmente übertragen, Ecken festigen</t>
        </is>
      </c>
      <c r="CT140" t="inlineStr">
        <is>
          <t>x</t>
        </is>
      </c>
      <c r="CU140" t="inlineStr"/>
      <c r="CV140" t="inlineStr"/>
      <c r="CW140" t="inlineStr"/>
      <c r="CX140" t="inlineStr"/>
      <c r="CY140" t="inlineStr"/>
      <c r="CZ140" t="inlineStr"/>
      <c r="DA140" t="inlineStr"/>
      <c r="DB140" t="inlineStr"/>
      <c r="DC140" t="inlineStr"/>
      <c r="DD140" t="inlineStr"/>
      <c r="DE140" t="inlineStr"/>
      <c r="DF140" t="inlineStr">
        <is>
          <t>x</t>
        </is>
      </c>
      <c r="DG140" t="inlineStr"/>
      <c r="DH140" t="inlineStr"/>
      <c r="DI140" t="inlineStr"/>
      <c r="DJ140" t="inlineStr"/>
      <c r="DK140" t="n">
        <v>1</v>
      </c>
      <c r="DL140" t="inlineStr">
        <is>
          <t>Blatt glätten, JP-Falz nach flieg. Blatt zur Stabilisierung der BB-Deckel-Verbindung</t>
        </is>
      </c>
    </row>
    <row r="141">
      <c r="A141" t="inlineStr">
        <is>
          <t>Schreibmeister</t>
        </is>
      </c>
      <c r="B141" t="b">
        <v>1</v>
      </c>
      <c r="C141" t="inlineStr"/>
      <c r="D141" t="inlineStr"/>
      <c r="E141" t="n">
        <v>132</v>
      </c>
      <c r="F141">
        <f>HYPERLINK("https://portal.dnb.de/opac.htm?method=simpleSearch&amp;cqlMode=true&amp;query=idn%3D1066937931", "Portal")</f>
        <v/>
      </c>
      <c r="G141" t="inlineStr">
        <is>
          <t>Aaf</t>
        </is>
      </c>
      <c r="H141">
        <f>HYPERLINK("https://portal.dnb.de/opac.htm?method=simpleSearch&amp;cqlMode=true&amp;query=idn%3D1066937931", "Portal")</f>
        <v/>
      </c>
      <c r="I141" t="inlineStr">
        <is>
          <t>L-1687-315465735</t>
        </is>
      </c>
      <c r="J141" t="inlineStr">
        <is>
          <t>1066937931</t>
        </is>
      </c>
      <c r="K141" t="inlineStr">
        <is>
          <t>Cb 14</t>
        </is>
      </c>
      <c r="L141" t="inlineStr">
        <is>
          <t>Cb 14</t>
        </is>
      </c>
      <c r="M141" t="inlineStr">
        <is>
          <t>Cb 14</t>
        </is>
      </c>
      <c r="N141" t="inlineStr">
        <is>
          <t xml:space="preserve">Tresoor van diuerssche curieuse gheschriften met haere fundamenten volghens t ghebruyck van desen tijdt : </t>
        </is>
      </c>
      <c r="O141" t="inlineStr">
        <is>
          <t xml:space="preserve"> : </t>
        </is>
      </c>
      <c r="P141" t="inlineStr">
        <is>
          <t>Cb 14</t>
        </is>
      </c>
      <c r="Q141" t="inlineStr"/>
      <c r="R141" t="inlineStr"/>
      <c r="S141" t="inlineStr">
        <is>
          <t xml:space="preserve">Tresoor van diuerssche curieuse gheschriften met haere fundamenten volghens t ghebruyck van desen tijdt : </t>
        </is>
      </c>
      <c r="T141" t="inlineStr">
        <is>
          <t xml:space="preserve"> : </t>
        </is>
      </c>
      <c r="U141" t="inlineStr"/>
      <c r="V141" t="inlineStr"/>
      <c r="W141" t="inlineStr"/>
      <c r="X141" t="inlineStr">
        <is>
          <t>bis 25 cm</t>
        </is>
      </c>
      <c r="Y141" t="inlineStr"/>
      <c r="Z141" t="inlineStr"/>
      <c r="AA141" t="inlineStr"/>
      <c r="AB141" t="inlineStr"/>
      <c r="AC141" t="inlineStr"/>
      <c r="AD141" t="inlineStr"/>
      <c r="AE141" t="inlineStr"/>
      <c r="AF141" t="inlineStr"/>
      <c r="AG141" t="inlineStr"/>
      <c r="AH141" t="inlineStr"/>
      <c r="AI141" t="inlineStr"/>
      <c r="AJ141" t="inlineStr"/>
      <c r="AK141" t="inlineStr">
        <is>
          <t>QF (36x27,5)</t>
        </is>
      </c>
      <c r="AL141" t="inlineStr"/>
      <c r="AM141" t="inlineStr"/>
      <c r="AN141" t="inlineStr">
        <is>
          <t>HG</t>
        </is>
      </c>
      <c r="AO141" t="inlineStr"/>
      <c r="AP141" t="inlineStr"/>
      <c r="AQ141" t="inlineStr"/>
      <c r="AR141" t="inlineStr">
        <is>
          <t>h/E</t>
        </is>
      </c>
      <c r="AS141" t="inlineStr"/>
      <c r="AT141" t="inlineStr"/>
      <c r="AU141" t="inlineStr"/>
      <c r="AV141" t="inlineStr"/>
      <c r="AW141" t="inlineStr"/>
      <c r="AX141" t="inlineStr">
        <is>
          <t>Pa</t>
        </is>
      </c>
      <c r="AY141" t="inlineStr"/>
      <c r="AZ141" t="inlineStr"/>
      <c r="BA141" t="inlineStr"/>
      <c r="BB141" t="inlineStr"/>
      <c r="BC141" t="inlineStr"/>
      <c r="BD141" t="inlineStr"/>
      <c r="BE141" t="inlineStr"/>
      <c r="BF141" t="inlineStr"/>
      <c r="BG141" t="inlineStr">
        <is>
          <t>x</t>
        </is>
      </c>
      <c r="BH141" t="inlineStr"/>
      <c r="BI141" t="inlineStr">
        <is>
          <t>x</t>
        </is>
      </c>
      <c r="BJ141" t="inlineStr"/>
      <c r="BK141" t="inlineStr"/>
      <c r="BL141" t="n">
        <v>110</v>
      </c>
      <c r="BM141" t="inlineStr"/>
      <c r="BN141" t="inlineStr"/>
      <c r="BO141" t="inlineStr"/>
      <c r="BP141" t="inlineStr"/>
      <c r="BQ141" t="inlineStr"/>
      <c r="BR141" t="inlineStr">
        <is>
          <t>n</t>
        </is>
      </c>
      <c r="BS141" t="n">
        <v>0</v>
      </c>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c r="DH141" t="inlineStr"/>
      <c r="DI141" t="inlineStr"/>
      <c r="DJ141" t="inlineStr"/>
      <c r="DK141" t="inlineStr"/>
      <c r="DL141" t="inlineStr"/>
    </row>
    <row r="142">
      <c r="A142" t="inlineStr">
        <is>
          <t>Schreibmeister</t>
        </is>
      </c>
      <c r="B142" t="b">
        <v>1</v>
      </c>
      <c r="C142" t="inlineStr"/>
      <c r="D142" t="inlineStr"/>
      <c r="E142" t="inlineStr"/>
      <c r="F142">
        <f>HYPERLINK("https://portal.dnb.de/opac.htm?method=simpleSearch&amp;cqlMode=true&amp;query=idn%3D999459473", "Portal")</f>
        <v/>
      </c>
      <c r="G142" t="inlineStr">
        <is>
          <t>Aal</t>
        </is>
      </c>
      <c r="H142">
        <f>HYPERLINK("https://portal.dnb.de/opac.htm?method=simpleSearch&amp;cqlMode=true&amp;query=idn%3D999459473", "Portal")</f>
        <v/>
      </c>
      <c r="I142" t="inlineStr">
        <is>
          <t>L-1804-168402416</t>
        </is>
      </c>
      <c r="J142" t="inlineStr">
        <is>
          <t>999459473</t>
        </is>
      </c>
      <c r="K142" t="inlineStr">
        <is>
          <t>Cb 15</t>
        </is>
      </c>
      <c r="L142" t="inlineStr">
        <is>
          <t>Cb 15</t>
        </is>
      </c>
      <c r="M142" t="inlineStr">
        <is>
          <t>Cb 15</t>
        </is>
      </c>
      <c r="N142" t="inlineStr">
        <is>
          <t xml:space="preserve">Deutsche Vorschriften : </t>
        </is>
      </c>
      <c r="O142" t="inlineStr">
        <is>
          <t xml:space="preserve"> : </t>
        </is>
      </c>
      <c r="P142" t="inlineStr">
        <is>
          <t>Cb 15</t>
        </is>
      </c>
      <c r="Q142" t="inlineStr"/>
      <c r="R142" t="inlineStr"/>
      <c r="S142" t="inlineStr">
        <is>
          <t xml:space="preserve">Deutsche Vorschriften : </t>
        </is>
      </c>
      <c r="T142" t="inlineStr">
        <is>
          <t xml:space="preserve"> : </t>
        </is>
      </c>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c r="DH142" t="inlineStr"/>
      <c r="DI142" t="inlineStr"/>
      <c r="DJ142" t="inlineStr"/>
      <c r="DK142" t="inlineStr"/>
      <c r="DL142" t="inlineStr"/>
    </row>
    <row r="143">
      <c r="A143" t="inlineStr">
        <is>
          <t>Schreibmeister</t>
        </is>
      </c>
      <c r="B143" t="b">
        <v>1</v>
      </c>
      <c r="C143" t="inlineStr">
        <is>
          <t>x</t>
        </is>
      </c>
      <c r="D143" t="inlineStr"/>
      <c r="E143" t="n">
        <v>134</v>
      </c>
      <c r="F143">
        <f>HYPERLINK("https://portal.dnb.de/opac.htm?method=simpleSearch&amp;cqlMode=true&amp;query=idn%3D993908454", "Portal")</f>
        <v/>
      </c>
      <c r="G143" t="inlineStr">
        <is>
          <t>Aal</t>
        </is>
      </c>
      <c r="H143">
        <f>HYPERLINK("https://portal.dnb.de/opac.htm?method=simpleSearch&amp;cqlMode=true&amp;query=idn%3D993908454", "Portal")</f>
        <v/>
      </c>
      <c r="I143" t="inlineStr">
        <is>
          <t>L-1764-153970677</t>
        </is>
      </c>
      <c r="J143" t="inlineStr">
        <is>
          <t>993908454</t>
        </is>
      </c>
      <c r="K143" t="inlineStr">
        <is>
          <t>Cb 16</t>
        </is>
      </c>
      <c r="L143" t="inlineStr">
        <is>
          <t>Cb 16</t>
        </is>
      </c>
      <c r="M143" t="inlineStr">
        <is>
          <t>Cb 16</t>
        </is>
      </c>
      <c r="N143" t="inlineStr">
        <is>
          <t>Muster einer ganz neuen schönen und regulmäßigen Schreib-Art, durch das ganze Alphabet, in Fractur, Canzley und Current, dann vielen veränderten Jügen</t>
        </is>
      </c>
      <c r="O143" t="inlineStr">
        <is>
          <t xml:space="preserve"> : </t>
        </is>
      </c>
      <c r="P143" t="inlineStr">
        <is>
          <t>Cb 16</t>
        </is>
      </c>
      <c r="Q143" t="inlineStr">
        <is>
          <t>4950,00 EUR</t>
        </is>
      </c>
      <c r="R143" t="inlineStr"/>
      <c r="S143" t="inlineStr">
        <is>
          <t>Muster einer ganz neuen schönen und regulmäßigen Schreib-Art, durch das ganze Alphabet, in Fractur, Canzley und Current, dann vielen veränderten Jügen</t>
        </is>
      </c>
      <c r="T143" t="inlineStr">
        <is>
          <t xml:space="preserve"> : </t>
        </is>
      </c>
      <c r="U143" t="inlineStr"/>
      <c r="V143" t="inlineStr">
        <is>
          <t>4950,00 EUR</t>
        </is>
      </c>
      <c r="W143" t="inlineStr"/>
      <c r="X143" t="inlineStr">
        <is>
          <t>bis 25 cm</t>
        </is>
      </c>
      <c r="Y143" t="inlineStr"/>
      <c r="Z143" t="inlineStr"/>
      <c r="AA143" t="inlineStr"/>
      <c r="AB143" t="inlineStr"/>
      <c r="AC143" t="inlineStr"/>
      <c r="AD143" t="inlineStr"/>
      <c r="AE143" t="inlineStr"/>
      <c r="AF143" t="inlineStr"/>
      <c r="AG143" t="inlineStr"/>
      <c r="AH143" t="inlineStr"/>
      <c r="AI143" t="inlineStr"/>
      <c r="AJ143" t="inlineStr"/>
      <c r="AK143" t="inlineStr">
        <is>
          <t>QF (34x21,5)</t>
        </is>
      </c>
      <c r="AL143" t="inlineStr"/>
      <c r="AM143" t="inlineStr"/>
      <c r="AN143" t="inlineStr">
        <is>
          <t>Br</t>
        </is>
      </c>
      <c r="AO143" t="inlineStr"/>
      <c r="AP143" t="inlineStr"/>
      <c r="AQ143" t="inlineStr"/>
      <c r="AR143" t="inlineStr">
        <is>
          <t>f</t>
        </is>
      </c>
      <c r="AS143" t="inlineStr"/>
      <c r="AT143" t="inlineStr"/>
      <c r="AU143" t="inlineStr"/>
      <c r="AV143" t="inlineStr"/>
      <c r="AW143" t="inlineStr"/>
      <c r="AX143" t="inlineStr">
        <is>
          <t>Pa</t>
        </is>
      </c>
      <c r="AY143" t="inlineStr"/>
      <c r="AZ143" t="inlineStr"/>
      <c r="BA143" t="inlineStr"/>
      <c r="BB143" t="inlineStr"/>
      <c r="BC143" t="inlineStr"/>
      <c r="BD143" t="inlineStr"/>
      <c r="BE143" t="inlineStr"/>
      <c r="BF143" t="inlineStr"/>
      <c r="BG143" t="inlineStr">
        <is>
          <t>x</t>
        </is>
      </c>
      <c r="BH143" t="inlineStr"/>
      <c r="BI143" t="inlineStr">
        <is>
          <t>x</t>
        </is>
      </c>
      <c r="BJ143" t="inlineStr"/>
      <c r="BK143" t="inlineStr"/>
      <c r="BL143" t="n">
        <v>110</v>
      </c>
      <c r="BM143" t="inlineStr"/>
      <c r="BN143" t="inlineStr"/>
      <c r="BO143" t="inlineStr"/>
      <c r="BP143" t="inlineStr"/>
      <c r="BQ143" t="inlineStr"/>
      <c r="BR143" t="inlineStr">
        <is>
          <t>ja vor</t>
        </is>
      </c>
      <c r="BS143" t="n">
        <v>4</v>
      </c>
      <c r="BT143" t="inlineStr"/>
      <c r="BU143" t="inlineStr"/>
      <c r="BV143" t="inlineStr"/>
      <c r="BW143" t="inlineStr"/>
      <c r="BX143" t="inlineStr"/>
      <c r="BY143" t="inlineStr"/>
      <c r="BZ143" t="inlineStr"/>
      <c r="CA143" t="inlineStr"/>
      <c r="CB143" t="inlineStr"/>
      <c r="CC143" t="inlineStr"/>
      <c r="CD143" t="inlineStr">
        <is>
          <t>Umschlag (Einband berieben)</t>
        </is>
      </c>
      <c r="CE143" t="inlineStr">
        <is>
          <t>x</t>
        </is>
      </c>
      <c r="CF143" t="inlineStr"/>
      <c r="CG143" t="inlineStr">
        <is>
          <t>x</t>
        </is>
      </c>
      <c r="CH143" t="inlineStr"/>
      <c r="CI143" t="inlineStr"/>
      <c r="CJ143" t="inlineStr"/>
      <c r="CK143" t="inlineStr"/>
      <c r="CL143" t="inlineStr"/>
      <c r="CM143" t="inlineStr"/>
      <c r="CN143" t="inlineStr">
        <is>
          <t>x</t>
        </is>
      </c>
      <c r="CO143" t="inlineStr"/>
      <c r="CP143" t="inlineStr"/>
      <c r="CQ143" t="inlineStr"/>
      <c r="CR143" t="n">
        <v>3</v>
      </c>
      <c r="CS143" t="inlineStr">
        <is>
          <t>Ecken und Kanten festigen, ggf. mit JP einfassen</t>
        </is>
      </c>
      <c r="CT143" t="inlineStr">
        <is>
          <t>x</t>
        </is>
      </c>
      <c r="CU143" t="inlineStr"/>
      <c r="CV143" t="inlineStr"/>
      <c r="CW143" t="inlineStr"/>
      <c r="CX143" t="inlineStr"/>
      <c r="CY143" t="inlineStr">
        <is>
          <t>x</t>
        </is>
      </c>
      <c r="CZ143" t="inlineStr"/>
      <c r="DA143" t="inlineStr">
        <is>
          <t>x</t>
        </is>
      </c>
      <c r="DB143" t="inlineStr"/>
      <c r="DC143" t="inlineStr"/>
      <c r="DD143" t="inlineStr"/>
      <c r="DE143" t="inlineStr"/>
      <c r="DF143" t="inlineStr"/>
      <c r="DG143" t="inlineStr"/>
      <c r="DH143" t="inlineStr"/>
      <c r="DI143" t="inlineStr"/>
      <c r="DJ143" t="inlineStr"/>
      <c r="DK143" t="n">
        <v>1</v>
      </c>
      <c r="DL143" t="inlineStr"/>
    </row>
    <row r="144">
      <c r="A144" t="inlineStr">
        <is>
          <t>Schreibmeister</t>
        </is>
      </c>
      <c r="B144" t="b">
        <v>1</v>
      </c>
      <c r="C144" t="inlineStr"/>
      <c r="D144" t="inlineStr"/>
      <c r="E144" t="n">
        <v>135</v>
      </c>
      <c r="F144">
        <f>HYPERLINK("https://portal.dnb.de/opac.htm?method=simpleSearch&amp;cqlMode=true&amp;query=idn%3D1003171567", "Portal")</f>
        <v/>
      </c>
      <c r="G144" t="inlineStr">
        <is>
          <t>Afl</t>
        </is>
      </c>
      <c r="H144">
        <f>HYPERLINK("https://portal.dnb.de/opac.htm?method=simpleSearch&amp;cqlMode=true&amp;query=idn%3D1003171567", "Portal")</f>
        <v/>
      </c>
      <c r="I144" t="inlineStr">
        <is>
          <t>L-1780-178922080</t>
        </is>
      </c>
      <c r="J144" t="inlineStr">
        <is>
          <t>1003171567</t>
        </is>
      </c>
      <c r="K144" t="inlineStr">
        <is>
          <t>Cb 17</t>
        </is>
      </c>
      <c r="L144" t="inlineStr">
        <is>
          <t>Cb 17</t>
        </is>
      </c>
      <c r="M144" t="inlineStr">
        <is>
          <t>Cb 17</t>
        </is>
      </c>
      <c r="N144" t="inlineStr">
        <is>
          <t>Allgemeine Anweisung der neuesten Schönschreibkunst des Johann Gottfried Weber. Für d. Jugend hohen u. niederen Standes, desgl. f. andere Liebhaber ei</t>
        </is>
      </c>
      <c r="O144" t="inlineStr">
        <is>
          <t xml:space="preserve">Nachtr. : </t>
        </is>
      </c>
      <c r="P144" t="inlineStr">
        <is>
          <t>Cb 17</t>
        </is>
      </c>
      <c r="Q144" t="inlineStr"/>
      <c r="R144" t="inlineStr"/>
      <c r="S144" t="inlineStr">
        <is>
          <t>Allgemeine Anweisung der neuesten Schönschreibkunst des Johann Gottfried Weber. Für d. Jugend hohen u. niederen Standes, desgl. f. andere Liebhaber ei</t>
        </is>
      </c>
      <c r="T144" t="inlineStr">
        <is>
          <t xml:space="preserve">Nachtr. : </t>
        </is>
      </c>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c r="BR144" t="inlineStr"/>
      <c r="BS144" t="n">
        <v>0</v>
      </c>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c r="DH144" t="inlineStr"/>
      <c r="DI144" t="inlineStr"/>
      <c r="DJ144" t="inlineStr"/>
      <c r="DK144" t="inlineStr"/>
      <c r="DL144" t="inlineStr"/>
    </row>
    <row r="145">
      <c r="A145" t="inlineStr">
        <is>
          <t>Schreibmeister</t>
        </is>
      </c>
      <c r="B145" t="b">
        <v>1</v>
      </c>
      <c r="C145" t="inlineStr"/>
      <c r="D145" t="inlineStr"/>
      <c r="E145" t="n">
        <v>136</v>
      </c>
      <c r="F145">
        <f>HYPERLINK("https://portal.dnb.de/opac.htm?method=simpleSearch&amp;cqlMode=true&amp;query=idn%3D1003171788", "Portal")</f>
        <v/>
      </c>
      <c r="G145" t="inlineStr">
        <is>
          <t>Afl</t>
        </is>
      </c>
      <c r="H145">
        <f>HYPERLINK("https://portal.dnb.de/opac.htm?method=simpleSearch&amp;cqlMode=true&amp;query=idn%3D1003171788", "Portal")</f>
        <v/>
      </c>
      <c r="I145" t="inlineStr">
        <is>
          <t>L-1780-184489555</t>
        </is>
      </c>
      <c r="J145" t="inlineStr">
        <is>
          <t>1003171788</t>
        </is>
      </c>
      <c r="K145" t="inlineStr">
        <is>
          <t>Cb 17</t>
        </is>
      </c>
      <c r="L145" t="inlineStr">
        <is>
          <t>Cb 17</t>
        </is>
      </c>
      <c r="M145" t="inlineStr">
        <is>
          <t>Cb 17</t>
        </is>
      </c>
      <c r="N145" t="inlineStr">
        <is>
          <t>Allgemeine Anweisung der neuesten Schönschreibkunst des Johann Gottfried Weber. Für d. Jugend hohen u. niederen Standes, desgl. f. andere Liebhaber ei</t>
        </is>
      </c>
      <c r="O145" t="inlineStr">
        <is>
          <t xml:space="preserve">[Bd. 1.] : </t>
        </is>
      </c>
      <c r="P145" t="inlineStr">
        <is>
          <t>Cb 17</t>
        </is>
      </c>
      <c r="Q145" t="inlineStr"/>
      <c r="R145" t="inlineStr"/>
      <c r="S145" t="inlineStr">
        <is>
          <t>Allgemeine Anweisung der neuesten Schönschreibkunst des Johann Gottfried Weber. Für d. Jugend hohen u. niederen Standes, desgl. f. andere Liebhaber ei</t>
        </is>
      </c>
      <c r="T145" t="inlineStr">
        <is>
          <t xml:space="preserve">[Bd. 1.] : </t>
        </is>
      </c>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BR145" t="inlineStr"/>
      <c r="BS145" t="n">
        <v>0</v>
      </c>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c r="DH145" t="inlineStr"/>
      <c r="DI145" t="inlineStr"/>
      <c r="DJ145" t="inlineStr"/>
      <c r="DK145" t="inlineStr"/>
      <c r="DL145" t="inlineStr"/>
    </row>
    <row r="146">
      <c r="A146" t="inlineStr">
        <is>
          <t>Schreibmeister</t>
        </is>
      </c>
      <c r="B146" t="b">
        <v>1</v>
      </c>
      <c r="C146" t="inlineStr">
        <is>
          <t>x</t>
        </is>
      </c>
      <c r="D146" t="inlineStr"/>
      <c r="E146" t="n">
        <v>137</v>
      </c>
      <c r="F146">
        <f>HYPERLINK("https://portal.dnb.de/opac.htm?method=simpleSearch&amp;cqlMode=true&amp;query=idn%3D994377584", "Portal")</f>
        <v/>
      </c>
      <c r="G146" t="inlineStr">
        <is>
          <t>Aal</t>
        </is>
      </c>
      <c r="H146">
        <f>HYPERLINK("https://portal.dnb.de/opac.htm?method=simpleSearch&amp;cqlMode=true&amp;query=idn%3D994377584", "Portal")</f>
        <v/>
      </c>
      <c r="I146" t="inlineStr">
        <is>
          <t>L-1729-155561057</t>
        </is>
      </c>
      <c r="J146" t="inlineStr">
        <is>
          <t>994377584</t>
        </is>
      </c>
      <c r="K146" t="inlineStr">
        <is>
          <t>Cb 18</t>
        </is>
      </c>
      <c r="L146" t="inlineStr">
        <is>
          <t>Cb 18</t>
        </is>
      </c>
      <c r="M146" t="inlineStr">
        <is>
          <t>Cb 18</t>
        </is>
      </c>
      <c r="N146" t="inlineStr">
        <is>
          <t xml:space="preserve">Vorschrifft, deutsch und frantsösischer Lauff-Cantsley und Fractur-Schrifften auff die neuweste Manier der lehrbegierigen Jugend zu gutem : </t>
        </is>
      </c>
      <c r="O146" t="inlineStr">
        <is>
          <t xml:space="preserve"> : </t>
        </is>
      </c>
      <c r="P146" t="inlineStr">
        <is>
          <t>Cb 18</t>
        </is>
      </c>
      <c r="Q146" t="inlineStr"/>
      <c r="R146" t="inlineStr"/>
      <c r="S146" t="inlineStr">
        <is>
          <t xml:space="preserve">Vorschrifft, deutsch und frantsösischer Lauff-Cantsley und Fractur-Schrifften auff die neuweste Manier der lehrbegierigen Jugend zu gutem : </t>
        </is>
      </c>
      <c r="T146" t="inlineStr">
        <is>
          <t xml:space="preserve"> : </t>
        </is>
      </c>
      <c r="U146" t="inlineStr"/>
      <c r="V146" t="inlineStr"/>
      <c r="W146" t="inlineStr"/>
      <c r="X146" t="inlineStr">
        <is>
          <t>bis 25 cm</t>
        </is>
      </c>
      <c r="Y146" t="inlineStr"/>
      <c r="Z146" t="inlineStr"/>
      <c r="AA146" t="inlineStr"/>
      <c r="AB146" t="inlineStr"/>
      <c r="AC146" t="inlineStr"/>
      <c r="AD146" t="inlineStr"/>
      <c r="AE146" t="inlineStr"/>
      <c r="AF146" t="inlineStr"/>
      <c r="AG146" t="inlineStr"/>
      <c r="AH146" t="inlineStr"/>
      <c r="AI146" t="inlineStr"/>
      <c r="AJ146" t="inlineStr"/>
      <c r="AK146" t="inlineStr">
        <is>
          <t>QF (22x17)</t>
        </is>
      </c>
      <c r="AL146" t="inlineStr"/>
      <c r="AM146" t="inlineStr"/>
      <c r="AN146" t="inlineStr">
        <is>
          <t>Br</t>
        </is>
      </c>
      <c r="AO146" t="inlineStr"/>
      <c r="AP146" t="inlineStr"/>
      <c r="AQ146" t="inlineStr"/>
      <c r="AR146" t="inlineStr"/>
      <c r="AS146" t="inlineStr"/>
      <c r="AT146" t="inlineStr"/>
      <c r="AU146" t="inlineStr"/>
      <c r="AV146" t="inlineStr"/>
      <c r="AW146" t="inlineStr"/>
      <c r="AX146" t="inlineStr">
        <is>
          <t>Pa</t>
        </is>
      </c>
      <c r="AY146" t="inlineStr"/>
      <c r="AZ146" t="inlineStr"/>
      <c r="BA146" t="inlineStr"/>
      <c r="BB146" t="inlineStr"/>
      <c r="BC146" t="inlineStr"/>
      <c r="BD146" t="inlineStr"/>
      <c r="BE146" t="inlineStr"/>
      <c r="BF146" t="inlineStr"/>
      <c r="BG146" t="inlineStr">
        <is>
          <t>x</t>
        </is>
      </c>
      <c r="BH146" t="inlineStr"/>
      <c r="BI146" t="inlineStr">
        <is>
          <t>x</t>
        </is>
      </c>
      <c r="BJ146" t="inlineStr"/>
      <c r="BK146" t="inlineStr"/>
      <c r="BL146" t="n">
        <v>180</v>
      </c>
      <c r="BM146" t="inlineStr"/>
      <c r="BN146" t="inlineStr"/>
      <c r="BO146" t="inlineStr"/>
      <c r="BP146" t="inlineStr"/>
      <c r="BQ146" t="inlineStr"/>
      <c r="BR146" t="inlineStr">
        <is>
          <t>ja vor</t>
        </is>
      </c>
      <c r="BS146" t="n">
        <v>0.5</v>
      </c>
      <c r="BT146" t="inlineStr"/>
      <c r="BU146" t="inlineStr"/>
      <c r="BV146" t="inlineStr"/>
      <c r="BW146" t="inlineStr"/>
      <c r="BX146" t="inlineStr"/>
      <c r="BY146" t="inlineStr"/>
      <c r="BZ146" t="inlineStr"/>
      <c r="CA146" t="inlineStr"/>
      <c r="CB146" t="inlineStr"/>
      <c r="CC146" t="inlineStr"/>
      <c r="CD146" t="inlineStr"/>
      <c r="CE146" t="inlineStr">
        <is>
          <t>x</t>
        </is>
      </c>
      <c r="CF146" t="inlineStr"/>
      <c r="CG146" t="inlineStr">
        <is>
          <t>x</t>
        </is>
      </c>
      <c r="CH146" t="inlineStr"/>
      <c r="CI146" t="inlineStr"/>
      <c r="CJ146" t="inlineStr"/>
      <c r="CK146" t="inlineStr"/>
      <c r="CL146" t="inlineStr"/>
      <c r="CM146" t="inlineStr"/>
      <c r="CN146" t="inlineStr"/>
      <c r="CO146" t="inlineStr"/>
      <c r="CP146" t="inlineStr"/>
      <c r="CQ146" t="inlineStr"/>
      <c r="CR146" t="n">
        <v>0.5</v>
      </c>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c r="DH146" t="inlineStr"/>
      <c r="DI146" t="inlineStr"/>
      <c r="DJ146" t="inlineStr"/>
      <c r="DK146" t="inlineStr"/>
      <c r="DL146" t="inlineStr"/>
    </row>
    <row r="147">
      <c r="A147" t="inlineStr">
        <is>
          <t>Schreibmeister</t>
        </is>
      </c>
      <c r="B147" t="b">
        <v>1</v>
      </c>
      <c r="C147" t="inlineStr"/>
      <c r="D147" t="inlineStr"/>
      <c r="E147" t="n">
        <v>138</v>
      </c>
      <c r="F147">
        <f>HYPERLINK("https://portal.dnb.de/opac.htm?method=simpleSearch&amp;cqlMode=true&amp;query=idn%3D994118473", "Portal")</f>
        <v/>
      </c>
      <c r="G147" t="inlineStr">
        <is>
          <t>Hal</t>
        </is>
      </c>
      <c r="H147">
        <f>HYPERLINK("https://portal.dnb.de/opac.htm?method=simpleSearch&amp;cqlMode=true&amp;query=idn%3D994118473", "Portal")</f>
        <v/>
      </c>
      <c r="I147" t="inlineStr">
        <is>
          <t>L-1619-154526304</t>
        </is>
      </c>
      <c r="J147" t="inlineStr">
        <is>
          <t>994118473</t>
        </is>
      </c>
      <c r="K147" t="inlineStr">
        <is>
          <t>Cb 19</t>
        </is>
      </c>
      <c r="L147" t="inlineStr">
        <is>
          <t>Cb 19</t>
        </is>
      </c>
      <c r="M147" t="inlineStr">
        <is>
          <t>Cb 19</t>
        </is>
      </c>
      <c r="N147" t="inlineStr">
        <is>
          <t xml:space="preserve">139 kalligraphische Vorlagen in Original : </t>
        </is>
      </c>
      <c r="O147" t="inlineStr">
        <is>
          <t xml:space="preserve"> : </t>
        </is>
      </c>
      <c r="P147" t="inlineStr">
        <is>
          <t>Cb 19</t>
        </is>
      </c>
      <c r="Q147" t="inlineStr"/>
      <c r="R147" t="inlineStr"/>
      <c r="S147" t="inlineStr">
        <is>
          <t xml:space="preserve">139 kalligraphische Vorlagen in Original : </t>
        </is>
      </c>
      <c r="T147" t="inlineStr">
        <is>
          <t xml:space="preserve"> : </t>
        </is>
      </c>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BR147" t="inlineStr"/>
      <c r="BS147" t="n">
        <v>0</v>
      </c>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c r="DH147" t="inlineStr"/>
      <c r="DI147" t="inlineStr"/>
      <c r="DJ147" t="inlineStr"/>
      <c r="DK147" t="inlineStr"/>
      <c r="DL147" t="inlineStr"/>
    </row>
    <row r="148">
      <c r="A148" t="inlineStr">
        <is>
          <t>Schreibmeister</t>
        </is>
      </c>
      <c r="B148" t="b">
        <v>1</v>
      </c>
      <c r="C148" t="inlineStr"/>
      <c r="D148" t="inlineStr"/>
      <c r="E148" t="n">
        <v>139</v>
      </c>
      <c r="F148">
        <f>HYPERLINK("https://portal.dnb.de/opac.htm?method=simpleSearch&amp;cqlMode=true&amp;query=idn%3D993914918", "Portal")</f>
        <v/>
      </c>
      <c r="G148" t="inlineStr">
        <is>
          <t>Aal</t>
        </is>
      </c>
      <c r="H148">
        <f>HYPERLINK("https://portal.dnb.de/opac.htm?method=simpleSearch&amp;cqlMode=true&amp;query=idn%3D993914918", "Portal")</f>
        <v/>
      </c>
      <c r="I148" t="inlineStr">
        <is>
          <t>L-9999-154003182</t>
        </is>
      </c>
      <c r="J148" t="inlineStr">
        <is>
          <t>993914918</t>
        </is>
      </c>
      <c r="K148" t="inlineStr">
        <is>
          <t>Cb 20</t>
        </is>
      </c>
      <c r="L148" t="inlineStr">
        <is>
          <t>Cb 20</t>
        </is>
      </c>
      <c r="M148" t="inlineStr">
        <is>
          <t>Cb 20</t>
        </is>
      </c>
      <c r="N148" t="inlineStr">
        <is>
          <t xml:space="preserve">Opera ... nelle quale si insegna a scrivere varie sorte di lettere : </t>
        </is>
      </c>
      <c r="O148" t="inlineStr">
        <is>
          <t xml:space="preserve"> : </t>
        </is>
      </c>
      <c r="P148" t="inlineStr">
        <is>
          <t>Cb 20</t>
        </is>
      </c>
      <c r="Q148" t="inlineStr"/>
      <c r="R148" t="inlineStr"/>
      <c r="S148" t="inlineStr">
        <is>
          <t xml:space="preserve">Opera ... nelle quale si insegna a scrivere varie sorte di lettere : </t>
        </is>
      </c>
      <c r="T148" t="inlineStr">
        <is>
          <t xml:space="preserve"> : </t>
        </is>
      </c>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c r="BR148" t="inlineStr"/>
      <c r="BS148" t="n">
        <v>0</v>
      </c>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c r="DH148" t="inlineStr"/>
      <c r="DI148" t="inlineStr"/>
      <c r="DJ148" t="inlineStr"/>
      <c r="DK148" t="inlineStr"/>
      <c r="DL148" t="inlineStr"/>
    </row>
    <row r="149">
      <c r="A149" t="inlineStr">
        <is>
          <t>Schreibmeister</t>
        </is>
      </c>
      <c r="B149" t="b">
        <v>1</v>
      </c>
      <c r="C149" t="inlineStr"/>
      <c r="D149" t="inlineStr"/>
      <c r="E149" t="n">
        <v>140</v>
      </c>
      <c r="F149">
        <f>HYPERLINK("https://portal.dnb.de/opac.htm?method=simpleSearch&amp;cqlMode=true&amp;query=idn%3D1002571642", "Portal")</f>
        <v/>
      </c>
      <c r="G149" t="inlineStr">
        <is>
          <t>Aal</t>
        </is>
      </c>
      <c r="H149">
        <f>HYPERLINK("https://portal.dnb.de/opac.htm?method=simpleSearch&amp;cqlMode=true&amp;query=idn%3D1002571642", "Portal")</f>
        <v/>
      </c>
      <c r="I149" t="inlineStr">
        <is>
          <t>L-1535-177606118</t>
        </is>
      </c>
      <c r="J149" t="inlineStr">
        <is>
          <t>1002571642</t>
        </is>
      </c>
      <c r="K149" t="inlineStr">
        <is>
          <t>Cb 21</t>
        </is>
      </c>
      <c r="L149" t="inlineStr">
        <is>
          <t>Cb 21</t>
        </is>
      </c>
      <c r="M149" t="inlineStr">
        <is>
          <t>Cb 21</t>
        </is>
      </c>
      <c r="N149" t="inlineStr">
        <is>
          <t>Thesavro De Scrit=||tori|| : opera artificiosa laquale con grandissima arte, si per pratica|| come per geometria insegna a Scruere diuerse sorte litte</t>
        </is>
      </c>
      <c r="O149" t="inlineStr">
        <is>
          <t xml:space="preserve"> : </t>
        </is>
      </c>
      <c r="P149" t="inlineStr">
        <is>
          <t>Cb 21</t>
        </is>
      </c>
      <c r="Q149" t="inlineStr"/>
      <c r="R149" t="inlineStr"/>
      <c r="S149" t="inlineStr">
        <is>
          <t>Thesavro De Scrit=||tori|| : opera artificiosa laquale con grandissima arte, si per pratica|| come per geometria insegna a Scruere diuerse sorte litte</t>
        </is>
      </c>
      <c r="T149" t="inlineStr">
        <is>
          <t xml:space="preserve"> : </t>
        </is>
      </c>
      <c r="U149" t="inlineStr"/>
      <c r="V149" t="inlineStr"/>
      <c r="W149" t="inlineStr"/>
      <c r="X149" t="inlineStr">
        <is>
          <t>bis 25 cm</t>
        </is>
      </c>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is>
          <t>Pg</t>
        </is>
      </c>
      <c r="AO149" t="inlineStr">
        <is>
          <t xml:space="preserve">
flexibler Pg</t>
        </is>
      </c>
      <c r="AP149" t="inlineStr"/>
      <c r="AQ149" t="inlineStr"/>
      <c r="AR149" t="inlineStr">
        <is>
          <t>h</t>
        </is>
      </c>
      <c r="AS149" t="inlineStr"/>
      <c r="AT149" t="inlineStr"/>
      <c r="AU149" t="inlineStr"/>
      <c r="AV149" t="inlineStr"/>
      <c r="AW149" t="inlineStr"/>
      <c r="AX149" t="inlineStr">
        <is>
          <t>Pa</t>
        </is>
      </c>
      <c r="AY149" t="inlineStr"/>
      <c r="AZ149" t="inlineStr"/>
      <c r="BA149" t="inlineStr"/>
      <c r="BB149" t="inlineStr"/>
      <c r="BC149" t="inlineStr"/>
      <c r="BD149" t="inlineStr"/>
      <c r="BE149" t="inlineStr"/>
      <c r="BF149" t="inlineStr"/>
      <c r="BG149" t="inlineStr">
        <is>
          <t>x</t>
        </is>
      </c>
      <c r="BH149" t="inlineStr"/>
      <c r="BI149" t="inlineStr">
        <is>
          <t>x</t>
        </is>
      </c>
      <c r="BJ149" t="inlineStr"/>
      <c r="BK149" t="inlineStr"/>
      <c r="BL149" t="n">
        <v>110</v>
      </c>
      <c r="BM149" t="inlineStr"/>
      <c r="BN149" t="inlineStr"/>
      <c r="BO149" t="inlineStr"/>
      <c r="BP149" t="inlineStr"/>
      <c r="BQ149" t="inlineStr"/>
      <c r="BR149" t="inlineStr">
        <is>
          <t>n</t>
        </is>
      </c>
      <c r="BS149" t="n">
        <v>0</v>
      </c>
      <c r="BT149" t="inlineStr"/>
      <c r="BU149" t="inlineStr">
        <is>
          <t>Gewebe</t>
        </is>
      </c>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c r="DH149" t="inlineStr"/>
      <c r="DI149" t="inlineStr"/>
      <c r="DJ149" t="inlineStr"/>
      <c r="DK149" t="inlineStr"/>
      <c r="DL149" t="inlineStr"/>
    </row>
    <row r="150">
      <c r="A150" t="inlineStr">
        <is>
          <t>Schreibmeister</t>
        </is>
      </c>
      <c r="B150" t="b">
        <v>1</v>
      </c>
      <c r="C150" t="inlineStr"/>
      <c r="D150" t="inlineStr"/>
      <c r="E150" t="n">
        <v>141</v>
      </c>
      <c r="F150">
        <f>HYPERLINK("https://portal.dnb.de/opac.htm?method=simpleSearch&amp;cqlMode=true&amp;query=idn%3D1002761042", "Portal")</f>
        <v/>
      </c>
      <c r="G150" t="inlineStr">
        <is>
          <t>Afl</t>
        </is>
      </c>
      <c r="H150">
        <f>HYPERLINK("https://portal.dnb.de/opac.htm?method=simpleSearch&amp;cqlMode=true&amp;query=idn%3D1002761042", "Portal")</f>
        <v/>
      </c>
      <c r="I150" t="inlineStr">
        <is>
          <t>L-1526-177933569</t>
        </is>
      </c>
      <c r="J150" t="inlineStr">
        <is>
          <t>1002761042</t>
        </is>
      </c>
      <c r="K150" t="inlineStr">
        <is>
          <t>Cb 22</t>
        </is>
      </c>
      <c r="L150" t="inlineStr">
        <is>
          <t>Cb 22</t>
        </is>
      </c>
      <c r="M150" t="inlineStr">
        <is>
          <t>Cb 22</t>
        </is>
      </c>
      <c r="N150" t="inlineStr">
        <is>
          <t>Incipit liber primus [-quartus] elementorum litterarum Ioannis Baptiste de Verinis Florentini</t>
        </is>
      </c>
      <c r="O150" t="inlineStr">
        <is>
          <t xml:space="preserve">1 : </t>
        </is>
      </c>
      <c r="P150" t="inlineStr">
        <is>
          <t>Cb 22</t>
        </is>
      </c>
      <c r="Q150" t="inlineStr"/>
      <c r="R150" t="inlineStr"/>
      <c r="S150" t="inlineStr">
        <is>
          <t>Incipit liber primus [-quartus] elementorum litterarum Ioannis Baptiste de Verinis Florentini</t>
        </is>
      </c>
      <c r="T150" t="inlineStr">
        <is>
          <t xml:space="preserve">1 : </t>
        </is>
      </c>
      <c r="U150" t="inlineStr"/>
      <c r="V150" t="inlineStr"/>
      <c r="W150" t="inlineStr"/>
      <c r="X150" t="inlineStr">
        <is>
          <t>bis 25 cm</t>
        </is>
      </c>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is>
          <t>Pg</t>
        </is>
      </c>
      <c r="AO150" t="inlineStr"/>
      <c r="AP150" t="inlineStr"/>
      <c r="AQ150" t="inlineStr"/>
      <c r="AR150" t="inlineStr">
        <is>
          <t>h</t>
        </is>
      </c>
      <c r="AS150" t="inlineStr"/>
      <c r="AT150" t="inlineStr"/>
      <c r="AU150" t="inlineStr"/>
      <c r="AV150" t="inlineStr"/>
      <c r="AW150" t="inlineStr"/>
      <c r="AX150" t="inlineStr">
        <is>
          <t>Pa</t>
        </is>
      </c>
      <c r="AY150" t="inlineStr"/>
      <c r="AZ150" t="inlineStr"/>
      <c r="BA150" t="inlineStr"/>
      <c r="BB150" t="inlineStr"/>
      <c r="BC150" t="inlineStr"/>
      <c r="BD150" t="inlineStr"/>
      <c r="BE150" t="inlineStr"/>
      <c r="BF150" t="inlineStr"/>
      <c r="BG150" t="inlineStr">
        <is>
          <t>x</t>
        </is>
      </c>
      <c r="BH150" t="inlineStr"/>
      <c r="BI150" t="inlineStr">
        <is>
          <t>x</t>
        </is>
      </c>
      <c r="BJ150" t="inlineStr"/>
      <c r="BK150" t="inlineStr"/>
      <c r="BL150" t="n">
        <v>110</v>
      </c>
      <c r="BM150" t="inlineStr"/>
      <c r="BN150" t="inlineStr"/>
      <c r="BO150" t="inlineStr"/>
      <c r="BP150" t="inlineStr"/>
      <c r="BQ150" t="inlineStr"/>
      <c r="BR150" t="inlineStr">
        <is>
          <t>n</t>
        </is>
      </c>
      <c r="BS150" t="n">
        <v>0</v>
      </c>
      <c r="BT150" t="inlineStr"/>
      <c r="BU150" t="inlineStr"/>
      <c r="BV150" t="inlineStr"/>
      <c r="BW150" t="inlineStr"/>
      <c r="BX150" t="inlineStr"/>
      <c r="BY150" t="inlineStr"/>
      <c r="BZ150" t="inlineStr"/>
      <c r="CA150" t="inlineStr">
        <is>
          <t>Schaden stabil</t>
        </is>
      </c>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c r="DH150" t="inlineStr"/>
      <c r="DI150" t="inlineStr"/>
      <c r="DJ150" t="inlineStr"/>
      <c r="DK150" t="inlineStr"/>
      <c r="DL150" t="inlineStr"/>
    </row>
    <row r="151">
      <c r="A151" t="inlineStr">
        <is>
          <t>Schreibmeister</t>
        </is>
      </c>
      <c r="B151" t="b">
        <v>1</v>
      </c>
      <c r="C151" t="inlineStr"/>
      <c r="D151" t="inlineStr"/>
      <c r="E151" t="n">
        <v>142</v>
      </c>
      <c r="F151">
        <f>HYPERLINK("https://portal.dnb.de/opac.htm?method=simpleSearch&amp;cqlMode=true&amp;query=idn%3D1002761123", "Portal")</f>
        <v/>
      </c>
      <c r="G151" t="inlineStr">
        <is>
          <t>Afl</t>
        </is>
      </c>
      <c r="H151">
        <f>HYPERLINK("https://portal.dnb.de/opac.htm?method=simpleSearch&amp;cqlMode=true&amp;query=idn%3D1002761123", "Portal")</f>
        <v/>
      </c>
      <c r="I151" t="inlineStr">
        <is>
          <t>L-1526-17793364X</t>
        </is>
      </c>
      <c r="J151" t="inlineStr">
        <is>
          <t>1002761123</t>
        </is>
      </c>
      <c r="K151" t="inlineStr">
        <is>
          <t>Cb 22</t>
        </is>
      </c>
      <c r="L151" t="inlineStr">
        <is>
          <t>Cb 22</t>
        </is>
      </c>
      <c r="M151" t="inlineStr">
        <is>
          <t>Cb 22</t>
        </is>
      </c>
      <c r="N151" t="inlineStr">
        <is>
          <t>Incipit liber primus [-quartus] elementorum litterarum Ioannis Baptiste de Verinis Florentini</t>
        </is>
      </c>
      <c r="O151" t="inlineStr">
        <is>
          <t xml:space="preserve">2 : </t>
        </is>
      </c>
      <c r="P151" t="inlineStr">
        <is>
          <t>Cb 22</t>
        </is>
      </c>
      <c r="Q151" t="inlineStr"/>
      <c r="R151" t="inlineStr"/>
      <c r="S151" t="inlineStr">
        <is>
          <t>Incipit liber primus [-quartus] elementorum litterarum Ioannis Baptiste de Verinis Florentini</t>
        </is>
      </c>
      <c r="T151" t="inlineStr">
        <is>
          <t xml:space="preserve">2 : </t>
        </is>
      </c>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BR151" t="inlineStr"/>
      <c r="BS151" t="n">
        <v>0</v>
      </c>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c r="DH151" t="inlineStr"/>
      <c r="DI151" t="inlineStr"/>
      <c r="DJ151" t="inlineStr"/>
      <c r="DK151" t="inlineStr"/>
      <c r="DL151" t="inlineStr"/>
    </row>
    <row r="152">
      <c r="A152" t="inlineStr">
        <is>
          <t>Schreibmeister</t>
        </is>
      </c>
      <c r="B152" t="b">
        <v>1</v>
      </c>
      <c r="C152" t="inlineStr"/>
      <c r="D152" t="inlineStr"/>
      <c r="E152" t="n">
        <v>143</v>
      </c>
      <c r="F152">
        <f>HYPERLINK("https://portal.dnb.de/opac.htm?method=simpleSearch&amp;cqlMode=true&amp;query=idn%3D1002761166", "Portal")</f>
        <v/>
      </c>
      <c r="G152" t="inlineStr">
        <is>
          <t>Afl</t>
        </is>
      </c>
      <c r="H152">
        <f>HYPERLINK("https://portal.dnb.de/opac.htm?method=simpleSearch&amp;cqlMode=true&amp;query=idn%3D1002761166", "Portal")</f>
        <v/>
      </c>
      <c r="I152" t="inlineStr">
        <is>
          <t>L-1526-177933682</t>
        </is>
      </c>
      <c r="J152" t="inlineStr">
        <is>
          <t>1002761166</t>
        </is>
      </c>
      <c r="K152" t="inlineStr">
        <is>
          <t>Cb 22</t>
        </is>
      </c>
      <c r="L152" t="inlineStr">
        <is>
          <t>Cb 22</t>
        </is>
      </c>
      <c r="M152" t="inlineStr">
        <is>
          <t>Cb 22</t>
        </is>
      </c>
      <c r="N152" t="inlineStr">
        <is>
          <t>Incipit liber primus [-quartus] elementorum litterarum Ioannis Baptiste de Verinis Florentini</t>
        </is>
      </c>
      <c r="O152" t="inlineStr">
        <is>
          <t xml:space="preserve">3 : </t>
        </is>
      </c>
      <c r="P152" t="inlineStr">
        <is>
          <t>Cb 22</t>
        </is>
      </c>
      <c r="Q152" t="inlineStr"/>
      <c r="R152" t="inlineStr"/>
      <c r="S152" t="inlineStr">
        <is>
          <t>Incipit liber primus [-quartus] elementorum litterarum Ioannis Baptiste de Verinis Florentini</t>
        </is>
      </c>
      <c r="T152" t="inlineStr">
        <is>
          <t xml:space="preserve">3 : </t>
        </is>
      </c>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n">
        <v>0</v>
      </c>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c r="DH152" t="inlineStr"/>
      <c r="DI152" t="inlineStr"/>
      <c r="DJ152" t="inlineStr"/>
      <c r="DK152" t="inlineStr"/>
      <c r="DL152" t="inlineStr"/>
    </row>
    <row r="153">
      <c r="A153" t="inlineStr">
        <is>
          <t>Schreibmeister</t>
        </is>
      </c>
      <c r="B153" t="b">
        <v>1</v>
      </c>
      <c r="C153" t="inlineStr"/>
      <c r="D153" t="inlineStr"/>
      <c r="E153" t="n">
        <v>144</v>
      </c>
      <c r="F153">
        <f>HYPERLINK("https://portal.dnb.de/opac.htm?method=simpleSearch&amp;cqlMode=true&amp;query=idn%3D1002761182", "Portal")</f>
        <v/>
      </c>
      <c r="G153" t="inlineStr">
        <is>
          <t>Afl</t>
        </is>
      </c>
      <c r="H153">
        <f>HYPERLINK("https://portal.dnb.de/opac.htm?method=simpleSearch&amp;cqlMode=true&amp;query=idn%3D1002761182", "Portal")</f>
        <v/>
      </c>
      <c r="I153" t="inlineStr">
        <is>
          <t>L-1526-177933720</t>
        </is>
      </c>
      <c r="J153" t="inlineStr">
        <is>
          <t>1002761182</t>
        </is>
      </c>
      <c r="K153" t="inlineStr">
        <is>
          <t>Cb 22</t>
        </is>
      </c>
      <c r="L153" t="inlineStr">
        <is>
          <t>Cb 22</t>
        </is>
      </c>
      <c r="M153" t="inlineStr">
        <is>
          <t>Cb 22</t>
        </is>
      </c>
      <c r="N153" t="inlineStr">
        <is>
          <t>Incipit liber primus [-quartus] elementorum litterarum Ioannis Baptiste de Verinis Florentini</t>
        </is>
      </c>
      <c r="O153" t="inlineStr">
        <is>
          <t xml:space="preserve">4 : </t>
        </is>
      </c>
      <c r="P153" t="inlineStr">
        <is>
          <t>Cb 22</t>
        </is>
      </c>
      <c r="Q153" t="inlineStr"/>
      <c r="R153" t="inlineStr"/>
      <c r="S153" t="inlineStr">
        <is>
          <t>Incipit liber primus [-quartus] elementorum litterarum Ioannis Baptiste de Verinis Florentini</t>
        </is>
      </c>
      <c r="T153" t="inlineStr">
        <is>
          <t xml:space="preserve">4 : </t>
        </is>
      </c>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n">
        <v>0</v>
      </c>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c r="DH153" t="inlineStr"/>
      <c r="DI153" t="inlineStr"/>
      <c r="DJ153" t="inlineStr"/>
      <c r="DK153" t="inlineStr"/>
      <c r="DL153" t="inlineStr"/>
    </row>
    <row r="154">
      <c r="A154" t="inlineStr">
        <is>
          <t>Schreibmeister</t>
        </is>
      </c>
      <c r="B154" t="b">
        <v>1</v>
      </c>
      <c r="C154" t="inlineStr"/>
      <c r="D154" t="inlineStr"/>
      <c r="E154" t="n">
        <v>145</v>
      </c>
      <c r="F154">
        <f>HYPERLINK("https://portal.dnb.de/opac.htm?method=simpleSearch&amp;cqlMode=true&amp;query=idn%3D99982791X", "Portal")</f>
        <v/>
      </c>
      <c r="G154" t="inlineStr">
        <is>
          <t>Aal</t>
        </is>
      </c>
      <c r="H154">
        <f>HYPERLINK("https://portal.dnb.de/opac.htm?method=simpleSearch&amp;cqlMode=true&amp;query=idn%3D99982791X", "Portal")</f>
        <v/>
      </c>
      <c r="I154" t="inlineStr">
        <is>
          <t>L-1545-169509885</t>
        </is>
      </c>
      <c r="J154" t="inlineStr">
        <is>
          <t>99982791X</t>
        </is>
      </c>
      <c r="K154" t="inlineStr">
        <is>
          <t>Cb 23</t>
        </is>
      </c>
      <c r="L154" t="inlineStr">
        <is>
          <t>Cb 23</t>
        </is>
      </c>
      <c r="M154" t="inlineStr">
        <is>
          <t>Cb 23</t>
        </is>
      </c>
      <c r="N154" t="inlineStr">
        <is>
          <t>Libro di Giovanbattista Palatino, nel qual sʹinsegna a scrivere ogni sorte lettera, antica, et moderna, di qualunque natione, con le sue regole, et mi</t>
        </is>
      </c>
      <c r="O154" t="inlineStr">
        <is>
          <t xml:space="preserve"> : </t>
        </is>
      </c>
      <c r="P154" t="inlineStr">
        <is>
          <t>Cb 23</t>
        </is>
      </c>
      <c r="Q154" t="inlineStr">
        <is>
          <t>3800,00 EUR</t>
        </is>
      </c>
      <c r="R154" t="inlineStr"/>
      <c r="S154" t="inlineStr">
        <is>
          <t>Libro di Giovanbattista Palatino, nel qual sʹinsegna a scrivere ogni sorte lettera, antica, et moderna, di qualunque natione, con le sue regole, et mi</t>
        </is>
      </c>
      <c r="T154" t="inlineStr">
        <is>
          <t xml:space="preserve"> : </t>
        </is>
      </c>
      <c r="U154" t="inlineStr"/>
      <c r="V154" t="inlineStr">
        <is>
          <t>3800,00 EUR</t>
        </is>
      </c>
      <c r="W154" t="inlineStr"/>
      <c r="X154" t="inlineStr">
        <is>
          <t>bis 25 cm</t>
        </is>
      </c>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is>
          <t>Pg (Mak.)</t>
        </is>
      </c>
      <c r="AO154" t="inlineStr"/>
      <c r="AP154" t="inlineStr"/>
      <c r="AQ154" t="inlineStr"/>
      <c r="AR154" t="inlineStr">
        <is>
          <t>h</t>
        </is>
      </c>
      <c r="AS154" t="inlineStr"/>
      <c r="AT154" t="inlineStr"/>
      <c r="AU154" t="inlineStr"/>
      <c r="AV154" t="inlineStr"/>
      <c r="AW154" t="inlineStr"/>
      <c r="AX154" t="inlineStr">
        <is>
          <t>Pa</t>
        </is>
      </c>
      <c r="AY154" t="inlineStr"/>
      <c r="AZ154" t="inlineStr"/>
      <c r="BA154" t="inlineStr"/>
      <c r="BB154" t="inlineStr"/>
      <c r="BC154" t="inlineStr"/>
      <c r="BD154" t="inlineStr"/>
      <c r="BE154" t="inlineStr"/>
      <c r="BF154" t="inlineStr"/>
      <c r="BG154" t="inlineStr">
        <is>
          <t>x</t>
        </is>
      </c>
      <c r="BH154" t="inlineStr"/>
      <c r="BI154" t="inlineStr">
        <is>
          <t>x</t>
        </is>
      </c>
      <c r="BJ154" t="inlineStr"/>
      <c r="BK154" t="inlineStr"/>
      <c r="BL154" t="n">
        <v>110</v>
      </c>
      <c r="BM154" t="inlineStr"/>
      <c r="BN154" t="inlineStr"/>
      <c r="BO154" t="inlineStr"/>
      <c r="BP154" t="inlineStr"/>
      <c r="BQ154" t="inlineStr"/>
      <c r="BR154" t="inlineStr">
        <is>
          <t>n</t>
        </is>
      </c>
      <c r="BS154" t="n">
        <v>0</v>
      </c>
      <c r="BT154" t="inlineStr"/>
      <c r="BU154" t="inlineStr">
        <is>
          <t>Gewebe</t>
        </is>
      </c>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c r="DH154" t="inlineStr"/>
      <c r="DI154" t="inlineStr"/>
      <c r="DJ154" t="inlineStr"/>
      <c r="DK154" t="inlineStr"/>
      <c r="DL154" t="inlineStr"/>
    </row>
    <row r="155">
      <c r="A155" t="inlineStr">
        <is>
          <t>Schreibmeister</t>
        </is>
      </c>
      <c r="B155" t="b">
        <v>1</v>
      </c>
      <c r="C155" t="inlineStr"/>
      <c r="D155" t="inlineStr"/>
      <c r="E155" t="inlineStr"/>
      <c r="F155">
        <f>HYPERLINK("https://portal.dnb.de/opac.htm?method=simpleSearch&amp;cqlMode=true&amp;query=idn%3D100071117X", "Portal")</f>
        <v/>
      </c>
      <c r="G155" t="inlineStr">
        <is>
          <t>Acl</t>
        </is>
      </c>
      <c r="H155">
        <f>HYPERLINK("https://portal.dnb.de/opac.htm?method=simpleSearch&amp;cqlMode=true&amp;query=idn%3D100071117X", "Portal")</f>
        <v/>
      </c>
      <c r="I155" t="inlineStr">
        <is>
          <t>L-9999-783030681</t>
        </is>
      </c>
      <c r="J155" t="inlineStr">
        <is>
          <t>100071117X</t>
        </is>
      </c>
      <c r="K155" t="inlineStr">
        <is>
          <t>Cb 25</t>
        </is>
      </c>
      <c r="L155" t="inlineStr"/>
      <c r="M155" t="inlineStr">
        <is>
          <t>Cb 25</t>
        </is>
      </c>
      <c r="N155" t="inlineStr">
        <is>
          <t xml:space="preserve">Systematische Anweisung zum Schön- und Geschwindschreiben und zur Prüfung deutscher Hand- und Druckschriften : </t>
        </is>
      </c>
      <c r="O155" t="inlineStr">
        <is>
          <t xml:space="preserve"> : </t>
        </is>
      </c>
      <c r="P155" t="inlineStr">
        <is>
          <t>Cb 25</t>
        </is>
      </c>
      <c r="Q155" t="inlineStr"/>
      <c r="R155" t="inlineStr"/>
      <c r="S155" t="inlineStr">
        <is>
          <t xml:space="preserve">Systematische Anweisung zum Schön- und Geschwindschreiben und zur Prüfung deutscher Hand- und Druckschriften : </t>
        </is>
      </c>
      <c r="T155" t="inlineStr">
        <is>
          <t xml:space="preserve"> : </t>
        </is>
      </c>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c r="DH155" t="inlineStr"/>
      <c r="DI155" t="inlineStr"/>
      <c r="DJ155" t="inlineStr"/>
      <c r="DK155" t="inlineStr"/>
      <c r="DL155" t="inlineStr"/>
    </row>
    <row r="156">
      <c r="A156" t="inlineStr">
        <is>
          <t>Schreibmeister</t>
        </is>
      </c>
      <c r="B156" t="b">
        <v>1</v>
      </c>
      <c r="C156" t="inlineStr"/>
      <c r="D156" t="inlineStr"/>
      <c r="E156" t="n">
        <v>146</v>
      </c>
      <c r="F156">
        <f>HYPERLINK("https://portal.dnb.de/opac.htm?method=simpleSearch&amp;cqlMode=true&amp;query=idn%3D1003598099", "Portal")</f>
        <v/>
      </c>
      <c r="G156" t="inlineStr">
        <is>
          <t>Afl</t>
        </is>
      </c>
      <c r="H156">
        <f>HYPERLINK("https://portal.dnb.de/opac.htm?method=simpleSearch&amp;cqlMode=true&amp;query=idn%3D1003598099", "Portal")</f>
        <v/>
      </c>
      <c r="I156" t="inlineStr">
        <is>
          <t>L-1820-171052188</t>
        </is>
      </c>
      <c r="J156" t="inlineStr">
        <is>
          <t>1003598099</t>
        </is>
      </c>
      <c r="K156" t="inlineStr">
        <is>
          <t>Cb 25 - 1, Taf.</t>
        </is>
      </c>
      <c r="L156" t="inlineStr">
        <is>
          <t>(ÜF / 3. OG: R75/8/6)</t>
        </is>
      </c>
      <c r="M156" t="inlineStr">
        <is>
          <t>Cb 25 - 1, Taf.</t>
        </is>
      </c>
      <c r="N156" t="inlineStr">
        <is>
          <t>Systematische Anweisung zum Schön- und Geschwindschreiben und zur Prüfung deutscher Hand- und Druckschriften</t>
        </is>
      </c>
      <c r="O156" t="inlineStr">
        <is>
          <t>Tafelbd., Teil 1 : , Systematische Anweisung zum Schönschreiben</t>
        </is>
      </c>
      <c r="P156" t="inlineStr">
        <is>
          <t>Cb 25 - 1, Taf.</t>
        </is>
      </c>
      <c r="Q156" t="inlineStr"/>
      <c r="R156" t="inlineStr">
        <is>
          <t>liegt bei ÜF, R75/8/6</t>
        </is>
      </c>
      <c r="S156" t="inlineStr">
        <is>
          <t>Systematische Anweisung zum Schön- und Geschwindschreiben und zur Prüfung deutscher Hand- und Druckschriften</t>
        </is>
      </c>
      <c r="T156" t="inlineStr">
        <is>
          <t>Tafelbd., Teil 1 : , Systematische Anweisung zum Schönschreiben</t>
        </is>
      </c>
      <c r="U156" t="inlineStr"/>
      <c r="V156" t="inlineStr"/>
      <c r="W156" t="inlineStr"/>
      <c r="X156" t="inlineStr">
        <is>
          <t>bis 42 cm</t>
        </is>
      </c>
      <c r="Y156" t="inlineStr"/>
      <c r="Z156" t="inlineStr"/>
      <c r="AA156" t="inlineStr"/>
      <c r="AB156" t="inlineStr"/>
      <c r="AC156" t="inlineStr"/>
      <c r="AD156" t="inlineStr"/>
      <c r="AE156" t="inlineStr"/>
      <c r="AF156" t="inlineStr"/>
      <c r="AG156" t="inlineStr"/>
      <c r="AH156" t="inlineStr"/>
      <c r="AI156" t="inlineStr"/>
      <c r="AJ156" t="inlineStr"/>
      <c r="AK156" t="inlineStr">
        <is>
          <t>QF (49x39)</t>
        </is>
      </c>
      <c r="AL156" t="inlineStr"/>
      <c r="AM156" t="inlineStr"/>
      <c r="AN156" t="inlineStr">
        <is>
          <t>L</t>
        </is>
      </c>
      <c r="AO156" t="inlineStr"/>
      <c r="AP156" t="inlineStr"/>
      <c r="AQ156" t="inlineStr">
        <is>
          <t>x</t>
        </is>
      </c>
      <c r="AR156" t="inlineStr">
        <is>
          <t>h/E</t>
        </is>
      </c>
      <c r="AS156" t="inlineStr"/>
      <c r="AT156" t="inlineStr"/>
      <c r="AU156" t="inlineStr"/>
      <c r="AV156" t="inlineStr"/>
      <c r="AW156" t="inlineStr"/>
      <c r="AX156" t="inlineStr">
        <is>
          <t>Pa</t>
        </is>
      </c>
      <c r="AY156" t="inlineStr"/>
      <c r="AZ156" t="inlineStr"/>
      <c r="BA156" t="inlineStr"/>
      <c r="BB156" t="inlineStr"/>
      <c r="BC156" t="inlineStr"/>
      <c r="BD156" t="inlineStr"/>
      <c r="BE156" t="inlineStr"/>
      <c r="BF156" t="inlineStr"/>
      <c r="BG156" t="inlineStr">
        <is>
          <t>x</t>
        </is>
      </c>
      <c r="BH156" t="inlineStr"/>
      <c r="BI156" t="inlineStr"/>
      <c r="BJ156" t="inlineStr"/>
      <c r="BK156" t="inlineStr"/>
      <c r="BL156" t="n">
        <v>110</v>
      </c>
      <c r="BM156" t="inlineStr">
        <is>
          <t xml:space="preserve">
bessere Planlage bei 110° anstelle möglichen 180°</t>
        </is>
      </c>
      <c r="BN156" t="inlineStr"/>
      <c r="BO156" t="inlineStr"/>
      <c r="BP156" t="inlineStr"/>
      <c r="BQ156" t="inlineStr"/>
      <c r="BR156" t="inlineStr">
        <is>
          <t>n</t>
        </is>
      </c>
      <c r="BS156" t="n">
        <v>0</v>
      </c>
      <c r="BT156" t="inlineStr"/>
      <c r="BU156" t="inlineStr">
        <is>
          <t>Gewebe</t>
        </is>
      </c>
      <c r="BV156" t="inlineStr"/>
      <c r="BW156" t="inlineStr"/>
      <c r="BX156" t="inlineStr"/>
      <c r="BY156" t="inlineStr"/>
      <c r="BZ156" t="inlineStr"/>
      <c r="CA156" t="inlineStr">
        <is>
          <t>bessere Planlage bei 110°</t>
        </is>
      </c>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c r="DH156" t="inlineStr"/>
      <c r="DI156" t="inlineStr"/>
      <c r="DJ156" t="inlineStr"/>
      <c r="DK156" t="inlineStr"/>
      <c r="DL156" t="inlineStr"/>
    </row>
    <row r="157">
      <c r="A157" t="inlineStr">
        <is>
          <t>Schreibmeister</t>
        </is>
      </c>
      <c r="B157" t="b">
        <v>1</v>
      </c>
      <c r="C157" t="inlineStr"/>
      <c r="D157" t="inlineStr"/>
      <c r="E157" t="inlineStr"/>
      <c r="F157">
        <f>HYPERLINK("https://portal.dnb.de/opac.htm?method=simpleSearch&amp;cqlMode=true&amp;query=idn%3D1133386563", "Portal")</f>
        <v/>
      </c>
      <c r="G157" t="inlineStr">
        <is>
          <t>Afl</t>
        </is>
      </c>
      <c r="H157">
        <f>HYPERLINK("https://portal.dnb.de/opac.htm?method=simpleSearch&amp;cqlMode=true&amp;query=idn%3D1133386563", "Portal")</f>
        <v/>
      </c>
      <c r="I157" t="inlineStr">
        <is>
          <t>L-1820-40801170X</t>
        </is>
      </c>
      <c r="J157" t="inlineStr">
        <is>
          <t>1133386563</t>
        </is>
      </c>
      <c r="K157" t="inlineStr">
        <is>
          <t>Cb 25 - 1.2</t>
        </is>
      </c>
      <c r="L157" t="inlineStr">
        <is>
          <t>Cb 25 - 1.2</t>
        </is>
      </c>
      <c r="M157" t="inlineStr">
        <is>
          <t>Cb 25 - 1.2</t>
        </is>
      </c>
      <c r="N157" t="inlineStr">
        <is>
          <t>Systematische Anweisung zum Schön- und Geschwindschreiben und zur Prüfung deutscher Hand- und Druckschriften</t>
        </is>
      </c>
      <c r="O157" t="inlineStr">
        <is>
          <t>Teil 1.2. : Kalligraphie</t>
        </is>
      </c>
      <c r="P157" t="inlineStr">
        <is>
          <t>Cb 25 - 1.2</t>
        </is>
      </c>
      <c r="Q157" t="inlineStr"/>
      <c r="R157" t="inlineStr">
        <is>
          <t>war nicht in Excelliste (nur in B. Rüdigers Liste)</t>
        </is>
      </c>
      <c r="S157" t="inlineStr">
        <is>
          <t>Systematische Anweisung zum Schön- und Geschwindschreiben und zur Prüfung deutscher Hand- und Druckschriften</t>
        </is>
      </c>
      <c r="T157" t="inlineStr">
        <is>
          <t>Teil 1.2. : Kalligraphie</t>
        </is>
      </c>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n">
        <v>0</v>
      </c>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c r="DH157" t="inlineStr"/>
      <c r="DI157" t="inlineStr"/>
      <c r="DJ157" t="inlineStr"/>
      <c r="DK157" t="inlineStr"/>
      <c r="DL157" t="inlineStr"/>
    </row>
    <row r="158">
      <c r="A158" t="inlineStr">
        <is>
          <t>Schreibmeister</t>
        </is>
      </c>
      <c r="B158" t="b">
        <v>1</v>
      </c>
      <c r="C158" t="inlineStr"/>
      <c r="D158" t="inlineStr"/>
      <c r="E158" t="inlineStr"/>
      <c r="F158">
        <f>HYPERLINK("https://portal.dnb.de/opac.htm?method=simpleSearch&amp;cqlMode=true&amp;query=idn%3D1000711315", "Portal")</f>
        <v/>
      </c>
      <c r="G158" t="inlineStr">
        <is>
          <t>Afl</t>
        </is>
      </c>
      <c r="H158">
        <f>HYPERLINK("https://portal.dnb.de/opac.htm?method=simpleSearch&amp;cqlMode=true&amp;query=idn%3D1000711315", "Portal")</f>
        <v/>
      </c>
      <c r="I158" t="inlineStr">
        <is>
          <t>L-1806-171052218</t>
        </is>
      </c>
      <c r="J158" t="inlineStr">
        <is>
          <t>1000711315</t>
        </is>
      </c>
      <c r="K158" t="inlineStr">
        <is>
          <t>Cb 25 - 2</t>
        </is>
      </c>
      <c r="L158" t="inlineStr">
        <is>
          <t>Cb 25 - 2</t>
        </is>
      </c>
      <c r="M158" t="inlineStr">
        <is>
          <t>Cb 25 - 2</t>
        </is>
      </c>
      <c r="N158" t="inlineStr">
        <is>
          <t>Systematische Anweisung zum Schön- und Geschwindschreiben und zur Prüfung deutscher Hand- und Druckschriften</t>
        </is>
      </c>
      <c r="O158" t="inlineStr">
        <is>
          <t xml:space="preserve">Teil 2 : </t>
        </is>
      </c>
      <c r="P158" t="inlineStr">
        <is>
          <t>Cb 25 - 2</t>
        </is>
      </c>
      <c r="Q158" t="inlineStr"/>
      <c r="R158" t="inlineStr"/>
      <c r="S158" t="inlineStr">
        <is>
          <t>Systematische Anweisung zum Schön- und Geschwindschreiben und zur Prüfung deutscher Hand- und Druckschriften</t>
        </is>
      </c>
      <c r="T158" t="inlineStr">
        <is>
          <t xml:space="preserve">Teil 2 : </t>
        </is>
      </c>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c r="DH158" t="inlineStr"/>
      <c r="DI158" t="inlineStr"/>
      <c r="DJ158" t="inlineStr"/>
      <c r="DK158" t="inlineStr"/>
      <c r="DL158" t="inlineStr"/>
    </row>
    <row r="159">
      <c r="A159" t="inlineStr">
        <is>
          <t>Schreibmeister</t>
        </is>
      </c>
      <c r="B159" t="b">
        <v>1</v>
      </c>
      <c r="C159" t="inlineStr"/>
      <c r="D159" t="inlineStr"/>
      <c r="E159" t="inlineStr"/>
      <c r="F159">
        <f>HYPERLINK("https://portal.dnb.de/opac.htm?method=simpleSearch&amp;cqlMode=true&amp;query=idn%3D1000711331", "Portal")</f>
        <v/>
      </c>
      <c r="G159" t="inlineStr">
        <is>
          <t>Afl</t>
        </is>
      </c>
      <c r="H159">
        <f>HYPERLINK("https://portal.dnb.de/opac.htm?method=simpleSearch&amp;cqlMode=true&amp;query=idn%3D1000711331", "Portal")</f>
        <v/>
      </c>
      <c r="I159" t="inlineStr">
        <is>
          <t>L-1808-171052234</t>
        </is>
      </c>
      <c r="J159" t="inlineStr">
        <is>
          <t>1000711331</t>
        </is>
      </c>
      <c r="K159" t="inlineStr">
        <is>
          <t>Cb 25 - 3</t>
        </is>
      </c>
      <c r="L159" t="inlineStr">
        <is>
          <t>Cb 25 - 3</t>
        </is>
      </c>
      <c r="M159" t="inlineStr">
        <is>
          <t>Cb 25 - 3</t>
        </is>
      </c>
      <c r="N159" t="inlineStr">
        <is>
          <t>Systematische Anweisung zum Schön- und Geschwindschreiben und zur Prüfung deutscher Hand- und Druckschriften</t>
        </is>
      </c>
      <c r="O159" t="inlineStr">
        <is>
          <t>Teil 3. : Orthographie</t>
        </is>
      </c>
      <c r="P159" t="inlineStr">
        <is>
          <t>Cb 25 - 3</t>
        </is>
      </c>
      <c r="Q159" t="inlineStr"/>
      <c r="R159" t="inlineStr"/>
      <c r="S159" t="inlineStr">
        <is>
          <t>Systematische Anweisung zum Schön- und Geschwindschreiben und zur Prüfung deutscher Hand- und Druckschriften</t>
        </is>
      </c>
      <c r="T159" t="inlineStr">
        <is>
          <t>Teil 3. : Orthographie</t>
        </is>
      </c>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c r="DH159" t="inlineStr"/>
      <c r="DI159" t="inlineStr"/>
      <c r="DJ159" t="inlineStr"/>
      <c r="DK159" t="inlineStr"/>
      <c r="DL159" t="inlineStr"/>
    </row>
    <row r="160">
      <c r="A160" t="inlineStr">
        <is>
          <t>Schreibmeister</t>
        </is>
      </c>
      <c r="B160" t="b">
        <v>1</v>
      </c>
      <c r="C160" t="inlineStr"/>
      <c r="D160" t="inlineStr"/>
      <c r="E160" t="inlineStr"/>
      <c r="F160">
        <f>HYPERLINK("https://portal.dnb.de/opac.htm?method=simpleSearch&amp;cqlMode=true&amp;query=idn%3D1003598323", "Portal")</f>
        <v/>
      </c>
      <c r="G160" t="inlineStr">
        <is>
          <t>Afl</t>
        </is>
      </c>
      <c r="H160">
        <f>HYPERLINK("https://portal.dnb.de/opac.htm?method=simpleSearch&amp;cqlMode=true&amp;query=idn%3D1003598323", "Portal")</f>
        <v/>
      </c>
      <c r="I160" t="inlineStr">
        <is>
          <t>L-1808-171055446</t>
        </is>
      </c>
      <c r="J160" t="inlineStr">
        <is>
          <t>1003598323</t>
        </is>
      </c>
      <c r="K160" t="inlineStr">
        <is>
          <t>Cb 25 - Taf. (angebunden)</t>
        </is>
      </c>
      <c r="L160" t="inlineStr">
        <is>
          <t>(ÜF/3.OG/R75/8/6)</t>
        </is>
      </c>
      <c r="M160" t="inlineStr">
        <is>
          <t>Cb 25 - Taf. (angebunden)</t>
        </is>
      </c>
      <c r="N160" t="inlineStr">
        <is>
          <t>Systematische Anweisung zum Schön- und Geschwindschreiben und zur Prüfung deutscher Hand- und Druckschriften</t>
        </is>
      </c>
      <c r="O160" t="inlineStr">
        <is>
          <t xml:space="preserve">Tafelbd., Teil 2 : , </t>
        </is>
      </c>
      <c r="P160" t="inlineStr">
        <is>
          <t>Cb 25 - Taf. (angebunden)</t>
        </is>
      </c>
      <c r="Q160" t="inlineStr"/>
      <c r="R160" t="inlineStr"/>
      <c r="S160" t="inlineStr">
        <is>
          <t>Systematische Anweisung zum Schön- und Geschwindschreiben und zur Prüfung deutscher Hand- und Druckschriften</t>
        </is>
      </c>
      <c r="T160" t="inlineStr">
        <is>
          <t xml:space="preserve">Tafelbd., Teil 2 : , </t>
        </is>
      </c>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c r="DH160" t="inlineStr"/>
      <c r="DI160" t="inlineStr"/>
      <c r="DJ160" t="inlineStr"/>
      <c r="DK160" t="inlineStr"/>
      <c r="DL160" t="inlineStr"/>
    </row>
    <row r="161">
      <c r="A161" t="inlineStr">
        <is>
          <t>Schreibmeister</t>
        </is>
      </c>
      <c r="B161" t="b">
        <v>1</v>
      </c>
      <c r="C161" t="inlineStr"/>
      <c r="D161" t="inlineStr"/>
      <c r="E161" t="n">
        <v>150</v>
      </c>
      <c r="F161">
        <f>HYPERLINK("https://portal.dnb.de/opac.htm?method=simpleSearch&amp;cqlMode=true&amp;query=idn%3D999886924", "Portal")</f>
        <v/>
      </c>
      <c r="G161" t="inlineStr">
        <is>
          <t>Aal</t>
        </is>
      </c>
      <c r="H161">
        <f>HYPERLINK("https://portal.dnb.de/opac.htm?method=simpleSearch&amp;cqlMode=true&amp;query=idn%3D999886924", "Portal")</f>
        <v/>
      </c>
      <c r="I161" t="inlineStr">
        <is>
          <t>L-1821-169618404</t>
        </is>
      </c>
      <c r="J161" t="inlineStr">
        <is>
          <t>999886924</t>
        </is>
      </c>
      <c r="K161" t="inlineStr">
        <is>
          <t>Cb 26</t>
        </is>
      </c>
      <c r="L161" t="inlineStr">
        <is>
          <t>Cb 26</t>
        </is>
      </c>
      <c r="M161" t="inlineStr">
        <is>
          <t>Cb 26</t>
        </is>
      </c>
      <c r="N161" t="inlineStr">
        <is>
          <t>Monogrammoplocia : in ogni possibile aspetto alfabetico con in fine 2 tav. di scudi civici e bellici</t>
        </is>
      </c>
      <c r="O161" t="inlineStr">
        <is>
          <t xml:space="preserve"> : </t>
        </is>
      </c>
      <c r="P161" t="inlineStr">
        <is>
          <t>Cb 26</t>
        </is>
      </c>
      <c r="Q161" t="inlineStr"/>
      <c r="R161" t="inlineStr"/>
      <c r="S161" t="inlineStr">
        <is>
          <t>Monogrammoplocia : in ogni possibile aspetto alfabetico con in fine 2 tav. di scudi civici e bellici</t>
        </is>
      </c>
      <c r="T161" t="inlineStr">
        <is>
          <t xml:space="preserve"> : </t>
        </is>
      </c>
      <c r="U161" t="inlineStr"/>
      <c r="V161" t="inlineStr"/>
      <c r="W161" t="inlineStr"/>
      <c r="X161" t="inlineStr">
        <is>
          <t>&gt; 42 cm</t>
        </is>
      </c>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is>
          <t>HL</t>
        </is>
      </c>
      <c r="AO161" t="inlineStr"/>
      <c r="AP161" t="inlineStr"/>
      <c r="AQ161" t="inlineStr"/>
      <c r="AR161" t="inlineStr">
        <is>
          <t>f/V</t>
        </is>
      </c>
      <c r="AS161" t="inlineStr"/>
      <c r="AT161" t="inlineStr"/>
      <c r="AU161" t="inlineStr"/>
      <c r="AV161" t="inlineStr"/>
      <c r="AW161" t="inlineStr"/>
      <c r="AX161" t="inlineStr">
        <is>
          <t>Pa</t>
        </is>
      </c>
      <c r="AY161" t="inlineStr"/>
      <c r="AZ161" t="inlineStr"/>
      <c r="BA161" t="inlineStr"/>
      <c r="BB161" t="inlineStr"/>
      <c r="BC161" t="inlineStr"/>
      <c r="BD161" t="inlineStr"/>
      <c r="BE161" t="inlineStr"/>
      <c r="BF161" t="inlineStr"/>
      <c r="BG161" t="inlineStr">
        <is>
          <t>x</t>
        </is>
      </c>
      <c r="BH161" t="inlineStr"/>
      <c r="BI161" t="inlineStr">
        <is>
          <t>x</t>
        </is>
      </c>
      <c r="BJ161" t="inlineStr"/>
      <c r="BK161" t="inlineStr"/>
      <c r="BL161" t="n">
        <v>110</v>
      </c>
      <c r="BM161" t="inlineStr"/>
      <c r="BN161" t="inlineStr"/>
      <c r="BO161" t="inlineStr"/>
      <c r="BP161" t="inlineStr"/>
      <c r="BQ161" t="inlineStr"/>
      <c r="BR161" t="inlineStr">
        <is>
          <t>n</t>
        </is>
      </c>
      <c r="BS161" t="n">
        <v>0</v>
      </c>
      <c r="BT161" t="inlineStr"/>
      <c r="BU161" t="inlineStr"/>
      <c r="BV161" t="inlineStr"/>
      <c r="BW161" t="inlineStr"/>
      <c r="BX161" t="inlineStr"/>
      <c r="BY161" t="inlineStr"/>
      <c r="BZ161" t="inlineStr"/>
      <c r="CA161" t="inlineStr">
        <is>
          <t>Schaden stabil</t>
        </is>
      </c>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c r="DH161" t="inlineStr"/>
      <c r="DI161" t="inlineStr"/>
      <c r="DJ161" t="inlineStr"/>
      <c r="DK161" t="inlineStr"/>
      <c r="DL161" t="inlineStr"/>
    </row>
    <row r="162">
      <c r="A162" t="inlineStr">
        <is>
          <t>Schreibmeister</t>
        </is>
      </c>
      <c r="B162" t="b">
        <v>1</v>
      </c>
      <c r="C162" t="inlineStr"/>
      <c r="D162" t="inlineStr"/>
      <c r="E162" t="n">
        <v>151</v>
      </c>
      <c r="F162">
        <f>HYPERLINK("https://portal.dnb.de/opac.htm?method=simpleSearch&amp;cqlMode=true&amp;query=idn%3D994457391", "Portal")</f>
        <v/>
      </c>
      <c r="G162" t="inlineStr">
        <is>
          <t>Aal</t>
        </is>
      </c>
      <c r="H162">
        <f>HYPERLINK("https://portal.dnb.de/opac.htm?method=simpleSearch&amp;cqlMode=true&amp;query=idn%3D994457391", "Portal")</f>
        <v/>
      </c>
      <c r="I162" t="inlineStr">
        <is>
          <t>L-1526-155961667</t>
        </is>
      </c>
      <c r="J162" t="inlineStr">
        <is>
          <t>994457391</t>
        </is>
      </c>
      <c r="K162" t="inlineStr">
        <is>
          <t>Cb 27</t>
        </is>
      </c>
      <c r="L162" t="inlineStr">
        <is>
          <t>Cb 27</t>
        </is>
      </c>
      <c r="M162" t="inlineStr">
        <is>
          <t>Cb 27</t>
        </is>
      </c>
      <c r="N162" t="inlineStr">
        <is>
          <t>Il @modo d'imparare di scrivere lettera mercantescha et ectiam à far la inchoistro, et cognoscer la carta : Con el modo de temperare la penna</t>
        </is>
      </c>
      <c r="O162" t="inlineStr">
        <is>
          <t xml:space="preserve"> : </t>
        </is>
      </c>
      <c r="P162" t="inlineStr">
        <is>
          <t>Cb 27</t>
        </is>
      </c>
      <c r="Q162" t="inlineStr"/>
      <c r="R162" t="inlineStr">
        <is>
          <t>nicht bei GF in R 45 und nicht bei NF</t>
        </is>
      </c>
      <c r="S162" t="inlineStr">
        <is>
          <t>Il @modo d'imparare di scrivere lettera mercantescha et ectiam à far la inchoistro, et cognoscer la carta : Con el modo de temperare la penna</t>
        </is>
      </c>
      <c r="T162" t="inlineStr">
        <is>
          <t xml:space="preserve"> : </t>
        </is>
      </c>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BR162" t="inlineStr"/>
      <c r="BS162" t="n">
        <v>0</v>
      </c>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c r="DH162" t="inlineStr"/>
      <c r="DI162" t="inlineStr"/>
      <c r="DJ162" t="inlineStr"/>
      <c r="DK162" t="inlineStr"/>
      <c r="DL162" t="inlineStr"/>
    </row>
    <row r="163">
      <c r="A163" t="inlineStr">
        <is>
          <t>Schreibmeister</t>
        </is>
      </c>
      <c r="B163" t="b">
        <v>1</v>
      </c>
      <c r="C163" t="inlineStr"/>
      <c r="D163" t="inlineStr"/>
      <c r="E163" t="inlineStr"/>
      <c r="F163">
        <f>HYPERLINK("https://portal.dnb.de/opac.htm?method=simpleSearch&amp;cqlMode=true&amp;query=idn%3D997496797", "Portal")</f>
        <v/>
      </c>
      <c r="G163" t="inlineStr">
        <is>
          <t>Afl</t>
        </is>
      </c>
      <c r="H163">
        <f>HYPERLINK("https://portal.dnb.de/opac.htm?method=simpleSearch&amp;cqlMode=true&amp;query=idn%3D997496797", "Portal")</f>
        <v/>
      </c>
      <c r="I163" t="inlineStr">
        <is>
          <t>L-1800-164033521</t>
        </is>
      </c>
      <c r="J163" t="inlineStr">
        <is>
          <t>997496797</t>
        </is>
      </c>
      <c r="K163" t="inlineStr">
        <is>
          <t>Cb 55</t>
        </is>
      </c>
      <c r="L163" t="inlineStr">
        <is>
          <t>Cb 55</t>
        </is>
      </c>
      <c r="M163" t="inlineStr">
        <is>
          <t>Cb 55</t>
        </is>
      </c>
      <c r="N163" t="inlineStr">
        <is>
          <t>Vorzeichnungen in Buchstaben und Zügen für Schriftstecher, Mahler, Graveurs, Pitschierstecher, Steinmetzen, Schriftschneider ...</t>
        </is>
      </c>
      <c r="O163" t="inlineStr">
        <is>
          <t xml:space="preserve">1 : </t>
        </is>
      </c>
      <c r="P163" t="inlineStr">
        <is>
          <t>Cb 55</t>
        </is>
      </c>
      <c r="Q163" t="inlineStr"/>
      <c r="R163" t="inlineStr"/>
      <c r="S163" t="inlineStr">
        <is>
          <t>Vorzeichnungen in Buchstaben und Zügen für Schriftstecher, Mahler, Graveurs, Pitschierstecher, Steinmetzen, Schriftschneider ...</t>
        </is>
      </c>
      <c r="T163" t="inlineStr">
        <is>
          <t xml:space="preserve">1 : </t>
        </is>
      </c>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c r="DH163" t="inlineStr"/>
      <c r="DI163" t="inlineStr"/>
      <c r="DJ163" t="inlineStr"/>
      <c r="DK163" t="inlineStr"/>
      <c r="DL163" t="inlineStr"/>
    </row>
    <row r="164">
      <c r="A164" t="inlineStr">
        <is>
          <t>Schreibmeister</t>
        </is>
      </c>
      <c r="B164" t="b">
        <v>1</v>
      </c>
      <c r="C164" t="inlineStr"/>
      <c r="D164" t="inlineStr"/>
      <c r="E164" t="inlineStr"/>
      <c r="F164">
        <f>HYPERLINK("https://portal.dnb.de/opac.htm?method=simpleSearch&amp;cqlMode=true&amp;query=idn%3D997496827", "Portal")</f>
        <v/>
      </c>
      <c r="G164" t="inlineStr">
        <is>
          <t>Afl</t>
        </is>
      </c>
      <c r="H164">
        <f>HYPERLINK("https://portal.dnb.de/opac.htm?method=simpleSearch&amp;cqlMode=true&amp;query=idn%3D997496827", "Portal")</f>
        <v/>
      </c>
      <c r="I164" t="inlineStr">
        <is>
          <t>L-1800-164033556</t>
        </is>
      </c>
      <c r="J164" t="inlineStr">
        <is>
          <t>997496827</t>
        </is>
      </c>
      <c r="K164" t="inlineStr">
        <is>
          <t>Cb 55</t>
        </is>
      </c>
      <c r="L164" t="inlineStr">
        <is>
          <t>Cb 55</t>
        </is>
      </c>
      <c r="M164" t="inlineStr">
        <is>
          <t>Cb 55</t>
        </is>
      </c>
      <c r="N164" t="inlineStr">
        <is>
          <t>Vorzeichnungen in Buchstaben und Zügen für Schriftstecher, Mahler, Graveurs, Pitschierstecher, Steinmetzen, Schriftschneider ...</t>
        </is>
      </c>
      <c r="O164" t="inlineStr">
        <is>
          <t xml:space="preserve">2 : </t>
        </is>
      </c>
      <c r="P164" t="inlineStr">
        <is>
          <t>Cb 55</t>
        </is>
      </c>
      <c r="Q164" t="inlineStr"/>
      <c r="R164" t="inlineStr"/>
      <c r="S164" t="inlineStr">
        <is>
          <t>Vorzeichnungen in Buchstaben und Zügen für Schriftstecher, Mahler, Graveurs, Pitschierstecher, Steinmetzen, Schriftschneider ...</t>
        </is>
      </c>
      <c r="T164" t="inlineStr">
        <is>
          <t xml:space="preserve">2 : </t>
        </is>
      </c>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c r="DH164" t="inlineStr"/>
      <c r="DI164" t="inlineStr"/>
      <c r="DJ164" t="inlineStr"/>
      <c r="DK164" t="inlineStr"/>
      <c r="DL164" t="inlineStr"/>
    </row>
    <row r="165">
      <c r="A165" t="inlineStr">
        <is>
          <t>Schreibmeister</t>
        </is>
      </c>
      <c r="B165" t="b">
        <v>1</v>
      </c>
      <c r="C165" t="inlineStr"/>
      <c r="D165" t="inlineStr"/>
      <c r="E165" t="n">
        <v>154</v>
      </c>
      <c r="F165">
        <f>HYPERLINK("https://portal.dnb.de/opac.htm?method=simpleSearch&amp;cqlMode=true&amp;query=idn%3D997213175", "Portal")</f>
        <v/>
      </c>
      <c r="G165" t="inlineStr">
        <is>
          <t>Aal</t>
        </is>
      </c>
      <c r="H165">
        <f>HYPERLINK("https://portal.dnb.de/opac.htm?method=simpleSearch&amp;cqlMode=true&amp;query=idn%3D997213175", "Portal")</f>
        <v/>
      </c>
      <c r="I165" t="inlineStr">
        <is>
          <t>L-1820-163500304</t>
        </is>
      </c>
      <c r="J165" t="inlineStr">
        <is>
          <t>997213175</t>
        </is>
      </c>
      <c r="K165" t="inlineStr">
        <is>
          <t>Cb 110</t>
        </is>
      </c>
      <c r="L165" t="inlineStr">
        <is>
          <t>Cb 110</t>
        </is>
      </c>
      <c r="M165" t="inlineStr">
        <is>
          <t>Cb 110</t>
        </is>
      </c>
      <c r="N165" t="inlineStr">
        <is>
          <t xml:space="preserve">Unterricht in der Schoenschreibekunst der Deutsch, u. Latein Current, Kanzley, u. Fractur Schrift : </t>
        </is>
      </c>
      <c r="O165" t="inlineStr">
        <is>
          <t xml:space="preserve"> : </t>
        </is>
      </c>
      <c r="P165" t="inlineStr">
        <is>
          <t>Cb 110</t>
        </is>
      </c>
      <c r="Q165" t="inlineStr"/>
      <c r="R165" t="inlineStr"/>
      <c r="S165" t="inlineStr">
        <is>
          <t xml:space="preserve">Unterricht in der Schoenschreibekunst der Deutsch, u. Latein Current, Kanzley, u. Fractur Schrift : </t>
        </is>
      </c>
      <c r="T165" t="inlineStr">
        <is>
          <t xml:space="preserve"> : </t>
        </is>
      </c>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BR165" t="inlineStr"/>
      <c r="BS165" t="n">
        <v>0</v>
      </c>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c r="DH165" t="inlineStr"/>
      <c r="DI165" t="inlineStr"/>
      <c r="DJ165" t="inlineStr"/>
      <c r="DK165" t="inlineStr"/>
      <c r="DL165" t="inlineStr"/>
    </row>
    <row r="166">
      <c r="A166" t="inlineStr">
        <is>
          <t>Schreibmeister</t>
        </is>
      </c>
      <c r="B166" t="b">
        <v>1</v>
      </c>
      <c r="C166" t="inlineStr"/>
      <c r="D166" t="inlineStr"/>
      <c r="E166" t="n">
        <v>155</v>
      </c>
      <c r="F166">
        <f>HYPERLINK("https://portal.dnb.de/opac.htm?method=simpleSearch&amp;cqlMode=true&amp;query=idn%3D1000363562", "Portal")</f>
        <v/>
      </c>
      <c r="G166" t="inlineStr">
        <is>
          <t>Aal</t>
        </is>
      </c>
      <c r="H166">
        <f>HYPERLINK("https://portal.dnb.de/opac.htm?method=simpleSearch&amp;cqlMode=true&amp;query=idn%3D1000363562", "Portal")</f>
        <v/>
      </c>
      <c r="I166" t="inlineStr">
        <is>
          <t>L-1829-170515710</t>
        </is>
      </c>
      <c r="J166" t="inlineStr">
        <is>
          <t>1000363562</t>
        </is>
      </c>
      <c r="K166" t="inlineStr">
        <is>
          <t>Cb 116</t>
        </is>
      </c>
      <c r="L166" t="inlineStr">
        <is>
          <t>Cb 116</t>
        </is>
      </c>
      <c r="M166" t="inlineStr">
        <is>
          <t>Cb 116</t>
        </is>
      </c>
      <c r="N166" t="inlineStr">
        <is>
          <t>Le @régulateur de lʹécriture, ou la manière dʹécrire correctement sans étude et sans maître, en une seule lec̜on, suivi dʹun autre procédé calligraphi</t>
        </is>
      </c>
      <c r="O166" t="inlineStr">
        <is>
          <t xml:space="preserve"> : </t>
        </is>
      </c>
      <c r="P166" t="inlineStr">
        <is>
          <t>Cb 116</t>
        </is>
      </c>
      <c r="Q166" t="inlineStr"/>
      <c r="R166" t="inlineStr"/>
      <c r="S166" t="inlineStr">
        <is>
          <t>Le @régulateur de lʹécriture, ou la manière dʹécrire correctement sans étude et sans maître, en une seule lec̜on, suivi dʹun autre procédé calligraphi</t>
        </is>
      </c>
      <c r="T166" t="inlineStr">
        <is>
          <t xml:space="preserve"> : </t>
        </is>
      </c>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BR166" t="inlineStr"/>
      <c r="BS166" t="n">
        <v>0</v>
      </c>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c r="DH166" t="inlineStr"/>
      <c r="DI166" t="inlineStr"/>
      <c r="DJ166" t="inlineStr"/>
      <c r="DK166" t="inlineStr"/>
      <c r="DL166" t="inlineStr"/>
    </row>
    <row r="167">
      <c r="A167" t="inlineStr">
        <is>
          <t>Schreibmeister</t>
        </is>
      </c>
      <c r="B167" t="b">
        <v>1</v>
      </c>
      <c r="C167" t="inlineStr"/>
      <c r="D167" t="inlineStr"/>
      <c r="E167" t="n">
        <v>156</v>
      </c>
      <c r="F167">
        <f>HYPERLINK("https://portal.dnb.de/opac.htm?method=simpleSearch&amp;cqlMode=true&amp;query=idn%3D997870451", "Portal")</f>
        <v/>
      </c>
      <c r="G167" t="inlineStr">
        <is>
          <t>Aal</t>
        </is>
      </c>
      <c r="H167">
        <f>HYPERLINK("https://portal.dnb.de/opac.htm?method=simpleSearch&amp;cqlMode=true&amp;query=idn%3D997870451", "Portal")</f>
        <v/>
      </c>
      <c r="I167" t="inlineStr">
        <is>
          <t>L-1788-165136294</t>
        </is>
      </c>
      <c r="J167" t="inlineStr">
        <is>
          <t>997870451</t>
        </is>
      </c>
      <c r="K167" t="inlineStr">
        <is>
          <t>Cb 127</t>
        </is>
      </c>
      <c r="L167" t="inlineStr">
        <is>
          <t>Cb 127</t>
        </is>
      </c>
      <c r="M167" t="inlineStr">
        <is>
          <t>Cb 127</t>
        </is>
      </c>
      <c r="N167" t="inlineStr">
        <is>
          <t>Die @teutsche Kurrent-Kanzlei- und Fraktur-Schrift : In e. theoret.-prakt. Anweisung zum Gebrauch d. Schul- und Privat-Unterrichts</t>
        </is>
      </c>
      <c r="O167" t="inlineStr">
        <is>
          <t xml:space="preserve"> : </t>
        </is>
      </c>
      <c r="P167" t="inlineStr">
        <is>
          <t>Cb 127</t>
        </is>
      </c>
      <c r="Q167" t="inlineStr"/>
      <c r="R167" t="inlineStr"/>
      <c r="S167" t="inlineStr">
        <is>
          <t>Die @teutsche Kurrent-Kanzlei- und Fraktur-Schrift : In e. theoret.-prakt. Anweisung zum Gebrauch d. Schul- und Privat-Unterrichts</t>
        </is>
      </c>
      <c r="T167" t="inlineStr">
        <is>
          <t xml:space="preserve"> : </t>
        </is>
      </c>
      <c r="U167" t="inlineStr"/>
      <c r="V167" t="inlineStr"/>
      <c r="W167" t="inlineStr"/>
      <c r="X167" t="inlineStr">
        <is>
          <t>bis 25 cm</t>
        </is>
      </c>
      <c r="Y167" t="inlineStr"/>
      <c r="Z167" t="inlineStr"/>
      <c r="AA167" t="inlineStr"/>
      <c r="AB167" t="inlineStr"/>
      <c r="AC167" t="inlineStr"/>
      <c r="AD167" t="inlineStr"/>
      <c r="AE167" t="inlineStr"/>
      <c r="AF167" t="inlineStr"/>
      <c r="AG167" t="inlineStr"/>
      <c r="AH167" t="inlineStr"/>
      <c r="AI167" t="inlineStr"/>
      <c r="AJ167" t="inlineStr"/>
      <c r="AK167" t="inlineStr">
        <is>
          <t>QF (33x21)</t>
        </is>
      </c>
      <c r="AL167" t="inlineStr"/>
      <c r="AM167" t="inlineStr"/>
      <c r="AN167" t="inlineStr">
        <is>
          <t>Pa</t>
        </is>
      </c>
      <c r="AO167" t="inlineStr"/>
      <c r="AP167" t="inlineStr"/>
      <c r="AQ167" t="inlineStr"/>
      <c r="AR167" t="inlineStr">
        <is>
          <t>h/E</t>
        </is>
      </c>
      <c r="AS167" t="inlineStr"/>
      <c r="AT167" t="inlineStr"/>
      <c r="AU167" t="inlineStr"/>
      <c r="AV167" t="inlineStr"/>
      <c r="AW167" t="inlineStr"/>
      <c r="AX167" t="inlineStr">
        <is>
          <t>Pa</t>
        </is>
      </c>
      <c r="AY167" t="inlineStr"/>
      <c r="AZ167" t="inlineStr"/>
      <c r="BA167" t="inlineStr"/>
      <c r="BB167" t="inlineStr"/>
      <c r="BC167" t="inlineStr"/>
      <c r="BD167" t="inlineStr"/>
      <c r="BE167" t="inlineStr"/>
      <c r="BF167" t="inlineStr"/>
      <c r="BG167" t="inlineStr">
        <is>
          <t>x</t>
        </is>
      </c>
      <c r="BH167" t="inlineStr"/>
      <c r="BI167" t="inlineStr">
        <is>
          <t>x</t>
        </is>
      </c>
      <c r="BJ167" t="inlineStr"/>
      <c r="BK167" t="inlineStr"/>
      <c r="BL167" t="n">
        <v>110</v>
      </c>
      <c r="BM167" t="inlineStr"/>
      <c r="BN167" t="inlineStr"/>
      <c r="BO167" t="inlineStr"/>
      <c r="BP167" t="inlineStr"/>
      <c r="BQ167" t="inlineStr"/>
      <c r="BR167" t="inlineStr">
        <is>
          <t>n</t>
        </is>
      </c>
      <c r="BS167" t="n">
        <v>0</v>
      </c>
      <c r="BT167" t="inlineStr"/>
      <c r="BU167" t="inlineStr"/>
      <c r="BV167" t="inlineStr"/>
      <c r="BW167" t="inlineStr"/>
      <c r="BX167" t="inlineStr"/>
      <c r="BY167" t="inlineStr">
        <is>
          <t>x sauer</t>
        </is>
      </c>
      <c r="BZ167" t="inlineStr">
        <is>
          <t>x</t>
        </is>
      </c>
      <c r="CA167" t="inlineStr"/>
      <c r="CB167" t="inlineStr"/>
      <c r="CC167" t="inlineStr"/>
      <c r="CD167" t="inlineStr">
        <is>
          <t>Box (Deckel verknickt)</t>
        </is>
      </c>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c r="DH167" t="inlineStr"/>
      <c r="DI167" t="inlineStr"/>
      <c r="DJ167" t="inlineStr"/>
      <c r="DK167" t="inlineStr"/>
      <c r="DL167" t="inlineStr"/>
    </row>
    <row r="168">
      <c r="A168" t="inlineStr">
        <is>
          <t>Schreibmeister</t>
        </is>
      </c>
      <c r="B168" t="b">
        <v>1</v>
      </c>
      <c r="C168" t="inlineStr"/>
      <c r="D168" t="inlineStr"/>
      <c r="E168" t="n">
        <v>157</v>
      </c>
      <c r="F168">
        <f>HYPERLINK("https://portal.dnb.de/opac.htm?method=simpleSearch&amp;cqlMode=true&amp;query=idn%3D994739397", "Portal")</f>
        <v/>
      </c>
      <c r="G168" t="inlineStr">
        <is>
          <t>Aal</t>
        </is>
      </c>
      <c r="H168">
        <f>HYPERLINK("https://portal.dnb.de/opac.htm?method=simpleSearch&amp;cqlMode=true&amp;query=idn%3D994739397", "Portal")</f>
        <v/>
      </c>
      <c r="I168" t="inlineStr">
        <is>
          <t>L-1776-157763420</t>
        </is>
      </c>
      <c r="J168" t="inlineStr">
        <is>
          <t>994739397</t>
        </is>
      </c>
      <c r="K168" t="inlineStr">
        <is>
          <t>Cb 154</t>
        </is>
      </c>
      <c r="L168" t="inlineStr">
        <is>
          <t>Cb 154</t>
        </is>
      </c>
      <c r="M168" t="inlineStr">
        <is>
          <t>Cb 154</t>
        </is>
      </c>
      <c r="N168" t="inlineStr">
        <is>
          <t>Arte nueva de escribir, inventada por Pedro Diaz Morante, e ilustrada con muestras nuevas, y varios discursos conducentes al verdadero magiterio de pr</t>
        </is>
      </c>
      <c r="O168" t="inlineStr">
        <is>
          <t xml:space="preserve"> : </t>
        </is>
      </c>
      <c r="P168" t="inlineStr">
        <is>
          <t>Cb 154</t>
        </is>
      </c>
      <c r="Q168" t="inlineStr">
        <is>
          <t>3000,00 EUR</t>
        </is>
      </c>
      <c r="R168" t="inlineStr"/>
      <c r="S168" t="inlineStr">
        <is>
          <t>Arte nueva de escribir, inventada por Pedro Diaz Morante, e ilustrada con muestras nuevas, y varios discursos conducentes al verdadero magiterio de pr</t>
        </is>
      </c>
      <c r="T168" t="inlineStr">
        <is>
          <t xml:space="preserve"> : </t>
        </is>
      </c>
      <c r="U168" t="inlineStr"/>
      <c r="V168" t="inlineStr">
        <is>
          <t>3000,00 EUR</t>
        </is>
      </c>
      <c r="W168" t="inlineStr"/>
      <c r="X168" t="inlineStr">
        <is>
          <t>bis 35 cm</t>
        </is>
      </c>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is>
          <t>L</t>
        </is>
      </c>
      <c r="AO168" t="inlineStr"/>
      <c r="AP168" t="inlineStr"/>
      <c r="AQ168" t="inlineStr"/>
      <c r="AR168" t="inlineStr">
        <is>
          <t>h/E</t>
        </is>
      </c>
      <c r="AS168" t="inlineStr"/>
      <c r="AT168" t="inlineStr"/>
      <c r="AU168" t="inlineStr"/>
      <c r="AV168" t="inlineStr"/>
      <c r="AW168" t="inlineStr"/>
      <c r="AX168" t="inlineStr">
        <is>
          <t>Pa</t>
        </is>
      </c>
      <c r="AY168" t="inlineStr"/>
      <c r="AZ168" t="inlineStr"/>
      <c r="BA168" t="inlineStr"/>
      <c r="BB168" t="inlineStr"/>
      <c r="BC168" t="inlineStr"/>
      <c r="BD168" t="inlineStr"/>
      <c r="BE168" t="inlineStr"/>
      <c r="BF168" t="inlineStr"/>
      <c r="BG168" t="inlineStr"/>
      <c r="BH168" t="inlineStr"/>
      <c r="BI168" t="inlineStr"/>
      <c r="BJ168" t="inlineStr"/>
      <c r="BK168" t="inlineStr"/>
      <c r="BL168" t="n">
        <v>60</v>
      </c>
      <c r="BM168" t="inlineStr"/>
      <c r="BN168" t="inlineStr"/>
      <c r="BO168" t="inlineStr"/>
      <c r="BP168" t="inlineStr"/>
      <c r="BQ168" t="inlineStr">
        <is>
          <t>x</t>
        </is>
      </c>
      <c r="BR168" t="inlineStr">
        <is>
          <t>n</t>
        </is>
      </c>
      <c r="BS168" t="n">
        <v>0</v>
      </c>
      <c r="BT168" t="inlineStr"/>
      <c r="BU168" t="inlineStr"/>
      <c r="BV168" t="inlineStr"/>
      <c r="BW168" t="inlineStr"/>
      <c r="BX168" t="inlineStr"/>
      <c r="BY168" t="inlineStr">
        <is>
          <t>x sauer</t>
        </is>
      </c>
      <c r="BZ168" t="inlineStr">
        <is>
          <t>x</t>
        </is>
      </c>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c r="DH168" t="inlineStr"/>
      <c r="DI168" t="inlineStr"/>
      <c r="DJ168" t="inlineStr"/>
      <c r="DK168" t="inlineStr"/>
      <c r="DL168" t="inlineStr"/>
    </row>
    <row r="169">
      <c r="A169" t="inlineStr">
        <is>
          <t>Schreibmeister</t>
        </is>
      </c>
      <c r="B169" t="b">
        <v>1</v>
      </c>
      <c r="C169" t="inlineStr"/>
      <c r="D169" t="inlineStr"/>
      <c r="E169" t="n">
        <v>193</v>
      </c>
      <c r="F169">
        <f>HYPERLINK("https://portal.dnb.de/opac.htm?method=simpleSearch&amp;cqlMode=true&amp;query=idn%3D99831000X", "Portal")</f>
        <v/>
      </c>
      <c r="G169" t="inlineStr">
        <is>
          <t>Hal</t>
        </is>
      </c>
      <c r="H169">
        <f>HYPERLINK("https://portal.dnb.de/opac.htm?method=simpleSearch&amp;cqlMode=true&amp;query=idn%3D99831000X", "Portal")</f>
        <v/>
      </c>
      <c r="I169" t="inlineStr">
        <is>
          <t>L-1816-165786809</t>
        </is>
      </c>
      <c r="J169" t="inlineStr">
        <is>
          <t>99831000X</t>
        </is>
      </c>
      <c r="K169" t="inlineStr">
        <is>
          <t>Cb 174</t>
        </is>
      </c>
      <c r="L169" t="inlineStr">
        <is>
          <t>Cb 174</t>
        </is>
      </c>
      <c r="M169" t="inlineStr">
        <is>
          <t>Cb 174</t>
        </is>
      </c>
      <c r="N169" t="inlineStr">
        <is>
          <t>Krone, Johann Gottfried, in Klein-Lißa den 24. December 1816 : [Schreibmeisterbuch]</t>
        </is>
      </c>
      <c r="O169" t="inlineStr">
        <is>
          <t xml:space="preserve"> : </t>
        </is>
      </c>
      <c r="P169" t="inlineStr">
        <is>
          <t>Cb 174</t>
        </is>
      </c>
      <c r="Q169" t="inlineStr"/>
      <c r="R169" t="inlineStr"/>
      <c r="S169" t="inlineStr">
        <is>
          <t>Krone, Johann Gottfried, in Klein-Lißa den 24. December 1816 : [Schreibmeisterbuch]</t>
        </is>
      </c>
      <c r="T169" t="inlineStr">
        <is>
          <t xml:space="preserve"> : </t>
        </is>
      </c>
      <c r="U169" t="inlineStr"/>
      <c r="V169" t="inlineStr"/>
      <c r="W169" t="inlineStr"/>
      <c r="X169" t="inlineStr">
        <is>
          <t>bis 35 cm</t>
        </is>
      </c>
      <c r="Y169" t="inlineStr"/>
      <c r="Z169" t="inlineStr"/>
      <c r="AA169" t="inlineStr"/>
      <c r="AB169" t="inlineStr"/>
      <c r="AC169" t="inlineStr"/>
      <c r="AD169" t="inlineStr"/>
      <c r="AE169" t="inlineStr"/>
      <c r="AF169" t="inlineStr"/>
      <c r="AG169" t="inlineStr"/>
      <c r="AH169" t="inlineStr"/>
      <c r="AI169" t="inlineStr"/>
      <c r="AJ169" t="inlineStr"/>
      <c r="AK169" t="inlineStr">
        <is>
          <t>QF (42x34)</t>
        </is>
      </c>
      <c r="AL169" t="inlineStr"/>
      <c r="AM169" t="inlineStr"/>
      <c r="AN169" t="inlineStr">
        <is>
          <t>HG</t>
        </is>
      </c>
      <c r="AO169" t="inlineStr"/>
      <c r="AP169" t="inlineStr"/>
      <c r="AQ169" t="inlineStr"/>
      <c r="AR169" t="inlineStr">
        <is>
          <t>f</t>
        </is>
      </c>
      <c r="AS169" t="inlineStr"/>
      <c r="AT169" t="inlineStr"/>
      <c r="AU169" t="inlineStr"/>
      <c r="AV169" t="inlineStr"/>
      <c r="AW169" t="inlineStr"/>
      <c r="AX169" t="inlineStr">
        <is>
          <t>Pa</t>
        </is>
      </c>
      <c r="AY169" t="inlineStr"/>
      <c r="AZ169" t="inlineStr"/>
      <c r="BA169" t="inlineStr"/>
      <c r="BB169" t="inlineStr"/>
      <c r="BC169" t="inlineStr"/>
      <c r="BD169" t="inlineStr"/>
      <c r="BE169" t="inlineStr"/>
      <c r="BF169" t="inlineStr"/>
      <c r="BG169" t="inlineStr"/>
      <c r="BH169" t="inlineStr">
        <is>
          <t>B</t>
        </is>
      </c>
      <c r="BI169" t="inlineStr">
        <is>
          <t>x</t>
        </is>
      </c>
      <c r="BJ169" t="inlineStr"/>
      <c r="BK169" t="inlineStr"/>
      <c r="BL169" t="n">
        <v>110</v>
      </c>
      <c r="BM169" t="inlineStr"/>
      <c r="BN169" t="inlineStr"/>
      <c r="BO169" t="inlineStr"/>
      <c r="BP169" t="inlineStr"/>
      <c r="BQ169" t="inlineStr"/>
      <c r="BR169" t="inlineStr">
        <is>
          <t>n</t>
        </is>
      </c>
      <c r="BS169" t="n">
        <v>0</v>
      </c>
      <c r="BT169" t="inlineStr"/>
      <c r="BU169" t="inlineStr">
        <is>
          <t>Gewebe</t>
        </is>
      </c>
      <c r="BV169" t="inlineStr"/>
      <c r="BW169" t="inlineStr"/>
      <c r="BX169" t="inlineStr"/>
      <c r="BY169" t="inlineStr"/>
      <c r="BZ169" t="inlineStr"/>
      <c r="CA169" t="inlineStr">
        <is>
          <t>Schaden stabil</t>
        </is>
      </c>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c r="DH169" t="inlineStr"/>
      <c r="DI169" t="inlineStr"/>
      <c r="DJ169" t="inlineStr"/>
      <c r="DK169" t="inlineStr"/>
      <c r="DL169" t="inlineStr"/>
    </row>
    <row r="170">
      <c r="A170" t="inlineStr">
        <is>
          <t>Schreibmeister</t>
        </is>
      </c>
      <c r="B170" t="b">
        <v>1</v>
      </c>
      <c r="C170" t="inlineStr">
        <is>
          <t>x</t>
        </is>
      </c>
      <c r="D170" t="inlineStr"/>
      <c r="E170" t="n">
        <v>158</v>
      </c>
      <c r="F170">
        <f>HYPERLINK("https://portal.dnb.de/opac.htm?method=simpleSearch&amp;cqlMode=true&amp;query=idn%3D1002008700", "Portal")</f>
        <v/>
      </c>
      <c r="G170" t="inlineStr">
        <is>
          <t>Aal</t>
        </is>
      </c>
      <c r="H170">
        <f>HYPERLINK("https://portal.dnb.de/opac.htm?method=simpleSearch&amp;cqlMode=true&amp;query=idn%3D1002008700", "Portal")</f>
        <v/>
      </c>
      <c r="I170" t="inlineStr">
        <is>
          <t>L-1741-176001662</t>
        </is>
      </c>
      <c r="J170" t="inlineStr">
        <is>
          <t>1002008700</t>
        </is>
      </c>
      <c r="K170" t="inlineStr">
        <is>
          <t>Cb 175</t>
        </is>
      </c>
      <c r="L170" t="inlineStr">
        <is>
          <t>Cb 175</t>
        </is>
      </c>
      <c r="M170" t="inlineStr">
        <is>
          <t>Cb 175</t>
        </is>
      </c>
      <c r="N170" t="inlineStr">
        <is>
          <t>Geographische und historische Vorschrifften : mit sonderbarem Fleiß colligiret von einem Liebhaber der edlen Schreibe-Kunst</t>
        </is>
      </c>
      <c r="O170" t="inlineStr">
        <is>
          <t xml:space="preserve"> : </t>
        </is>
      </c>
      <c r="P170" t="inlineStr">
        <is>
          <t>Cb 175</t>
        </is>
      </c>
      <c r="Q170" t="inlineStr"/>
      <c r="R170" t="inlineStr"/>
      <c r="S170" t="inlineStr">
        <is>
          <t>Geographische und historische Vorschrifften : mit sonderbarem Fleiß colligiret von einem Liebhaber der edlen Schreibe-Kunst</t>
        </is>
      </c>
      <c r="T170" t="inlineStr">
        <is>
          <t xml:space="preserve"> : </t>
        </is>
      </c>
      <c r="U170" t="inlineStr"/>
      <c r="V170" t="inlineStr"/>
      <c r="W170" t="inlineStr"/>
      <c r="X170" t="inlineStr">
        <is>
          <t>bis 25 cm</t>
        </is>
      </c>
      <c r="Y170" t="inlineStr"/>
      <c r="Z170" t="inlineStr"/>
      <c r="AA170" t="inlineStr"/>
      <c r="AB170" t="inlineStr"/>
      <c r="AC170" t="inlineStr"/>
      <c r="AD170" t="inlineStr"/>
      <c r="AE170" t="inlineStr"/>
      <c r="AF170" t="inlineStr"/>
      <c r="AG170" t="inlineStr"/>
      <c r="AH170" t="inlineStr"/>
      <c r="AI170" t="inlineStr"/>
      <c r="AJ170" t="inlineStr"/>
      <c r="AK170" t="inlineStr">
        <is>
          <t>QF (37x23)</t>
        </is>
      </c>
      <c r="AL170" t="inlineStr"/>
      <c r="AM170" t="inlineStr"/>
      <c r="AN170" t="inlineStr">
        <is>
          <t>HL</t>
        </is>
      </c>
      <c r="AO170" t="inlineStr"/>
      <c r="AP170" t="inlineStr"/>
      <c r="AQ170" t="inlineStr"/>
      <c r="AR170" t="inlineStr">
        <is>
          <t>f</t>
        </is>
      </c>
      <c r="AS170" t="inlineStr"/>
      <c r="AT170" t="inlineStr"/>
      <c r="AU170" t="inlineStr"/>
      <c r="AV170" t="inlineStr"/>
      <c r="AW170" t="inlineStr"/>
      <c r="AX170" t="inlineStr">
        <is>
          <t>Pa</t>
        </is>
      </c>
      <c r="AY170" t="inlineStr"/>
      <c r="AZ170" t="inlineStr"/>
      <c r="BA170" t="inlineStr"/>
      <c r="BB170" t="inlineStr"/>
      <c r="BC170" t="inlineStr"/>
      <c r="BD170" t="inlineStr"/>
      <c r="BE170" t="inlineStr"/>
      <c r="BF170" t="inlineStr"/>
      <c r="BG170" t="inlineStr">
        <is>
          <t>x</t>
        </is>
      </c>
      <c r="BH170" t="inlineStr"/>
      <c r="BI170" t="inlineStr">
        <is>
          <t>x</t>
        </is>
      </c>
      <c r="BJ170" t="inlineStr"/>
      <c r="BK170" t="inlineStr"/>
      <c r="BL170" t="n">
        <v>110</v>
      </c>
      <c r="BM170" t="inlineStr"/>
      <c r="BN170" t="inlineStr"/>
      <c r="BO170" t="inlineStr"/>
      <c r="BP170" t="inlineStr"/>
      <c r="BQ170" t="inlineStr"/>
      <c r="BR170" t="inlineStr">
        <is>
          <t>ja vor</t>
        </is>
      </c>
      <c r="BS170" t="n">
        <v>0.5</v>
      </c>
      <c r="BT170" t="inlineStr"/>
      <c r="BU170" t="inlineStr">
        <is>
          <t>Gewebe</t>
        </is>
      </c>
      <c r="BV170" t="inlineStr"/>
      <c r="BW170" t="inlineStr"/>
      <c r="BX170" t="inlineStr"/>
      <c r="BY170" t="inlineStr"/>
      <c r="BZ170" t="inlineStr"/>
      <c r="CA170" t="inlineStr"/>
      <c r="CB170" t="inlineStr"/>
      <c r="CC170" t="inlineStr"/>
      <c r="CD170" t="inlineStr"/>
      <c r="CE170" t="inlineStr">
        <is>
          <t>x</t>
        </is>
      </c>
      <c r="CF170" t="inlineStr">
        <is>
          <t>x</t>
        </is>
      </c>
      <c r="CG170" t="inlineStr">
        <is>
          <t>x</t>
        </is>
      </c>
      <c r="CH170" t="inlineStr"/>
      <c r="CI170" t="inlineStr"/>
      <c r="CJ170" t="inlineStr"/>
      <c r="CK170" t="inlineStr"/>
      <c r="CL170" t="inlineStr"/>
      <c r="CM170" t="inlineStr"/>
      <c r="CN170" t="inlineStr"/>
      <c r="CO170" t="inlineStr"/>
      <c r="CP170" t="inlineStr"/>
      <c r="CQ170" t="inlineStr"/>
      <c r="CR170" t="n">
        <v>0.5</v>
      </c>
      <c r="CS170" t="inlineStr">
        <is>
          <t>nur Rücken, Rest ist stabil</t>
        </is>
      </c>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c r="DH170" t="inlineStr"/>
      <c r="DI170" t="inlineStr"/>
      <c r="DJ170" t="inlineStr"/>
      <c r="DK170" t="inlineStr"/>
      <c r="DL170" t="inlineStr"/>
    </row>
    <row r="171">
      <c r="A171" t="inlineStr">
        <is>
          <t>Schreibmeister</t>
        </is>
      </c>
      <c r="B171" t="b">
        <v>1</v>
      </c>
      <c r="C171" t="inlineStr"/>
      <c r="D171" t="inlineStr"/>
      <c r="E171" t="n">
        <v>194</v>
      </c>
      <c r="F171">
        <f>HYPERLINK("https://portal.dnb.de/opac.htm?method=simpleSearch&amp;cqlMode=true&amp;query=idn%3D1081735546", "Portal")</f>
        <v/>
      </c>
      <c r="G171" t="inlineStr">
        <is>
          <t>Ha</t>
        </is>
      </c>
      <c r="H171">
        <f>HYPERLINK("https://portal.dnb.de/opac.htm?method=simpleSearch&amp;cqlMode=true&amp;query=idn%3D1081735546", "Portal")</f>
        <v/>
      </c>
      <c r="I171" t="inlineStr">
        <is>
          <t>L-1592-348638663</t>
        </is>
      </c>
      <c r="J171" t="inlineStr">
        <is>
          <t>1081735546</t>
        </is>
      </c>
      <c r="K171" t="inlineStr">
        <is>
          <t>Cb 180</t>
        </is>
      </c>
      <c r="L171" t="inlineStr">
        <is>
          <t>Cb 180</t>
        </is>
      </c>
      <c r="M171" t="inlineStr">
        <is>
          <t>Cb 180</t>
        </is>
      </c>
      <c r="N171" t="inlineStr">
        <is>
          <t>Von Zier geschrifften baides Latinisch wie Teütsches : auch ander neben arten andeüttungen vff Cantzelleysche Handt vnd Current gericht</t>
        </is>
      </c>
      <c r="O171" t="inlineStr">
        <is>
          <t xml:space="preserve"> : </t>
        </is>
      </c>
      <c r="P171" t="inlineStr">
        <is>
          <t>Cb 180</t>
        </is>
      </c>
      <c r="Q171" t="inlineStr">
        <is>
          <t>??? EUR</t>
        </is>
      </c>
      <c r="R171" t="inlineStr"/>
      <c r="S171" t="inlineStr">
        <is>
          <t>Von Zier geschrifften baides Latinisch wie Teütsches : auch ander neben arten andeüttungen vff Cantzelleysche Handt vnd Current gericht</t>
        </is>
      </c>
      <c r="T171" t="inlineStr">
        <is>
          <t xml:space="preserve"> : </t>
        </is>
      </c>
      <c r="U171" t="inlineStr"/>
      <c r="V171" t="inlineStr">
        <is>
          <t>??? EUR</t>
        </is>
      </c>
      <c r="W171" t="inlineStr"/>
      <c r="X171" t="inlineStr">
        <is>
          <t>bis 25 cm</t>
        </is>
      </c>
      <c r="Y171" t="inlineStr"/>
      <c r="Z171" t="inlineStr"/>
      <c r="AA171" t="inlineStr"/>
      <c r="AB171" t="inlineStr"/>
      <c r="AC171" t="inlineStr"/>
      <c r="AD171" t="inlineStr"/>
      <c r="AE171" t="inlineStr"/>
      <c r="AF171" t="inlineStr"/>
      <c r="AG171" t="inlineStr"/>
      <c r="AH171" t="inlineStr"/>
      <c r="AI171" t="inlineStr"/>
      <c r="AJ171" t="inlineStr"/>
      <c r="AK171" t="inlineStr">
        <is>
          <t>QF (20x14)</t>
        </is>
      </c>
      <c r="AL171" t="inlineStr"/>
      <c r="AM171" t="inlineStr">
        <is>
          <t>x</t>
        </is>
      </c>
      <c r="AN171" t="inlineStr">
        <is>
          <t>Pg</t>
        </is>
      </c>
      <c r="AO171" t="inlineStr"/>
      <c r="AP171" t="inlineStr"/>
      <c r="AQ171" t="inlineStr"/>
      <c r="AR171" t="inlineStr">
        <is>
          <t>h</t>
        </is>
      </c>
      <c r="AS171" t="inlineStr"/>
      <c r="AT171" t="inlineStr"/>
      <c r="AU171" t="inlineStr"/>
      <c r="AV171" t="inlineStr"/>
      <c r="AW171" t="inlineStr"/>
      <c r="AX171" t="inlineStr">
        <is>
          <t>Pg</t>
        </is>
      </c>
      <c r="AY171" t="inlineStr"/>
      <c r="AZ171" t="inlineStr"/>
      <c r="BA171" t="inlineStr"/>
      <c r="BB171" t="inlineStr"/>
      <c r="BC171" t="inlineStr"/>
      <c r="BD171" t="inlineStr"/>
      <c r="BE171" t="inlineStr"/>
      <c r="BF171" t="inlineStr"/>
      <c r="BG171" t="inlineStr"/>
      <c r="BH171" t="inlineStr"/>
      <c r="BI171" t="inlineStr">
        <is>
          <t>x</t>
        </is>
      </c>
      <c r="BJ171" t="inlineStr"/>
      <c r="BK171" t="inlineStr"/>
      <c r="BL171" t="inlineStr">
        <is>
          <t>nur 110</t>
        </is>
      </c>
      <c r="BM171" t="inlineStr"/>
      <c r="BN171" t="inlineStr"/>
      <c r="BO171" t="inlineStr"/>
      <c r="BP171" t="inlineStr"/>
      <c r="BQ171" t="inlineStr">
        <is>
          <t>x</t>
        </is>
      </c>
      <c r="BR171" t="inlineStr">
        <is>
          <t>n</t>
        </is>
      </c>
      <c r="BS171" t="n">
        <v>0</v>
      </c>
      <c r="BT171" t="inlineStr"/>
      <c r="BU171" t="inlineStr"/>
      <c r="BV171" t="inlineStr"/>
      <c r="BW171" t="inlineStr"/>
      <c r="BX171" t="inlineStr">
        <is>
          <t>x</t>
        </is>
      </c>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c r="DH171" t="inlineStr"/>
      <c r="DI171" t="inlineStr"/>
      <c r="DJ171" t="inlineStr"/>
      <c r="DK171" t="inlineStr"/>
      <c r="DL171" t="inlineStr"/>
    </row>
    <row r="172">
      <c r="A172" t="inlineStr">
        <is>
          <t>Schreibmeister</t>
        </is>
      </c>
      <c r="B172" t="b">
        <v>1</v>
      </c>
      <c r="C172" t="inlineStr"/>
      <c r="D172" t="inlineStr"/>
      <c r="E172" t="n">
        <v>159</v>
      </c>
      <c r="F172">
        <f>HYPERLINK("https://portal.dnb.de/opac.htm?method=simpleSearch&amp;cqlMode=true&amp;query=idn%3D100289672X", "Portal")</f>
        <v/>
      </c>
      <c r="G172" t="inlineStr">
        <is>
          <t>Aal</t>
        </is>
      </c>
      <c r="H172">
        <f>HYPERLINK("https://portal.dnb.de/opac.htm?method=simpleSearch&amp;cqlMode=true&amp;query=idn%3D100289672X", "Portal")</f>
        <v/>
      </c>
      <c r="I172" t="inlineStr">
        <is>
          <t>L-1755-178405019</t>
        </is>
      </c>
      <c r="J172" t="inlineStr">
        <is>
          <t>100289672X</t>
        </is>
      </c>
      <c r="K172" t="inlineStr">
        <is>
          <t>Cb 209</t>
        </is>
      </c>
      <c r="L172" t="inlineStr">
        <is>
          <t>Cb 209</t>
        </is>
      </c>
      <c r="M172" t="inlineStr">
        <is>
          <t>Cb 209</t>
        </is>
      </c>
      <c r="N172" t="inlineStr">
        <is>
          <t xml:space="preserve">Selbstlehrende Canzley̋mäßige|| Dreßdnische|| Schreibe=Schule|| : </t>
        </is>
      </c>
      <c r="O172" t="inlineStr">
        <is>
          <t xml:space="preserve"> : </t>
        </is>
      </c>
      <c r="P172" t="inlineStr">
        <is>
          <t>Cb 209</t>
        </is>
      </c>
      <c r="Q172" t="inlineStr"/>
      <c r="R172" t="inlineStr"/>
      <c r="S172" t="inlineStr">
        <is>
          <t xml:space="preserve">Selbstlehrende Canzley̋mäßige|| Dreßdnische|| Schreibe=Schule|| : </t>
        </is>
      </c>
      <c r="T172" t="inlineStr">
        <is>
          <t xml:space="preserve"> : </t>
        </is>
      </c>
      <c r="U172" t="inlineStr"/>
      <c r="V172" t="inlineStr"/>
      <c r="W172" t="inlineStr"/>
      <c r="X172" t="inlineStr">
        <is>
          <t>bis 25 cm</t>
        </is>
      </c>
      <c r="Y172" t="inlineStr"/>
      <c r="Z172" t="inlineStr"/>
      <c r="AA172" t="inlineStr"/>
      <c r="AB172" t="inlineStr"/>
      <c r="AC172" t="inlineStr"/>
      <c r="AD172" t="inlineStr"/>
      <c r="AE172" t="inlineStr"/>
      <c r="AF172" t="inlineStr"/>
      <c r="AG172" t="inlineStr"/>
      <c r="AH172" t="inlineStr"/>
      <c r="AI172" t="inlineStr"/>
      <c r="AJ172" t="inlineStr"/>
      <c r="AK172" t="inlineStr">
        <is>
          <t>QF (35x22)</t>
        </is>
      </c>
      <c r="AL172" t="inlineStr"/>
      <c r="AM172" t="inlineStr"/>
      <c r="AN172" t="inlineStr">
        <is>
          <t>Br</t>
        </is>
      </c>
      <c r="AO172" t="inlineStr"/>
      <c r="AP172" t="inlineStr"/>
      <c r="AQ172" t="inlineStr"/>
      <c r="AR172" t="inlineStr"/>
      <c r="AS172" t="inlineStr"/>
      <c r="AT172" t="inlineStr"/>
      <c r="AU172" t="inlineStr"/>
      <c r="AV172" t="inlineStr"/>
      <c r="AW172" t="inlineStr"/>
      <c r="AX172" t="inlineStr">
        <is>
          <t>Pa</t>
        </is>
      </c>
      <c r="AY172" t="inlineStr"/>
      <c r="AZ172" t="inlineStr"/>
      <c r="BA172" t="inlineStr"/>
      <c r="BB172" t="inlineStr"/>
      <c r="BC172" t="inlineStr"/>
      <c r="BD172" t="inlineStr"/>
      <c r="BE172" t="inlineStr"/>
      <c r="BF172" t="inlineStr"/>
      <c r="BG172" t="inlineStr">
        <is>
          <t>x</t>
        </is>
      </c>
      <c r="BH172" t="inlineStr"/>
      <c r="BI172" t="inlineStr">
        <is>
          <t>x</t>
        </is>
      </c>
      <c r="BJ172" t="inlineStr"/>
      <c r="BK172" t="inlineStr"/>
      <c r="BL172" t="n">
        <v>180</v>
      </c>
      <c r="BM172" t="inlineStr"/>
      <c r="BN172" t="inlineStr"/>
      <c r="BO172" t="inlineStr"/>
      <c r="BP172" t="inlineStr"/>
      <c r="BQ172" t="inlineStr"/>
      <c r="BR172" t="inlineStr">
        <is>
          <t>n</t>
        </is>
      </c>
      <c r="BS172" t="n">
        <v>0</v>
      </c>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c r="DH172" t="inlineStr"/>
      <c r="DI172" t="inlineStr"/>
      <c r="DJ172" t="inlineStr"/>
      <c r="DK172" t="inlineStr"/>
      <c r="DL172" t="inlineStr"/>
    </row>
    <row r="173">
      <c r="A173" t="inlineStr">
        <is>
          <t>Schreibmeister</t>
        </is>
      </c>
      <c r="B173" t="b">
        <v>1</v>
      </c>
      <c r="C173" t="inlineStr"/>
      <c r="D173" t="inlineStr"/>
      <c r="E173" t="n">
        <v>195</v>
      </c>
      <c r="F173">
        <f>HYPERLINK("https://portal.dnb.de/opac.htm?method=simpleSearch&amp;cqlMode=true&amp;query=idn%3D1001874102", "Portal")</f>
        <v/>
      </c>
      <c r="G173" t="inlineStr">
        <is>
          <t>Hal</t>
        </is>
      </c>
      <c r="H173">
        <f>HYPERLINK("https://portal.dnb.de/opac.htm?method=simpleSearch&amp;cqlMode=true&amp;query=idn%3D1001874102", "Portal")</f>
        <v/>
      </c>
      <c r="I173" t="inlineStr">
        <is>
          <t>L-1773-175758018</t>
        </is>
      </c>
      <c r="J173" t="inlineStr">
        <is>
          <t>1001874102</t>
        </is>
      </c>
      <c r="K173" t="inlineStr">
        <is>
          <t>Cb 210</t>
        </is>
      </c>
      <c r="L173" t="inlineStr">
        <is>
          <t>Cb 210</t>
        </is>
      </c>
      <c r="M173" t="inlineStr">
        <is>
          <t>Cb 210</t>
        </is>
      </c>
      <c r="N173" t="inlineStr">
        <is>
          <t xml:space="preserve">Der @getreue|| Schreibemeister|| : </t>
        </is>
      </c>
      <c r="O173" t="inlineStr">
        <is>
          <t xml:space="preserve"> : </t>
        </is>
      </c>
      <c r="P173" t="inlineStr">
        <is>
          <t>Cb 210</t>
        </is>
      </c>
      <c r="Q173" t="inlineStr"/>
      <c r="R173" t="inlineStr"/>
      <c r="S173" t="inlineStr">
        <is>
          <t xml:space="preserve">Der @getreue|| Schreibemeister|| : </t>
        </is>
      </c>
      <c r="T173" t="inlineStr">
        <is>
          <t xml:space="preserve"> : </t>
        </is>
      </c>
      <c r="U173" t="inlineStr"/>
      <c r="V173" t="inlineStr"/>
      <c r="W173" t="inlineStr"/>
      <c r="X173" t="inlineStr">
        <is>
          <t>bis 42 cm</t>
        </is>
      </c>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is>
          <t>EB</t>
        </is>
      </c>
      <c r="AO173" t="inlineStr"/>
      <c r="AP173" t="inlineStr"/>
      <c r="AQ173" t="inlineStr"/>
      <c r="AR173" t="inlineStr"/>
      <c r="AS173" t="inlineStr"/>
      <c r="AT173" t="inlineStr"/>
      <c r="AU173" t="inlineStr"/>
      <c r="AV173" t="inlineStr"/>
      <c r="AW173" t="inlineStr"/>
      <c r="AX173" t="inlineStr">
        <is>
          <t>Pa</t>
        </is>
      </c>
      <c r="AY173" t="inlineStr"/>
      <c r="AZ173" t="inlineStr"/>
      <c r="BA173" t="inlineStr"/>
      <c r="BB173" t="inlineStr"/>
      <c r="BC173" t="inlineStr"/>
      <c r="BD173" t="inlineStr"/>
      <c r="BE173" t="inlineStr"/>
      <c r="BF173" t="inlineStr"/>
      <c r="BG173" t="inlineStr"/>
      <c r="BH173" t="inlineStr"/>
      <c r="BI173" t="inlineStr"/>
      <c r="BJ173" t="inlineStr"/>
      <c r="BK173" t="inlineStr"/>
      <c r="BL173" t="n">
        <v>180</v>
      </c>
      <c r="BM173" t="inlineStr"/>
      <c r="BN173" t="inlineStr"/>
      <c r="BO173" t="inlineStr"/>
      <c r="BP173" t="inlineStr"/>
      <c r="BQ173" t="inlineStr"/>
      <c r="BR173" t="inlineStr">
        <is>
          <t>n</t>
        </is>
      </c>
      <c r="BS173" t="n">
        <v>0</v>
      </c>
      <c r="BT173" t="inlineStr"/>
      <c r="BU173" t="inlineStr"/>
      <c r="BV173" t="inlineStr"/>
      <c r="BW173" t="inlineStr"/>
      <c r="BX173" t="inlineStr">
        <is>
          <t>x</t>
        </is>
      </c>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c r="DH173" t="inlineStr"/>
      <c r="DI173" t="inlineStr"/>
      <c r="DJ173" t="inlineStr"/>
      <c r="DK173" t="inlineStr"/>
      <c r="DL173" t="inlineStr"/>
    </row>
    <row r="174">
      <c r="A174" t="inlineStr">
        <is>
          <t>Schreibmeister</t>
        </is>
      </c>
      <c r="B174" t="b">
        <v>1</v>
      </c>
      <c r="C174" t="inlineStr"/>
      <c r="D174" t="inlineStr"/>
      <c r="E174" t="n">
        <v>160</v>
      </c>
      <c r="F174">
        <f>HYPERLINK("https://portal.dnb.de/opac.htm?method=simpleSearch&amp;cqlMode=true&amp;query=idn%3D1003826709", "Portal")</f>
        <v/>
      </c>
      <c r="G174" t="inlineStr">
        <is>
          <t>Aal</t>
        </is>
      </c>
      <c r="H174">
        <f>HYPERLINK("https://portal.dnb.de/opac.htm?method=simpleSearch&amp;cqlMode=true&amp;query=idn%3D1003826709", "Portal")</f>
        <v/>
      </c>
      <c r="I174" t="inlineStr">
        <is>
          <t>L-1780-181054469</t>
        </is>
      </c>
      <c r="J174" t="inlineStr">
        <is>
          <t>1003826709</t>
        </is>
      </c>
      <c r="K174" t="inlineStr">
        <is>
          <t>Cb 214</t>
        </is>
      </c>
      <c r="L174" t="inlineStr">
        <is>
          <t>Cb 214</t>
        </is>
      </c>
      <c r="M174" t="inlineStr">
        <is>
          <t>Cb 214</t>
        </is>
      </c>
      <c r="N174" t="inlineStr">
        <is>
          <t xml:space="preserve">[Schreibmeisterbuch] : </t>
        </is>
      </c>
      <c r="O174" t="inlineStr">
        <is>
          <t xml:space="preserve"> : </t>
        </is>
      </c>
      <c r="P174" t="inlineStr">
        <is>
          <t>Cb 214</t>
        </is>
      </c>
      <c r="Q174" t="inlineStr"/>
      <c r="R174" t="inlineStr"/>
      <c r="S174" t="inlineStr">
        <is>
          <t xml:space="preserve">[Schreibmeisterbuch] : </t>
        </is>
      </c>
      <c r="T174" t="inlineStr">
        <is>
          <t xml:space="preserve"> : </t>
        </is>
      </c>
      <c r="U174" t="inlineStr"/>
      <c r="V174" t="inlineStr"/>
      <c r="W174" t="inlineStr"/>
      <c r="X174" t="inlineStr">
        <is>
          <t>bis 25 cm</t>
        </is>
      </c>
      <c r="Y174" t="inlineStr"/>
      <c r="Z174" t="inlineStr"/>
      <c r="AA174" t="inlineStr"/>
      <c r="AB174" t="inlineStr"/>
      <c r="AC174" t="inlineStr"/>
      <c r="AD174" t="inlineStr"/>
      <c r="AE174" t="inlineStr"/>
      <c r="AF174" t="inlineStr"/>
      <c r="AG174" t="inlineStr"/>
      <c r="AH174" t="inlineStr"/>
      <c r="AI174" t="inlineStr"/>
      <c r="AJ174" t="inlineStr"/>
      <c r="AK174" t="inlineStr">
        <is>
          <t>QF (20x16)</t>
        </is>
      </c>
      <c r="AL174" t="inlineStr"/>
      <c r="AM174" t="inlineStr"/>
      <c r="AN174" t="inlineStr">
        <is>
          <t>Pa</t>
        </is>
      </c>
      <c r="AO174" t="inlineStr"/>
      <c r="AP174" t="inlineStr"/>
      <c r="AQ174" t="inlineStr"/>
      <c r="AR174" t="inlineStr">
        <is>
          <t>h/E</t>
        </is>
      </c>
      <c r="AS174" t="inlineStr"/>
      <c r="AT174" t="inlineStr"/>
      <c r="AU174" t="inlineStr"/>
      <c r="AV174" t="inlineStr"/>
      <c r="AW174" t="inlineStr"/>
      <c r="AX174" t="inlineStr">
        <is>
          <t>Pa</t>
        </is>
      </c>
      <c r="AY174" t="inlineStr"/>
      <c r="AZ174" t="inlineStr"/>
      <c r="BA174" t="inlineStr"/>
      <c r="BB174" t="inlineStr"/>
      <c r="BC174" t="inlineStr"/>
      <c r="BD174" t="inlineStr"/>
      <c r="BE174" t="inlineStr"/>
      <c r="BF174" t="inlineStr"/>
      <c r="BG174" t="inlineStr">
        <is>
          <t>x</t>
        </is>
      </c>
      <c r="BH174" t="inlineStr"/>
      <c r="BI174" t="inlineStr">
        <is>
          <t>x</t>
        </is>
      </c>
      <c r="BJ174" t="inlineStr"/>
      <c r="BK174" t="inlineStr"/>
      <c r="BL174" t="n">
        <v>110</v>
      </c>
      <c r="BM174" t="inlineStr"/>
      <c r="BN174" t="inlineStr"/>
      <c r="BO174" t="inlineStr"/>
      <c r="BP174" t="inlineStr"/>
      <c r="BQ174" t="inlineStr"/>
      <c r="BR174" t="inlineStr">
        <is>
          <t>n</t>
        </is>
      </c>
      <c r="BS174" t="n">
        <v>0</v>
      </c>
      <c r="BT174" t="inlineStr"/>
      <c r="BU174" t="inlineStr"/>
      <c r="BV174" t="inlineStr"/>
      <c r="BW174" t="inlineStr"/>
      <c r="BX174" t="inlineStr">
        <is>
          <t>x</t>
        </is>
      </c>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c r="DH174" t="inlineStr"/>
      <c r="DI174" t="inlineStr"/>
      <c r="DJ174" t="inlineStr"/>
      <c r="DK174" t="inlineStr"/>
      <c r="DL174" t="inlineStr"/>
    </row>
    <row r="175">
      <c r="A175" t="inlineStr">
        <is>
          <t>Schreibmeister</t>
        </is>
      </c>
      <c r="B175" t="b">
        <v>1</v>
      </c>
      <c r="C175" t="inlineStr"/>
      <c r="D175" t="inlineStr"/>
      <c r="E175" t="n">
        <v>161</v>
      </c>
      <c r="F175">
        <f>HYPERLINK("https://portal.dnb.de/opac.htm?method=simpleSearch&amp;cqlMode=true&amp;query=idn%3D1001873335", "Portal")</f>
        <v/>
      </c>
      <c r="G175" t="inlineStr">
        <is>
          <t>Aal</t>
        </is>
      </c>
      <c r="H175">
        <f>HYPERLINK("https://portal.dnb.de/opac.htm?method=simpleSearch&amp;cqlMode=true&amp;query=idn%3D1001873335", "Portal")</f>
        <v/>
      </c>
      <c r="I175" t="inlineStr">
        <is>
          <t>L-1746-175756597</t>
        </is>
      </c>
      <c r="J175" t="inlineStr">
        <is>
          <t>1001873335</t>
        </is>
      </c>
      <c r="K175" t="inlineStr">
        <is>
          <t>Cb 215</t>
        </is>
      </c>
      <c r="L175" t="inlineStr">
        <is>
          <t>Cb 215</t>
        </is>
      </c>
      <c r="M175" t="inlineStr">
        <is>
          <t>Cb 215</t>
        </is>
      </c>
      <c r="N175" t="inlineStr">
        <is>
          <t xml:space="preserve">[Schreibmeisterblätter] : </t>
        </is>
      </c>
      <c r="O175" t="inlineStr">
        <is>
          <t xml:space="preserve"> : </t>
        </is>
      </c>
      <c r="P175" t="inlineStr">
        <is>
          <t>Cb 215</t>
        </is>
      </c>
      <c r="Q175" t="inlineStr"/>
      <c r="R175" t="inlineStr"/>
      <c r="S175" t="inlineStr">
        <is>
          <t xml:space="preserve">[Schreibmeisterblätter] : </t>
        </is>
      </c>
      <c r="T175" t="inlineStr">
        <is>
          <t xml:space="preserve"> : </t>
        </is>
      </c>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n">
        <v>0</v>
      </c>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c r="DH175" t="inlineStr"/>
      <c r="DI175" t="inlineStr"/>
      <c r="DJ175" t="inlineStr"/>
      <c r="DK175" t="inlineStr"/>
      <c r="DL175" t="inlineStr"/>
    </row>
    <row r="176">
      <c r="A176" t="inlineStr">
        <is>
          <t>Schreibmeister</t>
        </is>
      </c>
      <c r="B176" t="b">
        <v>1</v>
      </c>
      <c r="C176" t="inlineStr"/>
      <c r="D176" t="inlineStr"/>
      <c r="E176" t="n">
        <v>162</v>
      </c>
      <c r="F176">
        <f>HYPERLINK("https://portal.dnb.de/opac.htm?method=simpleSearch&amp;cqlMode=true&amp;query=idn%3D996390073", "Portal")</f>
        <v/>
      </c>
      <c r="G176" t="inlineStr">
        <is>
          <t>Aal</t>
        </is>
      </c>
      <c r="H176">
        <f>HYPERLINK("https://portal.dnb.de/opac.htm?method=simpleSearch&amp;cqlMode=true&amp;query=idn%3D996390073", "Portal")</f>
        <v/>
      </c>
      <c r="I176" t="inlineStr">
        <is>
          <t>L-9999-162082878</t>
        </is>
      </c>
      <c r="J176" t="inlineStr">
        <is>
          <t>996390073</t>
        </is>
      </c>
      <c r="K176" t="inlineStr">
        <is>
          <t>Cb 216</t>
        </is>
      </c>
      <c r="L176" t="inlineStr">
        <is>
          <t>Cb 216</t>
        </is>
      </c>
      <c r="M176" t="inlineStr">
        <is>
          <t>Cb 216</t>
        </is>
      </c>
      <c r="N176" t="inlineStr">
        <is>
          <t xml:space="preserve">NUOVO METODO E REGOLE|| per formare un bel Carattere|| all'uso moderno|| Giovao. Fresini Scrisse Gaetano Giarrè incise|| : </t>
        </is>
      </c>
      <c r="O176" t="inlineStr">
        <is>
          <t xml:space="preserve"> : </t>
        </is>
      </c>
      <c r="P176" t="inlineStr">
        <is>
          <t>Cb 216</t>
        </is>
      </c>
      <c r="Q176" t="inlineStr"/>
      <c r="R176" t="inlineStr"/>
      <c r="S176" t="inlineStr">
        <is>
          <t xml:space="preserve">NUOVO METODO E REGOLE|| per formare un bel Carattere|| all'uso moderno|| Giovao. Fresini Scrisse Gaetano Giarrè incise|| : </t>
        </is>
      </c>
      <c r="T176" t="inlineStr">
        <is>
          <t xml:space="preserve"> : </t>
        </is>
      </c>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BR176" t="inlineStr"/>
      <c r="BS176" t="n">
        <v>0</v>
      </c>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c r="DH176" t="inlineStr"/>
      <c r="DI176" t="inlineStr"/>
      <c r="DJ176" t="inlineStr"/>
      <c r="DK176" t="inlineStr"/>
      <c r="DL176" t="inlineStr"/>
    </row>
    <row r="177">
      <c r="A177" t="inlineStr">
        <is>
          <t>Schreibmeister</t>
        </is>
      </c>
      <c r="B177" t="b">
        <v>1</v>
      </c>
      <c r="C177" t="inlineStr"/>
      <c r="D177" t="inlineStr"/>
      <c r="E177" t="n">
        <v>163</v>
      </c>
      <c r="F177">
        <f>HYPERLINK("https://portal.dnb.de/opac.htm?method=simpleSearch&amp;cqlMode=true&amp;query=idn%3D1066665133", "Portal")</f>
        <v/>
      </c>
      <c r="G177" t="inlineStr">
        <is>
          <t>Aaf</t>
        </is>
      </c>
      <c r="H177">
        <f>HYPERLINK("https://portal.dnb.de/opac.htm?method=simpleSearch&amp;cqlMode=true&amp;query=idn%3D1066665133", "Portal")</f>
        <v/>
      </c>
      <c r="I177" t="inlineStr">
        <is>
          <t>L-1824-315053593</t>
        </is>
      </c>
      <c r="J177" t="inlineStr">
        <is>
          <t>1066665133</t>
        </is>
      </c>
      <c r="K177" t="inlineStr">
        <is>
          <t>Cb 384</t>
        </is>
      </c>
      <c r="L177" t="inlineStr">
        <is>
          <t>Cb 384</t>
        </is>
      </c>
      <c r="M177" t="inlineStr">
        <is>
          <t>Cb 384</t>
        </is>
      </c>
      <c r="N177" t="inlineStr">
        <is>
          <t>Systematischer Unterricht im Schreiben : [50 kalligraphische Blätter]</t>
        </is>
      </c>
      <c r="O177" t="inlineStr">
        <is>
          <t xml:space="preserve"> : </t>
        </is>
      </c>
      <c r="P177" t="inlineStr">
        <is>
          <t>Cb 384</t>
        </is>
      </c>
      <c r="Q177" t="inlineStr"/>
      <c r="R177" t="inlineStr"/>
      <c r="S177" t="inlineStr">
        <is>
          <t>Systematischer Unterricht im Schreiben : [50 kalligraphische Blätter]</t>
        </is>
      </c>
      <c r="T177" t="inlineStr">
        <is>
          <t xml:space="preserve"> : </t>
        </is>
      </c>
      <c r="U177" t="inlineStr"/>
      <c r="V177" t="inlineStr"/>
      <c r="W177" t="inlineStr"/>
      <c r="X177" t="inlineStr">
        <is>
          <t>bis 25 cm</t>
        </is>
      </c>
      <c r="Y177" t="inlineStr"/>
      <c r="Z177" t="inlineStr"/>
      <c r="AA177" t="inlineStr"/>
      <c r="AB177" t="inlineStr"/>
      <c r="AC177" t="inlineStr"/>
      <c r="AD177" t="inlineStr"/>
      <c r="AE177" t="inlineStr"/>
      <c r="AF177" t="inlineStr"/>
      <c r="AG177" t="inlineStr"/>
      <c r="AH177" t="inlineStr"/>
      <c r="AI177" t="inlineStr"/>
      <c r="AJ177" t="inlineStr"/>
      <c r="AK177" t="inlineStr">
        <is>
          <t>QF (21x13)</t>
        </is>
      </c>
      <c r="AL177" t="inlineStr"/>
      <c r="AM177" t="inlineStr">
        <is>
          <t>x</t>
        </is>
      </c>
      <c r="AN177" t="inlineStr">
        <is>
          <t>Pa</t>
        </is>
      </c>
      <c r="AO177" t="inlineStr"/>
      <c r="AP177" t="inlineStr"/>
      <c r="AQ177" t="inlineStr"/>
      <c r="AR177" t="inlineStr">
        <is>
          <t>h/E</t>
        </is>
      </c>
      <c r="AS177" t="inlineStr"/>
      <c r="AT177" t="inlineStr"/>
      <c r="AU177" t="inlineStr"/>
      <c r="AV177" t="inlineStr"/>
      <c r="AW177" t="inlineStr"/>
      <c r="AX177" t="inlineStr">
        <is>
          <t>Pa</t>
        </is>
      </c>
      <c r="AY177" t="inlineStr"/>
      <c r="AZ177" t="inlineStr"/>
      <c r="BA177" t="inlineStr"/>
      <c r="BB177" t="inlineStr"/>
      <c r="BC177" t="inlineStr"/>
      <c r="BD177" t="inlineStr"/>
      <c r="BE177" t="inlineStr"/>
      <c r="BF177" t="inlineStr"/>
      <c r="BG177" t="inlineStr">
        <is>
          <t>x</t>
        </is>
      </c>
      <c r="BH177" t="inlineStr"/>
      <c r="BI177" t="inlineStr">
        <is>
          <t>x</t>
        </is>
      </c>
      <c r="BJ177" t="inlineStr"/>
      <c r="BK177" t="inlineStr"/>
      <c r="BL177" t="n">
        <v>180</v>
      </c>
      <c r="BM177" t="inlineStr"/>
      <c r="BN177" t="inlineStr"/>
      <c r="BO177" t="inlineStr"/>
      <c r="BP177" t="inlineStr"/>
      <c r="BQ177" t="inlineStr"/>
      <c r="BR177" t="inlineStr">
        <is>
          <t>n</t>
        </is>
      </c>
      <c r="BS177" t="n">
        <v>0</v>
      </c>
      <c r="BT177" t="inlineStr"/>
      <c r="BU177" t="inlineStr"/>
      <c r="BV177" t="inlineStr">
        <is>
          <t>x</t>
        </is>
      </c>
      <c r="BW177" t="inlineStr"/>
      <c r="BX177" t="inlineStr">
        <is>
          <t>x</t>
        </is>
      </c>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c r="DH177" t="inlineStr"/>
      <c r="DI177" t="inlineStr"/>
      <c r="DJ177" t="inlineStr"/>
      <c r="DK177" t="inlineStr"/>
      <c r="DL177" t="inlineStr"/>
    </row>
    <row r="178">
      <c r="A178" t="inlineStr">
        <is>
          <t>Schreibmeister</t>
        </is>
      </c>
      <c r="B178" t="b">
        <v>1</v>
      </c>
      <c r="C178" t="inlineStr"/>
      <c r="D178" t="inlineStr"/>
      <c r="E178" t="n">
        <v>165</v>
      </c>
      <c r="F178">
        <f>HYPERLINK("https://portal.dnb.de/opac.htm?method=simpleSearch&amp;cqlMode=true&amp;query=idn%3D986026689", "Portal")</f>
        <v/>
      </c>
      <c r="G178" t="inlineStr">
        <is>
          <t>Aa</t>
        </is>
      </c>
      <c r="H178">
        <f>HYPERLINK("https://portal.dnb.de/opac.htm?method=simpleSearch&amp;cqlMode=true&amp;query=idn%3D986026689", "Portal")</f>
        <v/>
      </c>
      <c r="I178" t="inlineStr">
        <is>
          <t>L-2007-324961</t>
        </is>
      </c>
      <c r="J178" t="inlineStr">
        <is>
          <t>986026689</t>
        </is>
      </c>
      <c r="K178" t="inlineStr">
        <is>
          <t>Cb 498</t>
        </is>
      </c>
      <c r="L178" t="inlineStr">
        <is>
          <t>Cb 498</t>
        </is>
      </c>
      <c r="M178" t="inlineStr">
        <is>
          <t>Cb 498</t>
        </is>
      </c>
      <c r="N178" t="inlineStr">
        <is>
          <t xml:space="preserve">Vorschrifft, Teutsch und Lateinischer Schrifften : </t>
        </is>
      </c>
      <c r="O178" t="inlineStr">
        <is>
          <t xml:space="preserve"> : </t>
        </is>
      </c>
      <c r="P178" t="inlineStr">
        <is>
          <t>Cb 498</t>
        </is>
      </c>
      <c r="Q178" t="inlineStr"/>
      <c r="R178" t="inlineStr"/>
      <c r="S178" t="inlineStr">
        <is>
          <t xml:space="preserve">Vorschrifft, Teutsch und Lateinischer Schrifften : </t>
        </is>
      </c>
      <c r="T178" t="inlineStr">
        <is>
          <t xml:space="preserve"> : </t>
        </is>
      </c>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BR178" t="inlineStr"/>
      <c r="BS178" t="n">
        <v>0</v>
      </c>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c r="DH178" t="inlineStr"/>
      <c r="DI178" t="inlineStr"/>
      <c r="DJ178" t="inlineStr"/>
      <c r="DK178" t="inlineStr"/>
      <c r="DL178" t="inlineStr"/>
    </row>
    <row r="179">
      <c r="A179" t="inlineStr">
        <is>
          <t>Schreibmeister</t>
        </is>
      </c>
      <c r="B179" t="b">
        <v>1</v>
      </c>
      <c r="C179" t="inlineStr"/>
      <c r="D179" t="inlineStr"/>
      <c r="E179" t="n">
        <v>166</v>
      </c>
      <c r="F179">
        <f>HYPERLINK("https://portal.dnb.de/opac.htm?method=simpleSearch&amp;cqlMode=true&amp;query=idn%3D986026581", "Portal")</f>
        <v/>
      </c>
      <c r="G179" t="inlineStr">
        <is>
          <t>Aa</t>
        </is>
      </c>
      <c r="H179">
        <f>HYPERLINK("https://portal.dnb.de/opac.htm?method=simpleSearch&amp;cqlMode=true&amp;query=idn%3D986026581", "Portal")</f>
        <v/>
      </c>
      <c r="I179" t="inlineStr">
        <is>
          <t>L-2007-320601</t>
        </is>
      </c>
      <c r="J179" t="inlineStr">
        <is>
          <t>986026581</t>
        </is>
      </c>
      <c r="K179" t="inlineStr">
        <is>
          <t>Cb 499</t>
        </is>
      </c>
      <c r="L179" t="inlineStr">
        <is>
          <t>(ÜF / 3. OG: R75/8/6)</t>
        </is>
      </c>
      <c r="M179" t="inlineStr">
        <is>
          <t>Cb 499</t>
        </is>
      </c>
      <c r="N179" t="inlineStr">
        <is>
          <t>Le @maitre d'ecriture des commercans en caractères : Français, Anglais, Hollandais, Italiens et Allemands</t>
        </is>
      </c>
      <c r="O179" t="inlineStr">
        <is>
          <t xml:space="preserve"> : </t>
        </is>
      </c>
      <c r="P179" t="inlineStr">
        <is>
          <t>Cb 499</t>
        </is>
      </c>
      <c r="Q179" t="inlineStr"/>
      <c r="R179" t="inlineStr">
        <is>
          <t>liegt bei ÜF</t>
        </is>
      </c>
      <c r="S179" t="inlineStr">
        <is>
          <t>Le @maitre d'ecriture des commercans en caractères : Français, Anglais, Hollandais, Italiens et Allemands</t>
        </is>
      </c>
      <c r="T179" t="inlineStr">
        <is>
          <t xml:space="preserve"> : </t>
        </is>
      </c>
      <c r="U179" t="inlineStr"/>
      <c r="V179" t="inlineStr"/>
      <c r="W179" t="inlineStr"/>
      <c r="X179" t="inlineStr">
        <is>
          <t>&gt; 42 cm</t>
        </is>
      </c>
      <c r="Y179" t="inlineStr"/>
      <c r="Z179" t="inlineStr"/>
      <c r="AA179" t="inlineStr"/>
      <c r="AB179" t="inlineStr"/>
      <c r="AC179" t="inlineStr"/>
      <c r="AD179" t="inlineStr"/>
      <c r="AE179" t="inlineStr"/>
      <c r="AF179" t="inlineStr"/>
      <c r="AG179" t="inlineStr"/>
      <c r="AH179" t="inlineStr"/>
      <c r="AI179" t="inlineStr"/>
      <c r="AJ179" t="inlineStr">
        <is>
          <t>35x53</t>
        </is>
      </c>
      <c r="AK179" t="inlineStr"/>
      <c r="AL179" t="inlineStr"/>
      <c r="AM179" t="inlineStr"/>
      <c r="AN179" t="inlineStr">
        <is>
          <t>EB</t>
        </is>
      </c>
      <c r="AO179" t="inlineStr"/>
      <c r="AP179" t="inlineStr"/>
      <c r="AQ179" t="inlineStr"/>
      <c r="AR179" t="inlineStr"/>
      <c r="AS179" t="inlineStr"/>
      <c r="AT179" t="inlineStr"/>
      <c r="AU179" t="inlineStr"/>
      <c r="AV179" t="inlineStr"/>
      <c r="AW179" t="inlineStr"/>
      <c r="AX179" t="inlineStr">
        <is>
          <t>Pa</t>
        </is>
      </c>
      <c r="AY179" t="inlineStr"/>
      <c r="AZ179" t="inlineStr"/>
      <c r="BA179" t="inlineStr"/>
      <c r="BB179" t="inlineStr"/>
      <c r="BC179" t="inlineStr"/>
      <c r="BD179" t="inlineStr"/>
      <c r="BE179" t="inlineStr"/>
      <c r="BF179" t="inlineStr"/>
      <c r="BG179" t="inlineStr">
        <is>
          <t>x</t>
        </is>
      </c>
      <c r="BH179" t="inlineStr"/>
      <c r="BI179" t="inlineStr"/>
      <c r="BJ179" t="inlineStr"/>
      <c r="BK179" t="inlineStr"/>
      <c r="BL179" t="n">
        <v>180</v>
      </c>
      <c r="BM179" t="inlineStr"/>
      <c r="BN179" t="inlineStr"/>
      <c r="BO179" t="inlineStr"/>
      <c r="BP179" t="inlineStr"/>
      <c r="BQ179" t="inlineStr"/>
      <c r="BR179" t="inlineStr">
        <is>
          <t>n</t>
        </is>
      </c>
      <c r="BS179" t="n">
        <v>0</v>
      </c>
      <c r="BT179" t="inlineStr"/>
      <c r="BU179" t="inlineStr"/>
      <c r="BV179" t="inlineStr"/>
      <c r="BW179" t="inlineStr"/>
      <c r="BX179" t="inlineStr">
        <is>
          <t>x</t>
        </is>
      </c>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c r="DH179" t="inlineStr"/>
      <c r="DI179" t="inlineStr"/>
      <c r="DJ179" t="inlineStr"/>
      <c r="DK179" t="inlineStr"/>
      <c r="DL179" t="inlineStr"/>
    </row>
    <row r="180">
      <c r="A180" t="inlineStr">
        <is>
          <t>Schreibmeister</t>
        </is>
      </c>
      <c r="B180" t="b">
        <v>1</v>
      </c>
      <c r="C180" t="inlineStr"/>
      <c r="D180" t="inlineStr"/>
      <c r="E180" t="n">
        <v>167</v>
      </c>
      <c r="F180">
        <f>HYPERLINK("https://portal.dnb.de/opac.htm?method=simpleSearch&amp;cqlMode=true&amp;query=idn%3D986959332", "Portal")</f>
        <v/>
      </c>
      <c r="G180" t="inlineStr">
        <is>
          <t>Aa</t>
        </is>
      </c>
      <c r="H180">
        <f>HYPERLINK("https://portal.dnb.de/opac.htm?method=simpleSearch&amp;cqlMode=true&amp;query=idn%3D986959332", "Portal")</f>
        <v/>
      </c>
      <c r="I180" t="inlineStr">
        <is>
          <t>L-2008-303179</t>
        </is>
      </c>
      <c r="J180" t="inlineStr">
        <is>
          <t>986959332</t>
        </is>
      </c>
      <c r="K180" t="inlineStr">
        <is>
          <t>Cb 506</t>
        </is>
      </c>
      <c r="L180" t="inlineStr">
        <is>
          <t>Cb 506</t>
        </is>
      </c>
      <c r="M180" t="inlineStr">
        <is>
          <t>Cb 506</t>
        </is>
      </c>
      <c r="N180" t="inlineStr">
        <is>
          <t xml:space="preserve">Handleiding tot de schrijfkunst, naar vaste regelen, met aanwijzing van de meest in het oog vallende afwijkingen : </t>
        </is>
      </c>
      <c r="O180" t="inlineStr">
        <is>
          <t xml:space="preserve"> : </t>
        </is>
      </c>
      <c r="P180" t="inlineStr">
        <is>
          <t>Cb 506</t>
        </is>
      </c>
      <c r="Q180" t="inlineStr"/>
      <c r="R180" t="inlineStr"/>
      <c r="S180" t="inlineStr">
        <is>
          <t xml:space="preserve">Handleiding tot de schrijfkunst, naar vaste regelen, met aanwijzing van de meest in het oog vallende afwijkingen : </t>
        </is>
      </c>
      <c r="T180" t="inlineStr">
        <is>
          <t xml:space="preserve"> : </t>
        </is>
      </c>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BR180" t="inlineStr"/>
      <c r="BS180" t="n">
        <v>0</v>
      </c>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c r="DH180" t="inlineStr"/>
      <c r="DI180" t="inlineStr"/>
      <c r="DJ180" t="inlineStr"/>
      <c r="DK180" t="inlineStr"/>
      <c r="DL180" t="inlineStr"/>
    </row>
    <row r="181">
      <c r="A181" t="inlineStr">
        <is>
          <t>Schreibmeister</t>
        </is>
      </c>
      <c r="B181" t="b">
        <v>1</v>
      </c>
      <c r="C181" t="inlineStr"/>
      <c r="D181" t="inlineStr"/>
      <c r="E181" t="inlineStr"/>
      <c r="F181">
        <f>HYPERLINK("https://portal.dnb.de/opac.htm?method=simpleSearch&amp;cqlMode=true&amp;query=idn%3D988014165", "Portal")</f>
        <v/>
      </c>
      <c r="G181" t="inlineStr">
        <is>
          <t>Aa</t>
        </is>
      </c>
      <c r="H181">
        <f>HYPERLINK("https://portal.dnb.de/opac.htm?method=simpleSearch&amp;cqlMode=true&amp;query=idn%3D988014165", "Portal")</f>
        <v/>
      </c>
      <c r="I181" t="inlineStr">
        <is>
          <t>L-2008-306765</t>
        </is>
      </c>
      <c r="J181" t="inlineStr">
        <is>
          <t>988014165</t>
        </is>
      </c>
      <c r="K181" t="inlineStr">
        <is>
          <t>Cb 513</t>
        </is>
      </c>
      <c r="L181" t="inlineStr">
        <is>
          <t>Cb 513</t>
        </is>
      </c>
      <c r="M181" t="inlineStr">
        <is>
          <t>Cb 513</t>
        </is>
      </c>
      <c r="N181" t="inlineStr">
        <is>
          <t>Arte de escribir por reglas y con muestras segun la doctrina de los mejores autores antiguos y modernos, estrangeros y nacionales : acompan^ado de uno</t>
        </is>
      </c>
      <c r="O181" t="inlineStr">
        <is>
          <t xml:space="preserve"> : </t>
        </is>
      </c>
      <c r="P181" t="inlineStr">
        <is>
          <t>Cb 513</t>
        </is>
      </c>
      <c r="Q181" t="inlineStr">
        <is>
          <t>1800,00 EUR</t>
        </is>
      </c>
      <c r="R181" t="inlineStr"/>
      <c r="S181" t="inlineStr">
        <is>
          <t>Arte de escribir por reglas y con muestras segun la doctrina de los mejores autores antiguos y modernos, estrangeros y nacionales : acompan^ado de uno</t>
        </is>
      </c>
      <c r="T181" t="inlineStr">
        <is>
          <t xml:space="preserve"> : </t>
        </is>
      </c>
      <c r="U181" t="inlineStr"/>
      <c r="V181" t="inlineStr">
        <is>
          <t>1800,00 EUR</t>
        </is>
      </c>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c r="DH181" t="inlineStr"/>
      <c r="DI181" t="inlineStr"/>
      <c r="DJ181" t="inlineStr"/>
      <c r="DK181" t="inlineStr"/>
      <c r="DL181" t="inlineStr"/>
    </row>
    <row r="182">
      <c r="A182" t="inlineStr">
        <is>
          <t>Schreibmeister</t>
        </is>
      </c>
      <c r="B182" t="b">
        <v>1</v>
      </c>
      <c r="C182" t="inlineStr"/>
      <c r="D182" t="inlineStr"/>
      <c r="E182" t="n">
        <v>169</v>
      </c>
      <c r="F182">
        <f>HYPERLINK("https://portal.dnb.de/opac.htm?method=simpleSearch&amp;cqlMode=true&amp;query=idn%3D1003923283", "Portal")</f>
        <v/>
      </c>
      <c r="G182" t="inlineStr">
        <is>
          <t>Af</t>
        </is>
      </c>
      <c r="H182">
        <f>HYPERLINK("https://portal.dnb.de/opac.htm?method=simpleSearch&amp;cqlMode=true&amp;query=idn%3D1003923283", "Portal")</f>
        <v/>
      </c>
      <c r="I182" t="inlineStr">
        <is>
          <t>L-2010-309937</t>
        </is>
      </c>
      <c r="J182" t="inlineStr">
        <is>
          <t>1003923283</t>
        </is>
      </c>
      <c r="K182" t="inlineStr">
        <is>
          <t>Cb 556</t>
        </is>
      </c>
      <c r="L182" t="inlineStr">
        <is>
          <t>Cb 556</t>
        </is>
      </c>
      <c r="M182" t="inlineStr">
        <is>
          <t>Cb 556</t>
        </is>
      </c>
      <c r="N182" t="inlineStr">
        <is>
          <t>Der @Schreibmeister oder Anweisung, wie ein jeder sich selbst lehren kann eine schöne franzoesische Hand im englischen und franzoesischen Ductus zu sc</t>
        </is>
      </c>
      <c r="O182" t="inlineStr">
        <is>
          <t xml:space="preserve">H. 3 : </t>
        </is>
      </c>
      <c r="P182" t="inlineStr">
        <is>
          <t>Cb 556</t>
        </is>
      </c>
      <c r="Q182" t="inlineStr"/>
      <c r="R182" t="inlineStr"/>
      <c r="S182" t="inlineStr">
        <is>
          <t>Der @Schreibmeister oder Anweisung, wie ein jeder sich selbst lehren kann eine schöne franzoesische Hand im englischen und franzoesischen Ductus zu sc</t>
        </is>
      </c>
      <c r="T182" t="inlineStr">
        <is>
          <t xml:space="preserve">H. 3 : </t>
        </is>
      </c>
      <c r="U182" t="inlineStr"/>
      <c r="V182" t="inlineStr"/>
      <c r="W182" t="inlineStr"/>
      <c r="X182" t="inlineStr">
        <is>
          <t>bis 25 cm</t>
        </is>
      </c>
      <c r="Y182" t="inlineStr"/>
      <c r="Z182" t="inlineStr"/>
      <c r="AA182" t="inlineStr"/>
      <c r="AB182" t="inlineStr"/>
      <c r="AC182" t="inlineStr"/>
      <c r="AD182" t="inlineStr"/>
      <c r="AE182" t="inlineStr"/>
      <c r="AF182" t="inlineStr"/>
      <c r="AG182" t="inlineStr"/>
      <c r="AH182" t="inlineStr"/>
      <c r="AI182" t="inlineStr"/>
      <c r="AJ182" t="inlineStr"/>
      <c r="AK182" t="inlineStr">
        <is>
          <t>QF (36x21)</t>
        </is>
      </c>
      <c r="AL182" t="inlineStr"/>
      <c r="AM182" t="inlineStr"/>
      <c r="AN182" t="inlineStr">
        <is>
          <t>oE</t>
        </is>
      </c>
      <c r="AO182" t="inlineStr"/>
      <c r="AP182" t="inlineStr"/>
      <c r="AQ182" t="inlineStr"/>
      <c r="AR182" t="inlineStr"/>
      <c r="AS182" t="inlineStr"/>
      <c r="AT182" t="inlineStr"/>
      <c r="AU182" t="inlineStr"/>
      <c r="AV182" t="inlineStr"/>
      <c r="AW182" t="inlineStr"/>
      <c r="AX182" t="inlineStr">
        <is>
          <t>Pa</t>
        </is>
      </c>
      <c r="AY182" t="inlineStr"/>
      <c r="AZ182" t="inlineStr"/>
      <c r="BA182" t="inlineStr">
        <is>
          <t>x</t>
        </is>
      </c>
      <c r="BB182" t="inlineStr"/>
      <c r="BC182" t="inlineStr"/>
      <c r="BD182" t="inlineStr"/>
      <c r="BE182" t="inlineStr"/>
      <c r="BF182" t="inlineStr"/>
      <c r="BG182" t="inlineStr">
        <is>
          <t>x</t>
        </is>
      </c>
      <c r="BH182" t="inlineStr"/>
      <c r="BI182" t="inlineStr">
        <is>
          <t>x</t>
        </is>
      </c>
      <c r="BJ182" t="inlineStr"/>
      <c r="BK182" t="inlineStr"/>
      <c r="BL182" t="inlineStr">
        <is>
          <t>nur 110</t>
        </is>
      </c>
      <c r="BM182" t="inlineStr"/>
      <c r="BN182" t="inlineStr"/>
      <c r="BO182" t="inlineStr"/>
      <c r="BP182" t="inlineStr"/>
      <c r="BQ182" t="inlineStr"/>
      <c r="BR182" t="inlineStr">
        <is>
          <t>n</t>
        </is>
      </c>
      <c r="BS182" t="n">
        <v>0</v>
      </c>
      <c r="BT182" t="inlineStr"/>
      <c r="BU182" t="inlineStr"/>
      <c r="BV182" t="inlineStr"/>
      <c r="BW182" t="inlineStr"/>
      <c r="BX182" t="inlineStr">
        <is>
          <t>x</t>
        </is>
      </c>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c r="DH182" t="inlineStr"/>
      <c r="DI182" t="inlineStr"/>
      <c r="DJ182" t="inlineStr"/>
      <c r="DK182" t="inlineStr"/>
      <c r="DL182" t="inlineStr"/>
    </row>
    <row r="183">
      <c r="A183" t="inlineStr">
        <is>
          <t>Schreibmeister</t>
        </is>
      </c>
      <c r="B183" t="b">
        <v>1</v>
      </c>
      <c r="C183" t="inlineStr"/>
      <c r="D183" t="inlineStr"/>
      <c r="E183" t="n">
        <v>170</v>
      </c>
      <c r="F183">
        <f>HYPERLINK("https://portal.dnb.de/opac.htm?method=simpleSearch&amp;cqlMode=true&amp;query=idn%3D1009878972", "Portal")</f>
        <v/>
      </c>
      <c r="G183" t="inlineStr">
        <is>
          <t>Aa</t>
        </is>
      </c>
      <c r="H183">
        <f>HYPERLINK("https://portal.dnb.de/opac.htm?method=simpleSearch&amp;cqlMode=true&amp;query=idn%3D1009878972", "Portal")</f>
        <v/>
      </c>
      <c r="I183" t="inlineStr">
        <is>
          <t>L-2011-301613</t>
        </is>
      </c>
      <c r="J183" t="inlineStr">
        <is>
          <t>1009878972</t>
        </is>
      </c>
      <c r="K183" t="inlineStr">
        <is>
          <t>Cb 579</t>
        </is>
      </c>
      <c r="L183" t="inlineStr">
        <is>
          <t>Cb 579</t>
        </is>
      </c>
      <c r="M183" t="inlineStr">
        <is>
          <t>Cb 579</t>
        </is>
      </c>
      <c r="N183" t="inlineStr">
        <is>
          <t xml:space="preserve">Vorschriften zum nützlichen Gebrauch für die Jugend : </t>
        </is>
      </c>
      <c r="O183" t="inlineStr">
        <is>
          <t xml:space="preserve"> : </t>
        </is>
      </c>
      <c r="P183" t="inlineStr">
        <is>
          <t>Cb 579</t>
        </is>
      </c>
      <c r="Q183" t="inlineStr"/>
      <c r="R183" t="inlineStr"/>
      <c r="S183" t="inlineStr">
        <is>
          <t xml:space="preserve">Vorschriften zum nützlichen Gebrauch für die Jugend : </t>
        </is>
      </c>
      <c r="T183" t="inlineStr">
        <is>
          <t xml:space="preserve"> : </t>
        </is>
      </c>
      <c r="U183" t="inlineStr"/>
      <c r="V183" t="inlineStr"/>
      <c r="W183" t="inlineStr"/>
      <c r="X183" t="inlineStr">
        <is>
          <t>bis 25 cm</t>
        </is>
      </c>
      <c r="Y183" t="inlineStr"/>
      <c r="Z183" t="inlineStr"/>
      <c r="AA183" t="inlineStr"/>
      <c r="AB183" t="inlineStr"/>
      <c r="AC183" t="inlineStr"/>
      <c r="AD183" t="inlineStr"/>
      <c r="AE183" t="inlineStr"/>
      <c r="AF183" t="inlineStr"/>
      <c r="AG183" t="inlineStr"/>
      <c r="AH183" t="inlineStr"/>
      <c r="AI183" t="inlineStr"/>
      <c r="AJ183" t="inlineStr"/>
      <c r="AK183" t="inlineStr">
        <is>
          <t>QF (22x18)</t>
        </is>
      </c>
      <c r="AL183" t="inlineStr"/>
      <c r="AM183" t="inlineStr"/>
      <c r="AN183" t="inlineStr">
        <is>
          <t>Br</t>
        </is>
      </c>
      <c r="AO183" t="inlineStr"/>
      <c r="AP183" t="inlineStr"/>
      <c r="AQ183" t="inlineStr">
        <is>
          <t>x</t>
        </is>
      </c>
      <c r="AR183" t="inlineStr"/>
      <c r="AS183" t="inlineStr"/>
      <c r="AT183" t="inlineStr"/>
      <c r="AU183" t="inlineStr"/>
      <c r="AV183" t="inlineStr"/>
      <c r="AW183" t="inlineStr"/>
      <c r="AX183" t="inlineStr">
        <is>
          <t>Pa</t>
        </is>
      </c>
      <c r="AY183" t="inlineStr"/>
      <c r="AZ183" t="inlineStr"/>
      <c r="BA183" t="inlineStr">
        <is>
          <t>x</t>
        </is>
      </c>
      <c r="BB183" t="inlineStr"/>
      <c r="BC183" t="inlineStr"/>
      <c r="BD183" t="inlineStr"/>
      <c r="BE183" t="inlineStr"/>
      <c r="BF183" t="inlineStr"/>
      <c r="BG183" t="inlineStr">
        <is>
          <t>x</t>
        </is>
      </c>
      <c r="BH183" t="inlineStr"/>
      <c r="BI183" t="inlineStr">
        <is>
          <t>x</t>
        </is>
      </c>
      <c r="BJ183" t="inlineStr"/>
      <c r="BK183" t="inlineStr"/>
      <c r="BL183" t="inlineStr">
        <is>
          <t>nur 110</t>
        </is>
      </c>
      <c r="BM183" t="inlineStr"/>
      <c r="BN183" t="inlineStr"/>
      <c r="BO183" t="inlineStr"/>
      <c r="BP183" t="inlineStr"/>
      <c r="BQ183" t="inlineStr"/>
      <c r="BR183" t="inlineStr">
        <is>
          <t>n</t>
        </is>
      </c>
      <c r="BS183" t="n">
        <v>0</v>
      </c>
      <c r="BT183" t="inlineStr"/>
      <c r="BU183" t="inlineStr"/>
      <c r="BV183" t="inlineStr"/>
      <c r="BW183" t="inlineStr"/>
      <c r="BX183" t="inlineStr">
        <is>
          <t>x</t>
        </is>
      </c>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c r="DH183" t="inlineStr"/>
      <c r="DI183" t="inlineStr"/>
      <c r="DJ183" t="inlineStr"/>
      <c r="DK183" t="inlineStr"/>
      <c r="DL183" t="inlineStr"/>
    </row>
    <row r="184">
      <c r="A184" t="inlineStr">
        <is>
          <t>Schreibmeister</t>
        </is>
      </c>
      <c r="B184" t="b">
        <v>1</v>
      </c>
      <c r="C184" t="inlineStr"/>
      <c r="D184" t="inlineStr"/>
      <c r="E184" t="n">
        <v>171</v>
      </c>
      <c r="F184">
        <f>HYPERLINK("https://portal.dnb.de/opac.htm?method=simpleSearch&amp;cqlMode=true&amp;query=idn%3D1017059594", "Portal")</f>
        <v/>
      </c>
      <c r="G184" t="inlineStr">
        <is>
          <t>Aa</t>
        </is>
      </c>
      <c r="H184">
        <f>HYPERLINK("https://portal.dnb.de/opac.htm?method=simpleSearch&amp;cqlMode=true&amp;query=idn%3D1017059594", "Portal")</f>
        <v/>
      </c>
      <c r="I184" t="inlineStr">
        <is>
          <t>L-2011-324366</t>
        </is>
      </c>
      <c r="J184" t="inlineStr">
        <is>
          <t>1017059594</t>
        </is>
      </c>
      <c r="K184" t="inlineStr">
        <is>
          <t>Cb 591</t>
        </is>
      </c>
      <c r="L184" t="inlineStr">
        <is>
          <t>Cb 591</t>
        </is>
      </c>
      <c r="M184" t="inlineStr">
        <is>
          <t>Cb 591</t>
        </is>
      </c>
      <c r="N184" t="inlineStr">
        <is>
          <t>Panchrestographie : Toutes les figures cy dessus sont formees d'un seul traict</t>
        </is>
      </c>
      <c r="O184" t="inlineStr">
        <is>
          <t xml:space="preserve"> : </t>
        </is>
      </c>
      <c r="P184" t="inlineStr">
        <is>
          <t>Cb 591</t>
        </is>
      </c>
      <c r="Q184" t="inlineStr"/>
      <c r="R184" t="inlineStr"/>
      <c r="S184" t="inlineStr">
        <is>
          <t>Panchrestographie : Toutes les figures cy dessus sont formees d'un seul traict</t>
        </is>
      </c>
      <c r="T184" t="inlineStr">
        <is>
          <t xml:space="preserve"> : </t>
        </is>
      </c>
      <c r="U184" t="inlineStr"/>
      <c r="V184" t="inlineStr"/>
      <c r="W184" t="inlineStr"/>
      <c r="X184" t="inlineStr">
        <is>
          <t>bis 25 cm</t>
        </is>
      </c>
      <c r="Y184" t="inlineStr"/>
      <c r="Z184" t="inlineStr"/>
      <c r="AA184" t="inlineStr"/>
      <c r="AB184" t="inlineStr"/>
      <c r="AC184" t="inlineStr"/>
      <c r="AD184" t="inlineStr"/>
      <c r="AE184" t="inlineStr"/>
      <c r="AF184" t="inlineStr"/>
      <c r="AG184" t="inlineStr"/>
      <c r="AH184" t="inlineStr"/>
      <c r="AI184" t="inlineStr"/>
      <c r="AJ184" t="inlineStr"/>
      <c r="AK184" t="inlineStr">
        <is>
          <t>QF (29x19)</t>
        </is>
      </c>
      <c r="AL184" t="inlineStr"/>
      <c r="AM184" t="inlineStr"/>
      <c r="AN184" t="inlineStr">
        <is>
          <t>Pg</t>
        </is>
      </c>
      <c r="AO184" t="inlineStr"/>
      <c r="AP184" t="inlineStr"/>
      <c r="AQ184" t="inlineStr">
        <is>
          <t>x</t>
        </is>
      </c>
      <c r="AR184" t="inlineStr">
        <is>
          <t>h</t>
        </is>
      </c>
      <c r="AS184" t="inlineStr"/>
      <c r="AT184" t="inlineStr"/>
      <c r="AU184" t="inlineStr"/>
      <c r="AV184" t="inlineStr"/>
      <c r="AW184" t="inlineStr"/>
      <c r="AX184" t="inlineStr">
        <is>
          <t>Pa</t>
        </is>
      </c>
      <c r="AY184" t="inlineStr"/>
      <c r="AZ184" t="inlineStr"/>
      <c r="BA184" t="inlineStr"/>
      <c r="BB184" t="inlineStr"/>
      <c r="BC184" t="inlineStr"/>
      <c r="BD184" t="inlineStr"/>
      <c r="BE184" t="inlineStr"/>
      <c r="BF184" t="inlineStr"/>
      <c r="BG184" t="inlineStr">
        <is>
          <t>x</t>
        </is>
      </c>
      <c r="BH184" t="inlineStr"/>
      <c r="BI184" t="inlineStr">
        <is>
          <t>x</t>
        </is>
      </c>
      <c r="BJ184" t="inlineStr"/>
      <c r="BK184" t="inlineStr"/>
      <c r="BL184" t="n">
        <v>110</v>
      </c>
      <c r="BM184" t="inlineStr"/>
      <c r="BN184" t="inlineStr"/>
      <c r="BO184" t="inlineStr"/>
      <c r="BP184" t="inlineStr"/>
      <c r="BQ184" t="inlineStr"/>
      <c r="BR184" t="inlineStr">
        <is>
          <t>n</t>
        </is>
      </c>
      <c r="BS184" t="n">
        <v>0</v>
      </c>
      <c r="BT184" t="inlineStr"/>
      <c r="BU184" t="inlineStr"/>
      <c r="BV184" t="inlineStr"/>
      <c r="BW184" t="inlineStr"/>
      <c r="BX184" t="inlineStr">
        <is>
          <t>x</t>
        </is>
      </c>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c r="DH184" t="inlineStr"/>
      <c r="DI184" t="inlineStr"/>
      <c r="DJ184" t="inlineStr"/>
      <c r="DK184" t="inlineStr"/>
      <c r="DL184" t="inlineStr"/>
    </row>
    <row r="185">
      <c r="A185" t="inlineStr">
        <is>
          <t>Schreibmeister</t>
        </is>
      </c>
      <c r="B185" t="b">
        <v>1</v>
      </c>
      <c r="C185" t="inlineStr"/>
      <c r="D185" t="inlineStr"/>
      <c r="E185" t="n">
        <v>172</v>
      </c>
      <c r="F185">
        <f>HYPERLINK("https://portal.dnb.de/opac.htm?method=simpleSearch&amp;cqlMode=true&amp;query=idn%3D1017209332", "Portal")</f>
        <v/>
      </c>
      <c r="G185" t="inlineStr">
        <is>
          <t>Aa</t>
        </is>
      </c>
      <c r="H185">
        <f>HYPERLINK("https://portal.dnb.de/opac.htm?method=simpleSearch&amp;cqlMode=true&amp;query=idn%3D1017209332", "Portal")</f>
        <v/>
      </c>
      <c r="I185" t="inlineStr">
        <is>
          <t>L-2011-325542</t>
        </is>
      </c>
      <c r="J185" t="inlineStr">
        <is>
          <t>1017209332</t>
        </is>
      </c>
      <c r="K185" t="inlineStr">
        <is>
          <t>Cb 592</t>
        </is>
      </c>
      <c r="L185" t="inlineStr">
        <is>
          <t>Cb 592</t>
        </is>
      </c>
      <c r="M185" t="inlineStr">
        <is>
          <t>Cb 592</t>
        </is>
      </c>
      <c r="N185" t="inlineStr">
        <is>
          <t>The @Pen-mans Paradis both Pleasant and Profitable Or Examples of all y usuall Hands of this Kingdome. Adorn'd with variety of ffigures and Flourishes</t>
        </is>
      </c>
      <c r="O185" t="inlineStr">
        <is>
          <t xml:space="preserve"> : </t>
        </is>
      </c>
      <c r="P185" t="inlineStr">
        <is>
          <t>Cb 592</t>
        </is>
      </c>
      <c r="Q185" t="inlineStr"/>
      <c r="R185" t="inlineStr"/>
      <c r="S185" t="inlineStr">
        <is>
          <t>The @Pen-mans Paradis both Pleasant and Profitable Or Examples of all y usuall Hands of this Kingdome. Adorn'd with variety of ffigures and Flourishes</t>
        </is>
      </c>
      <c r="T185" t="inlineStr">
        <is>
          <t xml:space="preserve"> : </t>
        </is>
      </c>
      <c r="U185" t="inlineStr"/>
      <c r="V185" t="inlineStr"/>
      <c r="W185" t="inlineStr"/>
      <c r="X185" t="inlineStr">
        <is>
          <t>bis 25 cm</t>
        </is>
      </c>
      <c r="Y185" t="inlineStr"/>
      <c r="Z185" t="inlineStr"/>
      <c r="AA185" t="inlineStr"/>
      <c r="AB185" t="inlineStr"/>
      <c r="AC185" t="inlineStr"/>
      <c r="AD185" t="inlineStr"/>
      <c r="AE185" t="inlineStr"/>
      <c r="AF185" t="inlineStr"/>
      <c r="AG185" t="inlineStr"/>
      <c r="AH185" t="inlineStr"/>
      <c r="AI185" t="inlineStr"/>
      <c r="AJ185" t="inlineStr"/>
      <c r="AK185" t="inlineStr">
        <is>
          <t>QF (31x22)</t>
        </is>
      </c>
      <c r="AL185" t="inlineStr"/>
      <c r="AM185" t="inlineStr"/>
      <c r="AN185" t="inlineStr">
        <is>
          <t>L</t>
        </is>
      </c>
      <c r="AO185" t="inlineStr"/>
      <c r="AP185" t="inlineStr"/>
      <c r="AQ185" t="inlineStr">
        <is>
          <t>x</t>
        </is>
      </c>
      <c r="AR185" t="inlineStr">
        <is>
          <t>h/E</t>
        </is>
      </c>
      <c r="AS185" t="inlineStr"/>
      <c r="AT185" t="inlineStr"/>
      <c r="AU185" t="inlineStr"/>
      <c r="AV185" t="inlineStr"/>
      <c r="AW185" t="inlineStr"/>
      <c r="AX185" t="inlineStr">
        <is>
          <t>Pa</t>
        </is>
      </c>
      <c r="AY185" t="inlineStr"/>
      <c r="AZ185" t="inlineStr"/>
      <c r="BA185" t="inlineStr"/>
      <c r="BB185" t="inlineStr"/>
      <c r="BC185" t="inlineStr"/>
      <c r="BD185" t="inlineStr"/>
      <c r="BE185" t="inlineStr"/>
      <c r="BF185" t="inlineStr"/>
      <c r="BG185" t="inlineStr">
        <is>
          <t>x</t>
        </is>
      </c>
      <c r="BH185" t="inlineStr"/>
      <c r="BI185" t="inlineStr">
        <is>
          <t>x</t>
        </is>
      </c>
      <c r="BJ185" t="inlineStr"/>
      <c r="BK185" t="inlineStr"/>
      <c r="BL185" t="n">
        <v>110</v>
      </c>
      <c r="BM185" t="inlineStr"/>
      <c r="BN185" t="inlineStr"/>
      <c r="BO185" t="inlineStr"/>
      <c r="BP185" t="inlineStr"/>
      <c r="BQ185" t="inlineStr"/>
      <c r="BR185" t="inlineStr">
        <is>
          <t>n</t>
        </is>
      </c>
      <c r="BS185" t="n">
        <v>0</v>
      </c>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c r="DH185" t="inlineStr"/>
      <c r="DI185" t="inlineStr"/>
      <c r="DJ185" t="inlineStr"/>
      <c r="DK185" t="inlineStr"/>
      <c r="DL185" t="inlineStr"/>
    </row>
    <row r="186">
      <c r="A186" t="inlineStr">
        <is>
          <t>Schreibmeister</t>
        </is>
      </c>
      <c r="B186" t="b">
        <v>1</v>
      </c>
      <c r="C186" t="inlineStr"/>
      <c r="D186" t="inlineStr"/>
      <c r="E186" t="n">
        <v>173</v>
      </c>
      <c r="F186">
        <f>HYPERLINK("https://portal.dnb.de/opac.htm?method=simpleSearch&amp;cqlMode=true&amp;query=idn%3D1017104387", "Portal")</f>
        <v/>
      </c>
      <c r="G186" t="inlineStr">
        <is>
          <t>Aa</t>
        </is>
      </c>
      <c r="H186">
        <f>HYPERLINK("https://portal.dnb.de/opac.htm?method=simpleSearch&amp;cqlMode=true&amp;query=idn%3D1017104387", "Portal")</f>
        <v/>
      </c>
      <c r="I186" t="inlineStr">
        <is>
          <t>L-2011-325541</t>
        </is>
      </c>
      <c r="J186" t="inlineStr">
        <is>
          <t>1017104387</t>
        </is>
      </c>
      <c r="K186" t="inlineStr">
        <is>
          <t>Cb 593</t>
        </is>
      </c>
      <c r="L186" t="inlineStr">
        <is>
          <t>Cb 593</t>
        </is>
      </c>
      <c r="M186" t="inlineStr">
        <is>
          <t>Cb 593</t>
        </is>
      </c>
      <c r="N186" t="inlineStr">
        <is>
          <t>Tableau géographique des quatre parties du monde : orné de treize gravures coloriées, Représentant les costumes des Peuples qui habitent les différent</t>
        </is>
      </c>
      <c r="O186" t="inlineStr">
        <is>
          <t xml:space="preserve"> : </t>
        </is>
      </c>
      <c r="P186" t="inlineStr">
        <is>
          <t>Cb 593</t>
        </is>
      </c>
      <c r="Q186" t="inlineStr"/>
      <c r="R186" t="inlineStr"/>
      <c r="S186" t="inlineStr">
        <is>
          <t>Tableau géographique des quatre parties du monde : orné de treize gravures coloriées, Représentant les costumes des Peuples qui habitent les différent</t>
        </is>
      </c>
      <c r="T186" t="inlineStr">
        <is>
          <t xml:space="preserve"> : </t>
        </is>
      </c>
      <c r="U186" t="inlineStr"/>
      <c r="V186" t="inlineStr"/>
      <c r="W186" t="inlineStr"/>
      <c r="X186" t="inlineStr">
        <is>
          <t>bis 25 cm</t>
        </is>
      </c>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is>
          <t>L</t>
        </is>
      </c>
      <c r="AO186" t="inlineStr"/>
      <c r="AP186" t="inlineStr"/>
      <c r="AQ186" t="inlineStr"/>
      <c r="AR186" t="inlineStr">
        <is>
          <t>f/V</t>
        </is>
      </c>
      <c r="AS186" t="inlineStr"/>
      <c r="AT186" t="inlineStr"/>
      <c r="AU186" t="inlineStr"/>
      <c r="AV186" t="inlineStr"/>
      <c r="AW186" t="inlineStr"/>
      <c r="AX186" t="inlineStr">
        <is>
          <t>Pa</t>
        </is>
      </c>
      <c r="AY186" t="inlineStr"/>
      <c r="AZ186" t="inlineStr"/>
      <c r="BA186" t="inlineStr"/>
      <c r="BB186" t="inlineStr"/>
      <c r="BC186" t="inlineStr"/>
      <c r="BD186" t="inlineStr"/>
      <c r="BE186" t="inlineStr">
        <is>
          <t>x</t>
        </is>
      </c>
      <c r="BF186" t="inlineStr"/>
      <c r="BG186" t="inlineStr"/>
      <c r="BH186" t="inlineStr">
        <is>
          <t>K</t>
        </is>
      </c>
      <c r="BI186" t="inlineStr">
        <is>
          <t>x</t>
        </is>
      </c>
      <c r="BJ186" t="inlineStr"/>
      <c r="BK186" t="inlineStr"/>
      <c r="BL186" t="n">
        <v>0</v>
      </c>
      <c r="BM186" t="inlineStr">
        <is>
          <t xml:space="preserve">
aus konservatorischen Gründen
</t>
        </is>
      </c>
      <c r="BN186" t="inlineStr"/>
      <c r="BO186" t="inlineStr"/>
      <c r="BP186" t="inlineStr"/>
      <c r="BQ186" t="inlineStr"/>
      <c r="BR186" t="inlineStr">
        <is>
          <t>n</t>
        </is>
      </c>
      <c r="BS186" t="n">
        <v>0</v>
      </c>
      <c r="BT186" t="inlineStr"/>
      <c r="BU186" t="inlineStr"/>
      <c r="BV186" t="inlineStr"/>
      <c r="BW186" t="inlineStr"/>
      <c r="BX186" t="inlineStr"/>
      <c r="BY186" t="inlineStr">
        <is>
          <t>x sauer</t>
        </is>
      </c>
      <c r="BZ186" t="inlineStr">
        <is>
          <t>x</t>
        </is>
      </c>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c r="DH186" t="inlineStr"/>
      <c r="DI186" t="inlineStr"/>
      <c r="DJ186" t="inlineStr"/>
      <c r="DK186" t="inlineStr"/>
      <c r="DL186" t="inlineStr"/>
    </row>
    <row r="187">
      <c r="A187" t="inlineStr">
        <is>
          <t>Schreibmeister</t>
        </is>
      </c>
      <c r="B187" t="b">
        <v>1</v>
      </c>
      <c r="C187" t="inlineStr"/>
      <c r="D187" t="inlineStr"/>
      <c r="E187" t="n">
        <v>176</v>
      </c>
      <c r="F187">
        <f>HYPERLINK("https://portal.dnb.de/opac.htm?method=simpleSearch&amp;cqlMode=true&amp;query=idn%3D1035713691", "Portal")</f>
        <v/>
      </c>
      <c r="G187" t="inlineStr">
        <is>
          <t>Aa</t>
        </is>
      </c>
      <c r="H187">
        <f>HYPERLINK("https://portal.dnb.de/opac.htm?method=simpleSearch&amp;cqlMode=true&amp;query=idn%3D1035713691", "Portal")</f>
        <v/>
      </c>
      <c r="I187" t="inlineStr">
        <is>
          <t>L-2013-312885</t>
        </is>
      </c>
      <c r="J187" t="inlineStr">
        <is>
          <t>1035713691</t>
        </is>
      </c>
      <c r="K187" t="inlineStr">
        <is>
          <t>Cb 643</t>
        </is>
      </c>
      <c r="L187" t="inlineStr">
        <is>
          <t>Cb 643</t>
        </is>
      </c>
      <c r="M187" t="inlineStr">
        <is>
          <t>Cb 643</t>
        </is>
      </c>
      <c r="N187" t="inlineStr">
        <is>
          <t xml:space="preserve">Lehrbuch der Kunst schön und geschwind zu schreiben : </t>
        </is>
      </c>
      <c r="O187" t="inlineStr">
        <is>
          <t xml:space="preserve"> : </t>
        </is>
      </c>
      <c r="P187" t="inlineStr">
        <is>
          <t>Cb 643</t>
        </is>
      </c>
      <c r="Q187" t="inlineStr"/>
      <c r="R187" t="inlineStr"/>
      <c r="S187" t="inlineStr">
        <is>
          <t xml:space="preserve">Lehrbuch der Kunst schön und geschwind zu schreiben : </t>
        </is>
      </c>
      <c r="T187" t="inlineStr">
        <is>
          <t xml:space="preserve"> : </t>
        </is>
      </c>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BR187" t="inlineStr"/>
      <c r="BS187" t="n">
        <v>0</v>
      </c>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c r="DH187" t="inlineStr"/>
      <c r="DI187" t="inlineStr"/>
      <c r="DJ187" t="inlineStr"/>
      <c r="DK187" t="inlineStr"/>
      <c r="DL187" t="inlineStr"/>
    </row>
    <row r="188">
      <c r="A188" t="inlineStr">
        <is>
          <t>Schreibmeister</t>
        </is>
      </c>
      <c r="B188" t="b">
        <v>1</v>
      </c>
      <c r="C188" t="inlineStr"/>
      <c r="D188" t="inlineStr"/>
      <c r="E188" t="n">
        <v>177</v>
      </c>
      <c r="F188">
        <f>HYPERLINK("https://portal.dnb.de/opac.htm?method=simpleSearch&amp;cqlMode=true&amp;query=idn%3D1037333772", "Portal")</f>
        <v/>
      </c>
      <c r="G188" t="inlineStr">
        <is>
          <t>Aa</t>
        </is>
      </c>
      <c r="H188">
        <f>HYPERLINK("https://portal.dnb.de/opac.htm?method=simpleSearch&amp;cqlMode=true&amp;query=idn%3D1037333772", "Portal")</f>
        <v/>
      </c>
      <c r="I188" t="inlineStr">
        <is>
          <t>L-2013-318322</t>
        </is>
      </c>
      <c r="J188" t="inlineStr">
        <is>
          <t>1037333772</t>
        </is>
      </c>
      <c r="K188" t="inlineStr">
        <is>
          <t>Cb 645</t>
        </is>
      </c>
      <c r="L188" t="inlineStr">
        <is>
          <t>Cb 645</t>
        </is>
      </c>
      <c r="M188" t="inlineStr">
        <is>
          <t>Cb 645</t>
        </is>
      </c>
      <c r="N188" t="inlineStr">
        <is>
          <t>Das @Werck lobet den Meister und einen Fürsten seine Händel : es ist ein fährlich Ding in einem Regiment um einen Schwärzer und ein jeder</t>
        </is>
      </c>
      <c r="O188" t="inlineStr">
        <is>
          <t xml:space="preserve"> : </t>
        </is>
      </c>
      <c r="P188" t="inlineStr">
        <is>
          <t>Cb 645</t>
        </is>
      </c>
      <c r="Q188" t="inlineStr"/>
      <c r="R188" t="inlineStr"/>
      <c r="S188" t="inlineStr">
        <is>
          <t>Das @Werck lobet den Meister und einen Fürsten seine Händel : es ist ein fährlich Ding in einem Regiment um einen Schwärzer und ein jeder</t>
        </is>
      </c>
      <c r="T188" t="inlineStr">
        <is>
          <t xml:space="preserve"> : </t>
        </is>
      </c>
      <c r="U188" t="inlineStr"/>
      <c r="V188" t="inlineStr"/>
      <c r="W188" t="inlineStr"/>
      <c r="X188" t="inlineStr">
        <is>
          <t>bis 25 cm</t>
        </is>
      </c>
      <c r="Y188" t="inlineStr"/>
      <c r="Z188" t="inlineStr"/>
      <c r="AA188" t="inlineStr"/>
      <c r="AB188" t="inlineStr"/>
      <c r="AC188" t="inlineStr"/>
      <c r="AD188" t="inlineStr"/>
      <c r="AE188" t="inlineStr"/>
      <c r="AF188" t="inlineStr"/>
      <c r="AG188" t="inlineStr"/>
      <c r="AH188" t="inlineStr"/>
      <c r="AI188" t="inlineStr"/>
      <c r="AJ188" t="inlineStr"/>
      <c r="AK188" t="inlineStr">
        <is>
          <t>QF (36x19)</t>
        </is>
      </c>
      <c r="AL188" t="inlineStr"/>
      <c r="AM188" t="inlineStr"/>
      <c r="AN188" t="inlineStr">
        <is>
          <t>Br</t>
        </is>
      </c>
      <c r="AO188" t="inlineStr"/>
      <c r="AP188" t="inlineStr"/>
      <c r="AQ188" t="inlineStr"/>
      <c r="AR188" t="inlineStr"/>
      <c r="AS188" t="inlineStr"/>
      <c r="AT188" t="inlineStr"/>
      <c r="AU188" t="inlineStr"/>
      <c r="AV188" t="inlineStr"/>
      <c r="AW188" t="inlineStr"/>
      <c r="AX188" t="inlineStr">
        <is>
          <t>Pa</t>
        </is>
      </c>
      <c r="AY188" t="inlineStr"/>
      <c r="AZ188" t="inlineStr"/>
      <c r="BA188" t="inlineStr">
        <is>
          <t>x</t>
        </is>
      </c>
      <c r="BB188" t="inlineStr"/>
      <c r="BC188" t="inlineStr"/>
      <c r="BD188" t="inlineStr"/>
      <c r="BE188" t="inlineStr"/>
      <c r="BF188" t="inlineStr"/>
      <c r="BG188" t="inlineStr">
        <is>
          <t>x</t>
        </is>
      </c>
      <c r="BH188" t="inlineStr"/>
      <c r="BI188" t="inlineStr">
        <is>
          <t>x</t>
        </is>
      </c>
      <c r="BJ188" t="inlineStr"/>
      <c r="BK188" t="inlineStr"/>
      <c r="BL188" t="inlineStr">
        <is>
          <t>nur 110</t>
        </is>
      </c>
      <c r="BM188" t="inlineStr"/>
      <c r="BN188" t="inlineStr"/>
      <c r="BO188" t="inlineStr"/>
      <c r="BP188" t="inlineStr"/>
      <c r="BQ188" t="inlineStr"/>
      <c r="BR188" t="inlineStr">
        <is>
          <t>n</t>
        </is>
      </c>
      <c r="BS188" t="n">
        <v>0</v>
      </c>
      <c r="BT188" t="inlineStr"/>
      <c r="BU188" t="inlineStr"/>
      <c r="BV188" t="inlineStr"/>
      <c r="BW188" t="inlineStr"/>
      <c r="BX188" t="inlineStr">
        <is>
          <t>x</t>
        </is>
      </c>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c r="DH188" t="inlineStr"/>
      <c r="DI188" t="inlineStr"/>
      <c r="DJ188" t="inlineStr"/>
      <c r="DK188" t="inlineStr"/>
      <c r="DL188" t="inlineStr"/>
    </row>
    <row r="189">
      <c r="A189" t="inlineStr">
        <is>
          <t>Schreibmeister</t>
        </is>
      </c>
      <c r="B189" t="b">
        <v>1</v>
      </c>
      <c r="C189" t="inlineStr">
        <is>
          <t>x</t>
        </is>
      </c>
      <c r="D189" t="inlineStr"/>
      <c r="E189" t="n">
        <v>178</v>
      </c>
      <c r="F189">
        <f>HYPERLINK("https://portal.dnb.de/opac.htm?method=simpleSearch&amp;cqlMode=true&amp;query=idn%3D1044098473", "Portal")</f>
        <v/>
      </c>
      <c r="G189" t="inlineStr">
        <is>
          <t>Aa</t>
        </is>
      </c>
      <c r="H189">
        <f>HYPERLINK("https://portal.dnb.de/opac.htm?method=simpleSearch&amp;cqlMode=true&amp;query=idn%3D1044098473", "Portal")</f>
        <v/>
      </c>
      <c r="I189" t="inlineStr">
        <is>
          <t>L-2013-328326</t>
        </is>
      </c>
      <c r="J189" t="inlineStr">
        <is>
          <t>1044098473</t>
        </is>
      </c>
      <c r="K189" t="inlineStr">
        <is>
          <t>Cb 651</t>
        </is>
      </c>
      <c r="L189" t="inlineStr">
        <is>
          <t>(ÜF/3.OG/R75/8/6)</t>
        </is>
      </c>
      <c r="M189" t="inlineStr">
        <is>
          <t>Cb 651</t>
        </is>
      </c>
      <c r="N189" t="inlineStr">
        <is>
          <t xml:space="preserve">L' @Ecriture Italienne Bâtarde En sa perfection De la maniere qu'elle s'ecrit A Present : </t>
        </is>
      </c>
      <c r="O189" t="inlineStr">
        <is>
          <t xml:space="preserve"> : </t>
        </is>
      </c>
      <c r="P189" t="inlineStr">
        <is>
          <t>Cb 651</t>
        </is>
      </c>
      <c r="Q189" t="inlineStr">
        <is>
          <t>600,00 EUR</t>
        </is>
      </c>
      <c r="R189" t="inlineStr"/>
      <c r="S189" t="inlineStr">
        <is>
          <t xml:space="preserve">L' @Ecriture Italienne Bâtarde En sa perfection De la maniere qu'elle s'ecrit A Present : </t>
        </is>
      </c>
      <c r="T189" t="inlineStr">
        <is>
          <t xml:space="preserve"> : </t>
        </is>
      </c>
      <c r="U189" t="inlineStr"/>
      <c r="V189" t="inlineStr">
        <is>
          <t>600,00 EUR</t>
        </is>
      </c>
      <c r="W189" t="inlineStr"/>
      <c r="X189" t="inlineStr">
        <is>
          <t>bis 25 cm</t>
        </is>
      </c>
      <c r="Y189" t="inlineStr"/>
      <c r="Z189" t="inlineStr"/>
      <c r="AA189" t="inlineStr"/>
      <c r="AB189" t="inlineStr"/>
      <c r="AC189" t="inlineStr"/>
      <c r="AD189" t="inlineStr"/>
      <c r="AE189" t="inlineStr"/>
      <c r="AF189" t="inlineStr"/>
      <c r="AG189" t="inlineStr"/>
      <c r="AH189" t="inlineStr"/>
      <c r="AI189" t="inlineStr"/>
      <c r="AJ189" t="inlineStr"/>
      <c r="AK189" t="inlineStr">
        <is>
          <t>QF (21x32)</t>
        </is>
      </c>
      <c r="AL189" t="inlineStr"/>
      <c r="AM189" t="inlineStr"/>
      <c r="AN189" t="inlineStr">
        <is>
          <t>Br</t>
        </is>
      </c>
      <c r="AO189" t="inlineStr"/>
      <c r="AP189" t="inlineStr"/>
      <c r="AQ189" t="inlineStr"/>
      <c r="AR189" t="inlineStr">
        <is>
          <t>h</t>
        </is>
      </c>
      <c r="AS189" t="inlineStr"/>
      <c r="AT189" t="inlineStr"/>
      <c r="AU189" t="inlineStr"/>
      <c r="AV189" t="inlineStr"/>
      <c r="AW189" t="inlineStr"/>
      <c r="AX189" t="inlineStr">
        <is>
          <t>Pa</t>
        </is>
      </c>
      <c r="AY189" t="inlineStr"/>
      <c r="AZ189" t="inlineStr"/>
      <c r="BA189" t="inlineStr">
        <is>
          <t>x</t>
        </is>
      </c>
      <c r="BB189" t="inlineStr"/>
      <c r="BC189" t="inlineStr"/>
      <c r="BD189" t="inlineStr"/>
      <c r="BE189" t="inlineStr"/>
      <c r="BF189" t="inlineStr"/>
      <c r="BG189" t="inlineStr">
        <is>
          <t>x</t>
        </is>
      </c>
      <c r="BH189" t="inlineStr"/>
      <c r="BI189" t="inlineStr"/>
      <c r="BJ189" t="inlineStr"/>
      <c r="BK189" t="inlineStr"/>
      <c r="BL189" t="inlineStr">
        <is>
          <t>nur 110</t>
        </is>
      </c>
      <c r="BM189" t="inlineStr"/>
      <c r="BN189" t="inlineStr"/>
      <c r="BO189" t="inlineStr"/>
      <c r="BP189" t="inlineStr"/>
      <c r="BQ189" t="inlineStr"/>
      <c r="BR189" t="inlineStr">
        <is>
          <t>ja vor</t>
        </is>
      </c>
      <c r="BS189" t="n">
        <v>3</v>
      </c>
      <c r="BT189" t="inlineStr"/>
      <c r="BU189" t="inlineStr"/>
      <c r="BV189" t="inlineStr"/>
      <c r="BW189" t="inlineStr"/>
      <c r="BX189" t="inlineStr">
        <is>
          <t>x</t>
        </is>
      </c>
      <c r="BY189" t="inlineStr"/>
      <c r="BZ189" t="inlineStr"/>
      <c r="CA189" t="inlineStr"/>
      <c r="CB189" t="inlineStr"/>
      <c r="CC189" t="inlineStr"/>
      <c r="CD189" t="inlineStr"/>
      <c r="CE189" t="inlineStr"/>
      <c r="CF189" t="inlineStr"/>
      <c r="CG189" t="inlineStr">
        <is>
          <t>x</t>
        </is>
      </c>
      <c r="CH189" t="inlineStr"/>
      <c r="CI189" t="inlineStr"/>
      <c r="CJ189" t="inlineStr"/>
      <c r="CK189" t="inlineStr"/>
      <c r="CL189" t="inlineStr"/>
      <c r="CM189" t="inlineStr"/>
      <c r="CN189" t="inlineStr"/>
      <c r="CO189" t="inlineStr"/>
      <c r="CP189" t="inlineStr"/>
      <c r="CQ189" t="inlineStr"/>
      <c r="CR189" t="n">
        <v>2</v>
      </c>
      <c r="CS189" t="inlineStr">
        <is>
          <t>nur das Nötigste stabilisiern; Fragment von Vorderkante des VD inneliegend</t>
        </is>
      </c>
      <c r="CT189" t="inlineStr"/>
      <c r="CU189" t="inlineStr"/>
      <c r="CV189" t="inlineStr"/>
      <c r="CW189" t="inlineStr"/>
      <c r="CX189" t="inlineStr"/>
      <c r="CY189" t="inlineStr"/>
      <c r="CZ189" t="inlineStr"/>
      <c r="DA189" t="inlineStr"/>
      <c r="DB189" t="inlineStr"/>
      <c r="DC189" t="inlineStr">
        <is>
          <t>x</t>
        </is>
      </c>
      <c r="DD189" t="inlineStr"/>
      <c r="DE189" t="inlineStr"/>
      <c r="DF189" t="inlineStr"/>
      <c r="DG189" t="inlineStr"/>
      <c r="DH189" t="inlineStr"/>
      <c r="DI189" t="inlineStr"/>
      <c r="DJ189" t="inlineStr"/>
      <c r="DK189" t="n">
        <v>1</v>
      </c>
      <c r="DL189" t="inlineStr">
        <is>
          <t>nur das Nötigste</t>
        </is>
      </c>
    </row>
    <row r="190">
      <c r="A190" t="inlineStr">
        <is>
          <t>Schreibmeister</t>
        </is>
      </c>
      <c r="B190" t="b">
        <v>1</v>
      </c>
      <c r="C190" t="inlineStr">
        <is>
          <t>x</t>
        </is>
      </c>
      <c r="D190" t="inlineStr"/>
      <c r="E190" t="n">
        <v>180</v>
      </c>
      <c r="F190">
        <f>HYPERLINK("https://portal.dnb.de/opac.htm?method=simpleSearch&amp;cqlMode=true&amp;query=idn%3D1044098953", "Portal")</f>
        <v/>
      </c>
      <c r="G190" t="inlineStr">
        <is>
          <t>Aa</t>
        </is>
      </c>
      <c r="H190">
        <f>HYPERLINK("https://portal.dnb.de/opac.htm?method=simpleSearch&amp;cqlMode=true&amp;query=idn%3D1044098953", "Portal")</f>
        <v/>
      </c>
      <c r="I190" t="inlineStr">
        <is>
          <t>L-2013-328325</t>
        </is>
      </c>
      <c r="J190" t="inlineStr">
        <is>
          <t>1044098953</t>
        </is>
      </c>
      <c r="K190" t="inlineStr">
        <is>
          <t>Cb 652</t>
        </is>
      </c>
      <c r="L190" t="inlineStr">
        <is>
          <t>Cb 652</t>
        </is>
      </c>
      <c r="M190" t="inlineStr">
        <is>
          <t>Cb 652</t>
        </is>
      </c>
      <c r="N190" t="inlineStr">
        <is>
          <t>Gründliche Anweisung zur Schreib-Kunst : sammt Etlichen Alphabethen sowohl der Current- und Cantzley- als auch Fractur und Lateinischen Schrifften ; D</t>
        </is>
      </c>
      <c r="O190" t="inlineStr">
        <is>
          <t xml:space="preserve"> : </t>
        </is>
      </c>
      <c r="P190" t="inlineStr">
        <is>
          <t>Cb 652</t>
        </is>
      </c>
      <c r="Q190" t="inlineStr">
        <is>
          <t>200,00 EUR</t>
        </is>
      </c>
      <c r="R190" t="inlineStr"/>
      <c r="S190" t="inlineStr">
        <is>
          <t>Gründliche Anweisung zur Schreib-Kunst : sammt Etlichen Alphabethen sowohl der Current- und Cantzley- als auch Fractur und Lateinischen Schrifften ; D</t>
        </is>
      </c>
      <c r="T190" t="inlineStr">
        <is>
          <t xml:space="preserve"> : </t>
        </is>
      </c>
      <c r="U190" t="inlineStr"/>
      <c r="V190" t="inlineStr">
        <is>
          <t>200,00 EUR</t>
        </is>
      </c>
      <c r="W190" t="inlineStr"/>
      <c r="X190" t="inlineStr">
        <is>
          <t>bis 25 cm</t>
        </is>
      </c>
      <c r="Y190" t="inlineStr"/>
      <c r="Z190" t="inlineStr"/>
      <c r="AA190" t="inlineStr"/>
      <c r="AB190" t="inlineStr"/>
      <c r="AC190" t="inlineStr"/>
      <c r="AD190" t="inlineStr"/>
      <c r="AE190" t="inlineStr"/>
      <c r="AF190" t="inlineStr"/>
      <c r="AG190" t="inlineStr"/>
      <c r="AH190" t="inlineStr"/>
      <c r="AI190" t="inlineStr"/>
      <c r="AJ190" t="inlineStr"/>
      <c r="AK190" t="inlineStr">
        <is>
          <t>QF (32x19)</t>
        </is>
      </c>
      <c r="AL190" t="inlineStr"/>
      <c r="AM190" t="inlineStr"/>
      <c r="AN190" t="inlineStr">
        <is>
          <t>HL</t>
        </is>
      </c>
      <c r="AO190" t="inlineStr"/>
      <c r="AP190" t="inlineStr"/>
      <c r="AQ190" t="inlineStr"/>
      <c r="AR190" t="inlineStr">
        <is>
          <t>f</t>
        </is>
      </c>
      <c r="AS190" t="inlineStr"/>
      <c r="AT190" t="inlineStr"/>
      <c r="AU190" t="inlineStr"/>
      <c r="AV190" t="inlineStr"/>
      <c r="AW190" t="inlineStr"/>
      <c r="AX190" t="inlineStr">
        <is>
          <t>Pa</t>
        </is>
      </c>
      <c r="AY190" t="inlineStr"/>
      <c r="AZ190" t="inlineStr"/>
      <c r="BA190" t="inlineStr"/>
      <c r="BB190" t="inlineStr"/>
      <c r="BC190" t="inlineStr"/>
      <c r="BD190" t="inlineStr"/>
      <c r="BE190" t="inlineStr"/>
      <c r="BF190" t="inlineStr"/>
      <c r="BG190" t="inlineStr">
        <is>
          <t>x</t>
        </is>
      </c>
      <c r="BH190" t="inlineStr"/>
      <c r="BI190" t="inlineStr">
        <is>
          <t>x</t>
        </is>
      </c>
      <c r="BJ190" t="inlineStr"/>
      <c r="BK190" t="inlineStr"/>
      <c r="BL190" t="n">
        <v>110</v>
      </c>
      <c r="BM190" t="inlineStr"/>
      <c r="BN190" t="inlineStr"/>
      <c r="BO190" t="inlineStr"/>
      <c r="BP190" t="inlineStr"/>
      <c r="BQ190" t="inlineStr"/>
      <c r="BR190" t="inlineStr">
        <is>
          <t>ja vor</t>
        </is>
      </c>
      <c r="BS190" t="n">
        <v>3</v>
      </c>
      <c r="BT190" t="inlineStr"/>
      <c r="BU190" t="inlineStr"/>
      <c r="BV190" t="inlineStr"/>
      <c r="BW190" t="inlineStr"/>
      <c r="BX190" t="inlineStr">
        <is>
          <t>x</t>
        </is>
      </c>
      <c r="BY190" t="inlineStr"/>
      <c r="BZ190" t="inlineStr"/>
      <c r="CA190" t="inlineStr"/>
      <c r="CB190" t="inlineStr"/>
      <c r="CC190" t="inlineStr"/>
      <c r="CD190" t="inlineStr"/>
      <c r="CE190" t="inlineStr">
        <is>
          <t>x</t>
        </is>
      </c>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is>
          <t>x</t>
        </is>
      </c>
      <c r="DC190" t="inlineStr"/>
      <c r="DD190" t="inlineStr"/>
      <c r="DE190" t="inlineStr"/>
      <c r="DF190" t="inlineStr">
        <is>
          <t>x</t>
        </is>
      </c>
      <c r="DG190" t="inlineStr"/>
      <c r="DH190" t="inlineStr"/>
      <c r="DI190" t="inlineStr"/>
      <c r="DJ190" t="inlineStr"/>
      <c r="DK190" t="n">
        <v>3</v>
      </c>
      <c r="DL190" t="inlineStr"/>
    </row>
    <row r="191">
      <c r="A191" t="inlineStr">
        <is>
          <t>Schreibmeister</t>
        </is>
      </c>
      <c r="B191" t="b">
        <v>1</v>
      </c>
      <c r="C191" t="inlineStr"/>
      <c r="D191" t="inlineStr"/>
      <c r="E191" t="n">
        <v>179</v>
      </c>
      <c r="F191">
        <f>HYPERLINK("https://portal.dnb.de/opac.htm?method=simpleSearch&amp;cqlMode=true&amp;query=idn%3D1046196235", "Portal")</f>
        <v/>
      </c>
      <c r="G191" t="inlineStr">
        <is>
          <t>Aa</t>
        </is>
      </c>
      <c r="H191">
        <f>HYPERLINK("https://portal.dnb.de/opac.htm?method=simpleSearch&amp;cqlMode=true&amp;query=idn%3D1046196235", "Portal")</f>
        <v/>
      </c>
      <c r="I191" t="inlineStr">
        <is>
          <t>L-1722-280645058</t>
        </is>
      </c>
      <c r="J191" t="inlineStr">
        <is>
          <t>1046196235</t>
        </is>
      </c>
      <c r="K191" t="inlineStr">
        <is>
          <t>Cb 652</t>
        </is>
      </c>
      <c r="L191" t="inlineStr">
        <is>
          <t>Cb 652</t>
        </is>
      </c>
      <c r="M191" t="inlineStr">
        <is>
          <t>Cb 652</t>
        </is>
      </c>
      <c r="N191" t="inlineStr">
        <is>
          <t>Gründliche Anleitung zur Schreib-Übung In denen iezo bräuchlichen Teutsche Current-Cantzley und Fractur- sowohl Latein- und Romanischen- als auch Fran</t>
        </is>
      </c>
      <c r="O191" t="inlineStr">
        <is>
          <t xml:space="preserve"> : </t>
        </is>
      </c>
      <c r="P191" t="inlineStr">
        <is>
          <t>Cb 652 (angebunden)</t>
        </is>
      </c>
      <c r="Q191" t="inlineStr"/>
      <c r="R191" t="inlineStr"/>
      <c r="S191" t="inlineStr">
        <is>
          <t>Gründliche Anleitung zur Schreib-Übung In denen iezo bräuchlichen Teutsche Current-Cantzley und Fractur- sowohl Latein- und Romanischen- als auch Fran</t>
        </is>
      </c>
      <c r="T191" t="inlineStr">
        <is>
          <t xml:space="preserve"> : </t>
        </is>
      </c>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BR191" t="inlineStr"/>
      <c r="BS191" t="n">
        <v>0</v>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c r="DH191" t="inlineStr"/>
      <c r="DI191" t="inlineStr"/>
      <c r="DJ191" t="inlineStr"/>
      <c r="DK191" t="inlineStr"/>
      <c r="DL191" t="inlineStr"/>
    </row>
    <row r="192">
      <c r="A192" t="inlineStr">
        <is>
          <t>Schreibmeister</t>
        </is>
      </c>
      <c r="B192" t="b">
        <v>1</v>
      </c>
      <c r="C192" t="inlineStr"/>
      <c r="D192" t="inlineStr"/>
      <c r="E192" t="n">
        <v>181</v>
      </c>
      <c r="F192">
        <f>HYPERLINK("https://portal.dnb.de/opac.htm?method=simpleSearch&amp;cqlMode=true&amp;query=idn%3D1050054741", "Portal")</f>
        <v/>
      </c>
      <c r="G192" t="inlineStr">
        <is>
          <t>Aa</t>
        </is>
      </c>
      <c r="H192">
        <f>HYPERLINK("https://portal.dnb.de/opac.htm?method=simpleSearch&amp;cqlMode=true&amp;query=idn%3D1050054741", "Portal")</f>
        <v/>
      </c>
      <c r="I192" t="inlineStr">
        <is>
          <t>L-2014-311325</t>
        </is>
      </c>
      <c r="J192" t="inlineStr">
        <is>
          <t>1050054741</t>
        </is>
      </c>
      <c r="K192" t="inlineStr">
        <is>
          <t>Cb 661</t>
        </is>
      </c>
      <c r="L192" t="inlineStr">
        <is>
          <t>Cb 661</t>
        </is>
      </c>
      <c r="M192" t="inlineStr">
        <is>
          <t>Cb 661</t>
        </is>
      </c>
      <c r="N192" t="inlineStr">
        <is>
          <t>Die @offene Schreib-Schule, in welcher die Edle und höchstnützbahre Schreib-Kunst Mittelst verschiedener so Deutsch- als Dähnisch- Lateinisch- Frantzö</t>
        </is>
      </c>
      <c r="O192" t="inlineStr">
        <is>
          <t xml:space="preserve"> : </t>
        </is>
      </c>
      <c r="P192" t="inlineStr">
        <is>
          <t>Cb 661</t>
        </is>
      </c>
      <c r="Q192" t="inlineStr"/>
      <c r="R192" t="inlineStr">
        <is>
          <t>nicht bei GF in R 45 und nicht bei NF</t>
        </is>
      </c>
      <c r="S192" t="inlineStr">
        <is>
          <t>Die @offene Schreib-Schule, in welcher die Edle und höchstnützbahre Schreib-Kunst Mittelst verschiedener so Deutsch- als Dähnisch- Lateinisch- Frantzö</t>
        </is>
      </c>
      <c r="T192" t="inlineStr">
        <is>
          <t xml:space="preserve"> : </t>
        </is>
      </c>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BR192" t="inlineStr"/>
      <c r="BS192" t="n">
        <v>0</v>
      </c>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c r="DH192" t="inlineStr"/>
      <c r="DI192" t="inlineStr"/>
      <c r="DJ192" t="inlineStr"/>
      <c r="DK192" t="inlineStr"/>
      <c r="DL192" t="inlineStr"/>
    </row>
    <row r="193">
      <c r="A193" t="inlineStr">
        <is>
          <t>Schreibmeister</t>
        </is>
      </c>
      <c r="B193" t="b">
        <v>1</v>
      </c>
      <c r="C193" t="inlineStr">
        <is>
          <t>x</t>
        </is>
      </c>
      <c r="D193" t="inlineStr"/>
      <c r="E193" t="n">
        <v>182</v>
      </c>
      <c r="F193">
        <f>HYPERLINK("https://portal.dnb.de/opac.htm?method=simpleSearch&amp;cqlMode=true&amp;query=idn%3D1050418271", "Portal")</f>
        <v/>
      </c>
      <c r="G193" t="inlineStr">
        <is>
          <t>Aa</t>
        </is>
      </c>
      <c r="H193">
        <f>HYPERLINK("https://portal.dnb.de/opac.htm?method=simpleSearch&amp;cqlMode=true&amp;query=idn%3D1050418271", "Portal")</f>
        <v/>
      </c>
      <c r="I193" t="inlineStr">
        <is>
          <t>L-2014-311364</t>
        </is>
      </c>
      <c r="J193" t="inlineStr">
        <is>
          <t>1050418271</t>
        </is>
      </c>
      <c r="K193" t="inlineStr">
        <is>
          <t>Cb 662</t>
        </is>
      </c>
      <c r="L193" t="inlineStr">
        <is>
          <t>(ÜF 3.OG/R.51/2/2)</t>
        </is>
      </c>
      <c r="M193" t="inlineStr">
        <is>
          <t>Cb 662</t>
        </is>
      </c>
      <c r="N193" t="inlineStr">
        <is>
          <t>Originale caratteri : moderni et antichi ; dedicati A.S.R.M. Francesco 1mo, Re del Regno delle Due Sicilie</t>
        </is>
      </c>
      <c r="O193" t="inlineStr">
        <is>
          <t xml:space="preserve"> : </t>
        </is>
      </c>
      <c r="P193" t="inlineStr">
        <is>
          <t>Cb 662</t>
        </is>
      </c>
      <c r="Q193" t="inlineStr"/>
      <c r="R193" t="inlineStr">
        <is>
          <t>steht bei ÜF</t>
        </is>
      </c>
      <c r="S193" t="inlineStr">
        <is>
          <t>Originale caratteri : moderni et antichi ; dedicati A.S.R.M. Francesco 1mo, Re del Regno delle Due Sicilie</t>
        </is>
      </c>
      <c r="T193" t="inlineStr">
        <is>
          <t xml:space="preserve"> : </t>
        </is>
      </c>
      <c r="U193" t="inlineStr"/>
      <c r="V193" t="inlineStr"/>
      <c r="W193" t="inlineStr"/>
      <c r="X193" t="inlineStr">
        <is>
          <t>bis 42 cm</t>
        </is>
      </c>
      <c r="Y193" t="inlineStr"/>
      <c r="Z193" t="inlineStr"/>
      <c r="AA193" t="inlineStr"/>
      <c r="AB193" t="inlineStr"/>
      <c r="AC193" t="inlineStr"/>
      <c r="AD193" t="inlineStr"/>
      <c r="AE193" t="inlineStr"/>
      <c r="AF193" t="inlineStr"/>
      <c r="AG193" t="inlineStr"/>
      <c r="AH193" t="inlineStr"/>
      <c r="AI193" t="inlineStr"/>
      <c r="AJ193" t="inlineStr"/>
      <c r="AK193" t="inlineStr">
        <is>
          <t>QF (53x36)</t>
        </is>
      </c>
      <c r="AL193" t="inlineStr"/>
      <c r="AM193" t="inlineStr"/>
      <c r="AN193" t="inlineStr">
        <is>
          <t>HL</t>
        </is>
      </c>
      <c r="AO193" t="inlineStr"/>
      <c r="AP193" t="inlineStr"/>
      <c r="AQ193" t="inlineStr"/>
      <c r="AR193" t="inlineStr">
        <is>
          <t>h/E</t>
        </is>
      </c>
      <c r="AS193" t="inlineStr"/>
      <c r="AT193" t="inlineStr"/>
      <c r="AU193" t="inlineStr"/>
      <c r="AV193" t="inlineStr"/>
      <c r="AW193" t="inlineStr"/>
      <c r="AX193" t="inlineStr">
        <is>
          <t>Pa</t>
        </is>
      </c>
      <c r="AY193" t="inlineStr"/>
      <c r="AZ193" t="inlineStr"/>
      <c r="BA193" t="inlineStr"/>
      <c r="BB193" t="inlineStr"/>
      <c r="BC193" t="inlineStr"/>
      <c r="BD193" t="inlineStr"/>
      <c r="BE193" t="inlineStr"/>
      <c r="BF193" t="inlineStr"/>
      <c r="BG193" t="inlineStr">
        <is>
          <t>x</t>
        </is>
      </c>
      <c r="BH193" t="inlineStr"/>
      <c r="BI193" t="inlineStr"/>
      <c r="BJ193" t="inlineStr"/>
      <c r="BK193" t="inlineStr"/>
      <c r="BL193" t="n">
        <v>110</v>
      </c>
      <c r="BM193" t="inlineStr"/>
      <c r="BN193" t="inlineStr"/>
      <c r="BO193" t="inlineStr"/>
      <c r="BP193" t="inlineStr"/>
      <c r="BQ193" t="inlineStr"/>
      <c r="BR193" t="inlineStr">
        <is>
          <t>ja vor</t>
        </is>
      </c>
      <c r="BS193" t="n">
        <v>2</v>
      </c>
      <c r="BT193" t="inlineStr"/>
      <c r="BU193" t="inlineStr"/>
      <c r="BV193" t="inlineStr"/>
      <c r="BW193" t="inlineStr"/>
      <c r="BX193" t="inlineStr">
        <is>
          <t>x</t>
        </is>
      </c>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is>
          <t>x</t>
        </is>
      </c>
      <c r="CY193" t="inlineStr"/>
      <c r="CZ193" t="inlineStr"/>
      <c r="DA193" t="inlineStr">
        <is>
          <t>x</t>
        </is>
      </c>
      <c r="DB193" t="inlineStr"/>
      <c r="DC193" t="inlineStr"/>
      <c r="DD193" t="inlineStr"/>
      <c r="DE193" t="inlineStr"/>
      <c r="DF193" t="inlineStr">
        <is>
          <t>x</t>
        </is>
      </c>
      <c r="DG193" t="inlineStr"/>
      <c r="DH193" t="inlineStr"/>
      <c r="DI193" t="inlineStr"/>
      <c r="DJ193" t="inlineStr"/>
      <c r="DK193" t="n">
        <v>2</v>
      </c>
      <c r="DL193" t="inlineStr"/>
    </row>
    <row r="194">
      <c r="A194" t="inlineStr">
        <is>
          <t>Schreibmeister</t>
        </is>
      </c>
      <c r="B194" t="b">
        <v>1</v>
      </c>
      <c r="C194" t="inlineStr"/>
      <c r="D194" t="inlineStr"/>
      <c r="E194" t="n">
        <v>183</v>
      </c>
      <c r="F194">
        <f>HYPERLINK("https://portal.dnb.de/opac.htm?method=simpleSearch&amp;cqlMode=true&amp;query=idn%3D1060814544", "Portal")</f>
        <v/>
      </c>
      <c r="G194" t="inlineStr">
        <is>
          <t>Aa</t>
        </is>
      </c>
      <c r="H194">
        <f>HYPERLINK("https://portal.dnb.de/opac.htm?method=simpleSearch&amp;cqlMode=true&amp;query=idn%3D1060814544", "Portal")</f>
        <v/>
      </c>
      <c r="I194" t="inlineStr">
        <is>
          <t>L-2014-331365</t>
        </is>
      </c>
      <c r="J194" t="inlineStr">
        <is>
          <t>1060814544</t>
        </is>
      </c>
      <c r="K194" t="inlineStr">
        <is>
          <t>Cb 674</t>
        </is>
      </c>
      <c r="L194" t="inlineStr">
        <is>
          <t>Cb 674</t>
        </is>
      </c>
      <c r="M194" t="inlineStr">
        <is>
          <t>Cb 674</t>
        </is>
      </c>
      <c r="N194" t="inlineStr">
        <is>
          <t xml:space="preserve">Spieghel der schrijfkonste, inden welcken ghesien worden veelderhande gheschriften met hare fondementen ende onderrichtinghe : </t>
        </is>
      </c>
      <c r="O194" t="inlineStr">
        <is>
          <t xml:space="preserve"> : </t>
        </is>
      </c>
      <c r="P194" t="inlineStr">
        <is>
          <t>Cb 674</t>
        </is>
      </c>
      <c r="Q194" t="inlineStr"/>
      <c r="R194" t="inlineStr"/>
      <c r="S194" t="inlineStr">
        <is>
          <t xml:space="preserve">Spieghel der schrijfkonste, inden welcken ghesien worden veelderhande gheschriften met hare fondementen ende onderrichtinghe : </t>
        </is>
      </c>
      <c r="T194" t="inlineStr">
        <is>
          <t xml:space="preserve"> : </t>
        </is>
      </c>
      <c r="U194" t="inlineStr"/>
      <c r="V194" t="inlineStr"/>
      <c r="W194" t="inlineStr"/>
      <c r="X194" t="inlineStr">
        <is>
          <t>bis 25 cm</t>
        </is>
      </c>
      <c r="Y194" t="inlineStr"/>
      <c r="Z194" t="inlineStr"/>
      <c r="AA194" t="inlineStr"/>
      <c r="AB194" t="inlineStr"/>
      <c r="AC194" t="inlineStr"/>
      <c r="AD194" t="inlineStr"/>
      <c r="AE194" t="inlineStr"/>
      <c r="AF194" t="inlineStr"/>
      <c r="AG194" t="inlineStr"/>
      <c r="AH194" t="inlineStr"/>
      <c r="AI194" t="inlineStr"/>
      <c r="AJ194" t="inlineStr"/>
      <c r="AK194" t="inlineStr">
        <is>
          <t>QF (35x24)</t>
        </is>
      </c>
      <c r="AL194" t="inlineStr"/>
      <c r="AM194" t="inlineStr"/>
      <c r="AN194" t="inlineStr">
        <is>
          <t>Pg</t>
        </is>
      </c>
      <c r="AO194" t="inlineStr"/>
      <c r="AP194" t="inlineStr"/>
      <c r="AQ194" t="inlineStr">
        <is>
          <t>x</t>
        </is>
      </c>
      <c r="AR194" t="inlineStr">
        <is>
          <t>h</t>
        </is>
      </c>
      <c r="AS194" t="inlineStr"/>
      <c r="AT194" t="inlineStr"/>
      <c r="AU194" t="inlineStr"/>
      <c r="AV194" t="inlineStr"/>
      <c r="AW194" t="inlineStr"/>
      <c r="AX194" t="inlineStr">
        <is>
          <t>Pa</t>
        </is>
      </c>
      <c r="AY194" t="inlineStr"/>
      <c r="AZ194" t="inlineStr"/>
      <c r="BA194" t="inlineStr"/>
      <c r="BB194" t="inlineStr"/>
      <c r="BC194" t="inlineStr"/>
      <c r="BD194" t="inlineStr"/>
      <c r="BE194" t="inlineStr"/>
      <c r="BF194" t="inlineStr"/>
      <c r="BG194" t="inlineStr">
        <is>
          <t>x</t>
        </is>
      </c>
      <c r="BH194" t="inlineStr"/>
      <c r="BI194" t="inlineStr">
        <is>
          <t>x</t>
        </is>
      </c>
      <c r="BJ194" t="inlineStr"/>
      <c r="BK194" t="inlineStr"/>
      <c r="BL194" t="n">
        <v>110</v>
      </c>
      <c r="BM194" t="inlineStr"/>
      <c r="BN194" t="inlineStr"/>
      <c r="BO194" t="inlineStr"/>
      <c r="BP194" t="inlineStr"/>
      <c r="BQ194" t="inlineStr"/>
      <c r="BR194" t="inlineStr">
        <is>
          <t>n</t>
        </is>
      </c>
      <c r="BS194" t="n">
        <v>0</v>
      </c>
      <c r="BT194" t="inlineStr"/>
      <c r="BU194" t="inlineStr"/>
      <c r="BV194" t="inlineStr"/>
      <c r="BW194" t="inlineStr"/>
      <c r="BX194" t="inlineStr">
        <is>
          <t>x</t>
        </is>
      </c>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c r="DH194" t="inlineStr"/>
      <c r="DI194" t="inlineStr"/>
      <c r="DJ194" t="inlineStr"/>
      <c r="DK194" t="inlineStr"/>
      <c r="DL194" t="inlineStr"/>
    </row>
    <row r="195">
      <c r="A195" t="inlineStr">
        <is>
          <t>Schreibmeister</t>
        </is>
      </c>
      <c r="B195" t="b">
        <v>1</v>
      </c>
      <c r="C195" t="inlineStr"/>
      <c r="D195" t="inlineStr"/>
      <c r="E195" t="n">
        <v>185</v>
      </c>
      <c r="F195">
        <f>HYPERLINK("https://portal.dnb.de/opac.htm?method=simpleSearch&amp;cqlMode=true&amp;query=idn%3D1166065464", "Portal")</f>
        <v/>
      </c>
      <c r="G195" t="inlineStr">
        <is>
          <t>Aa</t>
        </is>
      </c>
      <c r="H195">
        <f>HYPERLINK("https://portal.dnb.de/opac.htm?method=simpleSearch&amp;cqlMode=true&amp;query=idn%3D1166065464", "Portal")</f>
        <v/>
      </c>
      <c r="I195" t="inlineStr">
        <is>
          <t>L-2019-302276</t>
        </is>
      </c>
      <c r="J195" t="inlineStr">
        <is>
          <t>1166065464</t>
        </is>
      </c>
      <c r="K195" t="inlineStr">
        <is>
          <t>Cb 732</t>
        </is>
      </c>
      <c r="L195" t="inlineStr">
        <is>
          <t>Cb 732</t>
        </is>
      </c>
      <c r="M195" t="inlineStr">
        <is>
          <t>Cb 732</t>
        </is>
      </c>
      <c r="N195" t="inlineStr">
        <is>
          <t xml:space="preserve">Methodische Anweisung zur Schönschreiberei : </t>
        </is>
      </c>
      <c r="O195" t="inlineStr">
        <is>
          <t xml:space="preserve"> : </t>
        </is>
      </c>
      <c r="P195" t="inlineStr">
        <is>
          <t>Cb 732</t>
        </is>
      </c>
      <c r="Q195" t="inlineStr">
        <is>
          <t>605,50 EUR</t>
        </is>
      </c>
      <c r="R195" t="inlineStr"/>
      <c r="S195" t="inlineStr">
        <is>
          <t xml:space="preserve">Methodische Anweisung zur Schönschreiberei : </t>
        </is>
      </c>
      <c r="T195" t="inlineStr">
        <is>
          <t xml:space="preserve"> : </t>
        </is>
      </c>
      <c r="U195" t="inlineStr"/>
      <c r="V195" t="inlineStr">
        <is>
          <t>605,50 EUR</t>
        </is>
      </c>
      <c r="W195" t="inlineStr"/>
      <c r="X195" t="inlineStr">
        <is>
          <t>bis 25 cm</t>
        </is>
      </c>
      <c r="Y195" t="inlineStr"/>
      <c r="Z195" t="inlineStr"/>
      <c r="AA195" t="inlineStr"/>
      <c r="AB195" t="inlineStr"/>
      <c r="AC195" t="inlineStr"/>
      <c r="AD195" t="inlineStr"/>
      <c r="AE195" t="inlineStr"/>
      <c r="AF195" t="inlineStr"/>
      <c r="AG195" t="inlineStr"/>
      <c r="AH195" t="inlineStr"/>
      <c r="AI195" t="inlineStr"/>
      <c r="AJ195" t="inlineStr"/>
      <c r="AK195" t="inlineStr">
        <is>
          <t>QF (31x20)</t>
        </is>
      </c>
      <c r="AL195" t="inlineStr"/>
      <c r="AM195" t="inlineStr"/>
      <c r="AN195" t="inlineStr">
        <is>
          <t>G</t>
        </is>
      </c>
      <c r="AO195" t="inlineStr"/>
      <c r="AP195" t="inlineStr"/>
      <c r="AQ195" t="inlineStr"/>
      <c r="AR195" t="inlineStr">
        <is>
          <t>h/E</t>
        </is>
      </c>
      <c r="AS195" t="inlineStr"/>
      <c r="AT195" t="inlineStr"/>
      <c r="AU195" t="inlineStr"/>
      <c r="AV195" t="inlineStr"/>
      <c r="AW195" t="inlineStr"/>
      <c r="AX195" t="inlineStr">
        <is>
          <t>Pa</t>
        </is>
      </c>
      <c r="AY195" t="inlineStr"/>
      <c r="AZ195" t="inlineStr"/>
      <c r="BA195" t="inlineStr"/>
      <c r="BB195" t="inlineStr"/>
      <c r="BC195" t="inlineStr"/>
      <c r="BD195" t="inlineStr"/>
      <c r="BE195" t="inlineStr"/>
      <c r="BF195" t="inlineStr"/>
      <c r="BG195" t="inlineStr">
        <is>
          <t>x</t>
        </is>
      </c>
      <c r="BH195" t="inlineStr"/>
      <c r="BI195" t="inlineStr">
        <is>
          <t>x</t>
        </is>
      </c>
      <c r="BJ195" t="inlineStr"/>
      <c r="BK195" t="inlineStr"/>
      <c r="BL195" t="n">
        <v>180</v>
      </c>
      <c r="BM195" t="inlineStr"/>
      <c r="BN195" t="inlineStr"/>
      <c r="BO195" t="inlineStr"/>
      <c r="BP195" t="inlineStr"/>
      <c r="BQ195" t="inlineStr"/>
      <c r="BR195" t="inlineStr">
        <is>
          <t>n</t>
        </is>
      </c>
      <c r="BS195" t="n">
        <v>0</v>
      </c>
      <c r="BT195" t="inlineStr"/>
      <c r="BU195" t="inlineStr"/>
      <c r="BV195" t="inlineStr"/>
      <c r="BW195" t="inlineStr"/>
      <c r="BX195" t="inlineStr">
        <is>
          <t>x</t>
        </is>
      </c>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c r="DH195" t="inlineStr"/>
      <c r="DI195" t="inlineStr"/>
      <c r="DJ195" t="inlineStr"/>
      <c r="DK195" t="inlineStr"/>
      <c r="DL195" t="inlineStr"/>
    </row>
    <row r="196">
      <c r="A196" t="inlineStr">
        <is>
          <t>Schreibmeister</t>
        </is>
      </c>
      <c r="B196" t="b">
        <v>1</v>
      </c>
      <c r="C196" t="inlineStr"/>
      <c r="D196" t="inlineStr"/>
      <c r="E196" t="n">
        <v>186</v>
      </c>
      <c r="F196">
        <f>HYPERLINK("https://portal.dnb.de/opac.htm?method=simpleSearch&amp;cqlMode=true&amp;query=idn%3D1188896733", "Portal")</f>
        <v/>
      </c>
      <c r="G196" t="inlineStr">
        <is>
          <t>Aa</t>
        </is>
      </c>
      <c r="H196">
        <f>HYPERLINK("https://portal.dnb.de/opac.htm?method=simpleSearch&amp;cqlMode=true&amp;query=idn%3D1188896733", "Portal")</f>
        <v/>
      </c>
      <c r="I196" t="inlineStr">
        <is>
          <t>L-2019-302303</t>
        </is>
      </c>
      <c r="J196" t="inlineStr">
        <is>
          <t>1188896733</t>
        </is>
      </c>
      <c r="K196" t="inlineStr">
        <is>
          <t>Cb 733</t>
        </is>
      </c>
      <c r="L196" t="inlineStr">
        <is>
          <t>(Großformate)</t>
        </is>
      </c>
      <c r="M196" t="inlineStr">
        <is>
          <t>Cb 733</t>
        </is>
      </c>
      <c r="N196" t="inlineStr">
        <is>
          <t xml:space="preserve">Nouveau livre d'écriture d'après les meilleures Exemples de Rossignol dedié A Monseigneur le Dauphin : </t>
        </is>
      </c>
      <c r="O196" t="inlineStr">
        <is>
          <t xml:space="preserve"> : </t>
        </is>
      </c>
      <c r="P196" t="inlineStr">
        <is>
          <t>Cb 733</t>
        </is>
      </c>
      <c r="Q196" t="inlineStr">
        <is>
          <t>1500,00 EUR; 1153,46 EUR</t>
        </is>
      </c>
      <c r="R196" t="inlineStr"/>
      <c r="S196" t="inlineStr">
        <is>
          <t xml:space="preserve">Nouveau livre d'écriture d'après les meilleures Exemples de Rossignol dedié A Monseigneur le Dauphin : </t>
        </is>
      </c>
      <c r="T196" t="inlineStr">
        <is>
          <t xml:space="preserve"> : </t>
        </is>
      </c>
      <c r="U196" t="inlineStr"/>
      <c r="V196" t="inlineStr">
        <is>
          <t>1500,00 EUR; 1153,46 EUR</t>
        </is>
      </c>
      <c r="W196" t="inlineStr"/>
      <c r="X196" t="inlineStr">
        <is>
          <t>bis 42 cm</t>
        </is>
      </c>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is>
          <t>Pa</t>
        </is>
      </c>
      <c r="AO196" t="inlineStr"/>
      <c r="AP196" t="inlineStr"/>
      <c r="AQ196" t="inlineStr"/>
      <c r="AR196" t="inlineStr">
        <is>
          <t>h/E</t>
        </is>
      </c>
      <c r="AS196" t="inlineStr"/>
      <c r="AT196" t="inlineStr"/>
      <c r="AU196" t="inlineStr"/>
      <c r="AV196" t="inlineStr"/>
      <c r="AW196" t="inlineStr"/>
      <c r="AX196" t="inlineStr">
        <is>
          <t>Pa</t>
        </is>
      </c>
      <c r="AY196" t="inlineStr"/>
      <c r="AZ196" t="inlineStr"/>
      <c r="BA196" t="inlineStr"/>
      <c r="BB196" t="inlineStr"/>
      <c r="BC196" t="inlineStr"/>
      <c r="BD196" t="inlineStr"/>
      <c r="BE196" t="inlineStr"/>
      <c r="BF196" t="inlineStr"/>
      <c r="BG196" t="inlineStr">
        <is>
          <t>x</t>
        </is>
      </c>
      <c r="BH196" t="inlineStr"/>
      <c r="BI196" t="inlineStr">
        <is>
          <t>x</t>
        </is>
      </c>
      <c r="BJ196" t="inlineStr"/>
      <c r="BK196" t="inlineStr"/>
      <c r="BL196" t="n">
        <v>110</v>
      </c>
      <c r="BM196" t="inlineStr"/>
      <c r="BN196" t="inlineStr"/>
      <c r="BO196" t="inlineStr"/>
      <c r="BP196" t="inlineStr"/>
      <c r="BQ196" t="inlineStr"/>
      <c r="BR196" t="inlineStr">
        <is>
          <t>n</t>
        </is>
      </c>
      <c r="BS196" t="n">
        <v>0</v>
      </c>
      <c r="BT196" t="inlineStr"/>
      <c r="BU196" t="inlineStr"/>
      <c r="BV196" t="inlineStr"/>
      <c r="BW196" t="inlineStr"/>
      <c r="BX196" t="inlineStr">
        <is>
          <t>x</t>
        </is>
      </c>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c r="DH196" t="inlineStr"/>
      <c r="DI196" t="inlineStr"/>
      <c r="DJ196" t="inlineStr"/>
      <c r="DK196" t="inlineStr"/>
      <c r="DL196" t="inlineStr"/>
    </row>
    <row r="197">
      <c r="A197" t="inlineStr">
        <is>
          <t>Schreibmeister</t>
        </is>
      </c>
      <c r="B197" t="b">
        <v>1</v>
      </c>
      <c r="C197" t="inlineStr"/>
      <c r="D197" t="inlineStr"/>
      <c r="E197" t="n">
        <v>187</v>
      </c>
      <c r="F197">
        <f>HYPERLINK("https://portal.dnb.de/opac.htm?method=simpleSearch&amp;cqlMode=true&amp;query=idn%3D1197557121", "Portal")</f>
        <v/>
      </c>
      <c r="G197" t="inlineStr">
        <is>
          <t>Aa</t>
        </is>
      </c>
      <c r="H197">
        <f>HYPERLINK("https://portal.dnb.de/opac.htm?method=simpleSearch&amp;cqlMode=true&amp;query=idn%3D1197557121", "Portal")</f>
        <v/>
      </c>
      <c r="I197" t="inlineStr">
        <is>
          <t>L-2019-323497</t>
        </is>
      </c>
      <c r="J197" t="inlineStr">
        <is>
          <t>1197557121</t>
        </is>
      </c>
      <c r="K197" t="inlineStr">
        <is>
          <t>Cb 737</t>
        </is>
      </c>
      <c r="L197" t="inlineStr">
        <is>
          <t>Cb 737</t>
        </is>
      </c>
      <c r="M197" t="inlineStr">
        <is>
          <t>Cb 737</t>
        </is>
      </c>
      <c r="N197" t="inlineStr">
        <is>
          <t xml:space="preserve">Deutsche und Französiche Vorschriften : </t>
        </is>
      </c>
      <c r="O197" t="inlineStr">
        <is>
          <t xml:space="preserve"> : </t>
        </is>
      </c>
      <c r="P197" t="inlineStr">
        <is>
          <t>Cb 737</t>
        </is>
      </c>
      <c r="Q197" t="inlineStr">
        <is>
          <t>130,00 EUR</t>
        </is>
      </c>
      <c r="R197" t="inlineStr"/>
      <c r="S197" t="inlineStr">
        <is>
          <t xml:space="preserve">Deutsche und Französiche Vorschriften : </t>
        </is>
      </c>
      <c r="T197" t="inlineStr">
        <is>
          <t xml:space="preserve"> : </t>
        </is>
      </c>
      <c r="U197" t="inlineStr"/>
      <c r="V197" t="inlineStr">
        <is>
          <t>130,00 EUR</t>
        </is>
      </c>
      <c r="W197" t="inlineStr"/>
      <c r="X197" t="inlineStr">
        <is>
          <t>bis 35 cm</t>
        </is>
      </c>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is>
          <t>Br</t>
        </is>
      </c>
      <c r="AO197" t="inlineStr"/>
      <c r="AP197" t="inlineStr"/>
      <c r="AQ197" t="inlineStr">
        <is>
          <t>x</t>
        </is>
      </c>
      <c r="AR197" t="inlineStr">
        <is>
          <t>f</t>
        </is>
      </c>
      <c r="AS197" t="inlineStr"/>
      <c r="AT197" t="inlineStr"/>
      <c r="AU197" t="inlineStr"/>
      <c r="AV197" t="inlineStr"/>
      <c r="AW197" t="inlineStr"/>
      <c r="AX197" t="inlineStr">
        <is>
          <t>Pa</t>
        </is>
      </c>
      <c r="AY197" t="inlineStr"/>
      <c r="AZ197" t="inlineStr"/>
      <c r="BA197" t="inlineStr"/>
      <c r="BB197" t="inlineStr"/>
      <c r="BC197" t="inlineStr"/>
      <c r="BD197" t="inlineStr"/>
      <c r="BE197" t="inlineStr"/>
      <c r="BF197" t="inlineStr"/>
      <c r="BG197" t="inlineStr">
        <is>
          <t>x</t>
        </is>
      </c>
      <c r="BH197" t="inlineStr"/>
      <c r="BI197" t="inlineStr">
        <is>
          <t>x</t>
        </is>
      </c>
      <c r="BJ197" t="inlineStr"/>
      <c r="BK197" t="inlineStr"/>
      <c r="BL197" t="inlineStr">
        <is>
          <t>nur 110</t>
        </is>
      </c>
      <c r="BM197" t="inlineStr"/>
      <c r="BN197" t="inlineStr"/>
      <c r="BO197" t="inlineStr"/>
      <c r="BP197" t="inlineStr"/>
      <c r="BQ197" t="inlineStr"/>
      <c r="BR197" t="inlineStr">
        <is>
          <t>n</t>
        </is>
      </c>
      <c r="BS197" t="n">
        <v>0</v>
      </c>
      <c r="BT197" t="inlineStr"/>
      <c r="BU197" t="inlineStr"/>
      <c r="BV197" t="inlineStr"/>
      <c r="BW197" t="inlineStr"/>
      <c r="BX197" t="inlineStr">
        <is>
          <t>x</t>
        </is>
      </c>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c r="DH197" t="inlineStr"/>
      <c r="DI197" t="inlineStr"/>
      <c r="DJ197" t="inlineStr"/>
      <c r="DK197" t="inlineStr"/>
      <c r="DL197" t="inlineStr"/>
    </row>
    <row r="198">
      <c r="A198" t="inlineStr">
        <is>
          <t>Schreibmeister</t>
        </is>
      </c>
      <c r="B198" t="b">
        <v>1</v>
      </c>
      <c r="C198" t="inlineStr"/>
      <c r="D198" t="inlineStr"/>
      <c r="E198" t="n">
        <v>188</v>
      </c>
      <c r="F198">
        <f>HYPERLINK("https://portal.dnb.de/opac.htm?method=simpleSearch&amp;cqlMode=true&amp;query=idn%3D1205028994", "Portal")</f>
        <v/>
      </c>
      <c r="G198" t="inlineStr">
        <is>
          <t>Aa</t>
        </is>
      </c>
      <c r="H198">
        <f>HYPERLINK("https://portal.dnb.de/opac.htm?method=simpleSearch&amp;cqlMode=true&amp;query=idn%3D1205028994", "Portal")</f>
        <v/>
      </c>
      <c r="I198" t="inlineStr">
        <is>
          <t>L-2020-302130</t>
        </is>
      </c>
      <c r="J198" t="inlineStr">
        <is>
          <t>1205028994</t>
        </is>
      </c>
      <c r="K198" t="inlineStr">
        <is>
          <t>Cb 747</t>
        </is>
      </c>
      <c r="L198" t="inlineStr">
        <is>
          <t>(Großformate)</t>
        </is>
      </c>
      <c r="M198" t="inlineStr">
        <is>
          <t>Cb 747</t>
        </is>
      </c>
      <c r="N198" t="inlineStr">
        <is>
          <t xml:space="preserve">L' @art d'écrire : </t>
        </is>
      </c>
      <c r="O198" t="inlineStr">
        <is>
          <t xml:space="preserve"> : </t>
        </is>
      </c>
      <c r="P198" t="inlineStr">
        <is>
          <t>Cb 747</t>
        </is>
      </c>
      <c r="Q198" t="inlineStr">
        <is>
          <t>3000,00 EUR</t>
        </is>
      </c>
      <c r="R198" t="inlineStr"/>
      <c r="S198" t="inlineStr">
        <is>
          <t xml:space="preserve">L' @art d'écrire : </t>
        </is>
      </c>
      <c r="T198" t="inlineStr">
        <is>
          <t xml:space="preserve"> : </t>
        </is>
      </c>
      <c r="U198" t="inlineStr"/>
      <c r="V198" t="inlineStr">
        <is>
          <t>3000,00 EUR</t>
        </is>
      </c>
      <c r="W198" t="inlineStr"/>
      <c r="X198" t="inlineStr">
        <is>
          <t>bis 42 cm</t>
        </is>
      </c>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is>
          <t>HL</t>
        </is>
      </c>
      <c r="AO198" t="inlineStr"/>
      <c r="AP198" t="inlineStr"/>
      <c r="AQ198" t="inlineStr"/>
      <c r="AR198" t="inlineStr">
        <is>
          <t>h/E</t>
        </is>
      </c>
      <c r="AS198" t="inlineStr"/>
      <c r="AT198" t="inlineStr"/>
      <c r="AU198" t="inlineStr"/>
      <c r="AV198" t="inlineStr"/>
      <c r="AW198" t="inlineStr"/>
      <c r="AX198" t="inlineStr">
        <is>
          <t>Pa</t>
        </is>
      </c>
      <c r="AY198" t="inlineStr"/>
      <c r="AZ198" t="inlineStr"/>
      <c r="BA198" t="inlineStr"/>
      <c r="BB198" t="inlineStr"/>
      <c r="BC198" t="inlineStr"/>
      <c r="BD198" t="inlineStr"/>
      <c r="BE198" t="inlineStr"/>
      <c r="BF198" t="inlineStr"/>
      <c r="BG198" t="inlineStr">
        <is>
          <t>x</t>
        </is>
      </c>
      <c r="BH198" t="inlineStr"/>
      <c r="BI198" t="inlineStr">
        <is>
          <t>x</t>
        </is>
      </c>
      <c r="BJ198" t="inlineStr"/>
      <c r="BK198" t="inlineStr"/>
      <c r="BL198" t="n">
        <v>110</v>
      </c>
      <c r="BM198" t="inlineStr"/>
      <c r="BN198" t="inlineStr"/>
      <c r="BO198" t="inlineStr"/>
      <c r="BP198" t="inlineStr"/>
      <c r="BQ198" t="inlineStr"/>
      <c r="BR198" t="inlineStr">
        <is>
          <t>n</t>
        </is>
      </c>
      <c r="BS198" t="n">
        <v>0</v>
      </c>
      <c r="BT198" t="inlineStr"/>
      <c r="BU198" t="inlineStr">
        <is>
          <t>Wellpappe</t>
        </is>
      </c>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c r="DH198" t="inlineStr"/>
      <c r="DI198" t="inlineStr"/>
      <c r="DJ198" t="inlineStr"/>
      <c r="DK198" t="inlineStr"/>
      <c r="DL198" t="inlineStr"/>
    </row>
    <row r="199">
      <c r="A199" t="inlineStr">
        <is>
          <t>Schreibmeister</t>
        </is>
      </c>
      <c r="B199" t="b">
        <v>1</v>
      </c>
      <c r="C199" t="inlineStr"/>
      <c r="D199" t="inlineStr"/>
      <c r="E199" t="n">
        <v>189</v>
      </c>
      <c r="F199">
        <f>HYPERLINK("https://portal.dnb.de/opac.htm?method=simpleSearch&amp;cqlMode=true&amp;query=idn%3D1205034501", "Portal")</f>
        <v/>
      </c>
      <c r="G199" t="inlineStr">
        <is>
          <t>Aa</t>
        </is>
      </c>
      <c r="H199">
        <f>HYPERLINK("https://portal.dnb.de/opac.htm?method=simpleSearch&amp;cqlMode=true&amp;query=idn%3D1205034501", "Portal")</f>
        <v/>
      </c>
      <c r="I199" t="inlineStr">
        <is>
          <t>L-2020-302131</t>
        </is>
      </c>
      <c r="J199" t="inlineStr">
        <is>
          <t>1205034501</t>
        </is>
      </c>
      <c r="K199" t="inlineStr">
        <is>
          <t>Cb 748</t>
        </is>
      </c>
      <c r="L199" t="inlineStr">
        <is>
          <t>Cb 748 ; Großformate</t>
        </is>
      </c>
      <c r="M199" t="inlineStr">
        <is>
          <t>Cb 748</t>
        </is>
      </c>
      <c r="N199" t="inlineStr">
        <is>
          <t>Nova Arte De Escrever : Offerecida Ao Principe Nosso Senhor, Para Instrucçaõ Da Mocidade</t>
        </is>
      </c>
      <c r="O199" t="inlineStr">
        <is>
          <t xml:space="preserve"> : </t>
        </is>
      </c>
      <c r="P199" t="inlineStr">
        <is>
          <t>Cb 748</t>
        </is>
      </c>
      <c r="Q199" t="inlineStr">
        <is>
          <t>3500,00 EUR</t>
        </is>
      </c>
      <c r="R199" t="inlineStr"/>
      <c r="S199" t="inlineStr">
        <is>
          <t>Nova Arte De Escrever : Offerecida Ao Principe Nosso Senhor, Para Instrucçaõ Da Mocidade</t>
        </is>
      </c>
      <c r="T199" t="inlineStr">
        <is>
          <t xml:space="preserve"> : </t>
        </is>
      </c>
      <c r="U199" t="inlineStr"/>
      <c r="V199" t="inlineStr">
        <is>
          <t>3500,00 EUR</t>
        </is>
      </c>
      <c r="W199" t="inlineStr"/>
      <c r="X199" t="inlineStr">
        <is>
          <t>bis 35 cm</t>
        </is>
      </c>
      <c r="Y199" t="inlineStr"/>
      <c r="Z199" t="inlineStr"/>
      <c r="AA199" t="inlineStr"/>
      <c r="AB199" t="inlineStr"/>
      <c r="AC199" t="inlineStr"/>
      <c r="AD199" t="inlineStr"/>
      <c r="AE199" t="inlineStr"/>
      <c r="AF199" t="inlineStr"/>
      <c r="AG199" t="inlineStr"/>
      <c r="AH199" t="inlineStr"/>
      <c r="AI199" t="inlineStr"/>
      <c r="AJ199" t="inlineStr"/>
      <c r="AK199" t="inlineStr">
        <is>
          <t>QF (43x28)</t>
        </is>
      </c>
      <c r="AL199" t="inlineStr"/>
      <c r="AM199" t="inlineStr"/>
      <c r="AN199" t="inlineStr">
        <is>
          <t>L</t>
        </is>
      </c>
      <c r="AO199" t="inlineStr"/>
      <c r="AP199" t="inlineStr"/>
      <c r="AQ199" t="inlineStr"/>
      <c r="AR199" t="inlineStr">
        <is>
          <t>h/E</t>
        </is>
      </c>
      <c r="AS199" t="inlineStr"/>
      <c r="AT199" t="inlineStr"/>
      <c r="AU199" t="inlineStr"/>
      <c r="AV199" t="inlineStr"/>
      <c r="AW199" t="inlineStr"/>
      <c r="AX199" t="inlineStr">
        <is>
          <t>Pa</t>
        </is>
      </c>
      <c r="AY199" t="inlineStr"/>
      <c r="AZ199" t="inlineStr"/>
      <c r="BA199" t="inlineStr"/>
      <c r="BB199" t="inlineStr"/>
      <c r="BC199" t="inlineStr"/>
      <c r="BD199" t="inlineStr"/>
      <c r="BE199" t="inlineStr"/>
      <c r="BF199" t="inlineStr"/>
      <c r="BG199" t="inlineStr">
        <is>
          <t>x</t>
        </is>
      </c>
      <c r="BH199" t="inlineStr"/>
      <c r="BI199" t="inlineStr">
        <is>
          <t>x</t>
        </is>
      </c>
      <c r="BJ199" t="inlineStr"/>
      <c r="BK199" t="inlineStr"/>
      <c r="BL199" t="n">
        <v>110</v>
      </c>
      <c r="BM199" t="inlineStr"/>
      <c r="BN199" t="inlineStr"/>
      <c r="BO199" t="inlineStr"/>
      <c r="BP199" t="inlineStr"/>
      <c r="BQ199" t="inlineStr"/>
      <c r="BR199" t="inlineStr">
        <is>
          <t>n</t>
        </is>
      </c>
      <c r="BS199" t="n">
        <v>0</v>
      </c>
      <c r="BT199" t="inlineStr"/>
      <c r="BU199" t="inlineStr">
        <is>
          <t>Wellpappe</t>
        </is>
      </c>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c r="DH199" t="inlineStr"/>
      <c r="DI199" t="inlineStr"/>
      <c r="DJ199" t="inlineStr"/>
      <c r="DK199" t="inlineStr"/>
      <c r="DL199" t="inlineStr"/>
    </row>
    <row r="200">
      <c r="A200" t="inlineStr">
        <is>
          <t>Schreibmeister</t>
        </is>
      </c>
      <c r="B200" t="b">
        <v>1</v>
      </c>
      <c r="C200" t="inlineStr"/>
      <c r="D200" t="inlineStr"/>
      <c r="E200" t="n">
        <v>190</v>
      </c>
      <c r="F200">
        <f>HYPERLINK("https://portal.dnb.de/opac.htm?method=simpleSearch&amp;cqlMode=true&amp;query=idn%3D1205036865", "Portal")</f>
        <v/>
      </c>
      <c r="G200" t="inlineStr">
        <is>
          <t>Aa</t>
        </is>
      </c>
      <c r="H200">
        <f>HYPERLINK("https://portal.dnb.de/opac.htm?method=simpleSearch&amp;cqlMode=true&amp;query=idn%3D1205036865", "Portal")</f>
        <v/>
      </c>
      <c r="I200" t="inlineStr">
        <is>
          <t>L-2020-302132</t>
        </is>
      </c>
      <c r="J200" t="inlineStr">
        <is>
          <t>1205036865</t>
        </is>
      </c>
      <c r="K200" t="inlineStr">
        <is>
          <t>Cb 749</t>
        </is>
      </c>
      <c r="L200" t="inlineStr">
        <is>
          <t>Cb 749</t>
        </is>
      </c>
      <c r="M200" t="inlineStr">
        <is>
          <t>Cb 749</t>
        </is>
      </c>
      <c r="N200" t="inlineStr">
        <is>
          <t>A @New Book of Cyphers, Containing in general all Names Interwoven, &amp; revers'd, by Alphabet : Being very pleasent for Gentlemen, and Ladys, and useful</t>
        </is>
      </c>
      <c r="O200" t="inlineStr">
        <is>
          <t xml:space="preserve"> : </t>
        </is>
      </c>
      <c r="P200" t="inlineStr">
        <is>
          <t>Cb 749</t>
        </is>
      </c>
      <c r="Q200" t="inlineStr">
        <is>
          <t>600,00 EUR</t>
        </is>
      </c>
      <c r="R200" t="inlineStr"/>
      <c r="S200" t="inlineStr">
        <is>
          <t>A @New Book of Cyphers, Containing in general all Names Interwoven, &amp; revers'd, by Alphabet : Being very pleasent for Gentlemen, and Ladys, and useful</t>
        </is>
      </c>
      <c r="T200" t="inlineStr">
        <is>
          <t xml:space="preserve"> : </t>
        </is>
      </c>
      <c r="U200" t="inlineStr"/>
      <c r="V200" t="inlineStr">
        <is>
          <t>600,00 EUR</t>
        </is>
      </c>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n">
        <v>0</v>
      </c>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c r="DH200" t="inlineStr"/>
      <c r="DI200" t="inlineStr"/>
      <c r="DJ200" t="inlineStr"/>
      <c r="DK200" t="inlineStr"/>
      <c r="DL200" t="inlineStr"/>
    </row>
    <row r="201">
      <c r="A201" t="inlineStr">
        <is>
          <t>Schreibmeister</t>
        </is>
      </c>
      <c r="B201" t="b">
        <v>1</v>
      </c>
      <c r="C201" t="inlineStr"/>
      <c r="D201" t="inlineStr"/>
      <c r="E201" t="n">
        <v>191</v>
      </c>
      <c r="F201">
        <f>HYPERLINK("https://portal.dnb.de/opac.htm?method=simpleSearch&amp;cqlMode=true&amp;query=idn%3D1210096447", "Portal")</f>
        <v/>
      </c>
      <c r="G201" t="inlineStr">
        <is>
          <t>Aa</t>
        </is>
      </c>
      <c r="H201">
        <f>HYPERLINK("https://portal.dnb.de/opac.htm?method=simpleSearch&amp;cqlMode=true&amp;query=idn%3D1210096447", "Portal")</f>
        <v/>
      </c>
      <c r="I201" t="inlineStr">
        <is>
          <t>L-2020-302189</t>
        </is>
      </c>
      <c r="J201" t="inlineStr">
        <is>
          <t>1210096447</t>
        </is>
      </c>
      <c r="K201" t="inlineStr">
        <is>
          <t>Cb 750</t>
        </is>
      </c>
      <c r="L201" t="inlineStr">
        <is>
          <t>Cb 750 ; Großformate</t>
        </is>
      </c>
      <c r="M201" t="inlineStr">
        <is>
          <t>Cb 750</t>
        </is>
      </c>
      <c r="N201" t="inlineStr">
        <is>
          <t>Raccolta di caratteri inglesi, francesi, italiani, e tedeschi : con nuovo, e breve metodo, per facilmente imitarli</t>
        </is>
      </c>
      <c r="O201" t="inlineStr">
        <is>
          <t xml:space="preserve"> : </t>
        </is>
      </c>
      <c r="P201" t="inlineStr">
        <is>
          <t>Cb 750</t>
        </is>
      </c>
      <c r="Q201" t="inlineStr">
        <is>
          <t>600,00 EUR</t>
        </is>
      </c>
      <c r="R201" t="inlineStr"/>
      <c r="S201" t="inlineStr">
        <is>
          <t>Raccolta di caratteri inglesi, francesi, italiani, e tedeschi : con nuovo, e breve metodo, per facilmente imitarli</t>
        </is>
      </c>
      <c r="T201" t="inlineStr">
        <is>
          <t xml:space="preserve"> : </t>
        </is>
      </c>
      <c r="U201" t="inlineStr"/>
      <c r="V201" t="inlineStr">
        <is>
          <t>600,00 EUR</t>
        </is>
      </c>
      <c r="W201" t="inlineStr"/>
      <c r="X201" t="inlineStr">
        <is>
          <t>bis 35 cm</t>
        </is>
      </c>
      <c r="Y201" t="inlineStr"/>
      <c r="Z201" t="inlineStr"/>
      <c r="AA201" t="inlineStr"/>
      <c r="AB201" t="inlineStr"/>
      <c r="AC201" t="inlineStr"/>
      <c r="AD201" t="inlineStr"/>
      <c r="AE201" t="inlineStr"/>
      <c r="AF201" t="inlineStr"/>
      <c r="AG201" t="inlineStr"/>
      <c r="AH201" t="inlineStr"/>
      <c r="AI201" t="inlineStr"/>
      <c r="AJ201" t="inlineStr"/>
      <c r="AK201" t="inlineStr">
        <is>
          <t>QF (38x27)</t>
        </is>
      </c>
      <c r="AL201" t="inlineStr"/>
      <c r="AM201" t="inlineStr"/>
      <c r="AN201" t="inlineStr">
        <is>
          <t>HL</t>
        </is>
      </c>
      <c r="AO201" t="inlineStr"/>
      <c r="AP201" t="inlineStr"/>
      <c r="AQ201" t="inlineStr"/>
      <c r="AR201" t="inlineStr">
        <is>
          <t>h/E</t>
        </is>
      </c>
      <c r="AS201" t="inlineStr"/>
      <c r="AT201" t="inlineStr"/>
      <c r="AU201" t="inlineStr"/>
      <c r="AV201" t="inlineStr"/>
      <c r="AW201" t="inlineStr"/>
      <c r="AX201" t="inlineStr">
        <is>
          <t>Pa</t>
        </is>
      </c>
      <c r="AY201" t="inlineStr"/>
      <c r="AZ201" t="inlineStr"/>
      <c r="BA201" t="inlineStr"/>
      <c r="BB201" t="inlineStr"/>
      <c r="BC201" t="inlineStr"/>
      <c r="BD201" t="inlineStr"/>
      <c r="BE201" t="inlineStr"/>
      <c r="BF201" t="inlineStr"/>
      <c r="BG201" t="inlineStr">
        <is>
          <t>x</t>
        </is>
      </c>
      <c r="BH201" t="inlineStr"/>
      <c r="BI201" t="inlineStr">
        <is>
          <t>x</t>
        </is>
      </c>
      <c r="BJ201" t="inlineStr"/>
      <c r="BK201" t="inlineStr"/>
      <c r="BL201" t="n">
        <v>110</v>
      </c>
      <c r="BM201" t="inlineStr"/>
      <c r="BN201" t="inlineStr"/>
      <c r="BO201" t="inlineStr"/>
      <c r="BP201" t="inlineStr"/>
      <c r="BQ201" t="inlineStr"/>
      <c r="BR201" t="inlineStr">
        <is>
          <t>n</t>
        </is>
      </c>
      <c r="BS201" t="n">
        <v>0</v>
      </c>
      <c r="BT201" t="inlineStr"/>
      <c r="BU201" t="inlineStr">
        <is>
          <t>Wellpappe</t>
        </is>
      </c>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c r="DH201" t="inlineStr"/>
      <c r="DI201" t="inlineStr"/>
      <c r="DJ201" t="inlineStr"/>
      <c r="DK201" t="inlineStr"/>
      <c r="DL201" t="inlineStr"/>
    </row>
    <row r="202">
      <c r="A202" t="inlineStr">
        <is>
          <t>Schreibmeister</t>
        </is>
      </c>
      <c r="B202" t="b">
        <v>1</v>
      </c>
      <c r="C202" t="inlineStr"/>
      <c r="D202" t="inlineStr"/>
      <c r="E202" t="inlineStr"/>
      <c r="F202">
        <f>HYPERLINK("https://portal.dnb.de/opac.htm?method=simpleSearch&amp;cqlMode=true&amp;query=idn%3D1220645885", "Portal")</f>
        <v/>
      </c>
      <c r="G202" t="inlineStr">
        <is>
          <t>Aa</t>
        </is>
      </c>
      <c r="H202">
        <f>HYPERLINK("https://portal.dnb.de/opac.htm?method=simpleSearch&amp;cqlMode=true&amp;query=idn%3D1220645885", "Portal")</f>
        <v/>
      </c>
      <c r="I202" t="inlineStr">
        <is>
          <t>L-3000-027047</t>
        </is>
      </c>
      <c r="J202" t="inlineStr">
        <is>
          <t>1220645885</t>
        </is>
      </c>
      <c r="K202" t="inlineStr">
        <is>
          <t>Cb 754</t>
        </is>
      </c>
      <c r="L202" t="inlineStr">
        <is>
          <t>Cb 754</t>
        </is>
      </c>
      <c r="M202" t="inlineStr">
        <is>
          <t>Cb 754</t>
        </is>
      </c>
      <c r="N202" t="inlineStr">
        <is>
          <t xml:space="preserve">Vorschrift zur Uebung in der deutschen Current- Canzley- und Fracturschrift : </t>
        </is>
      </c>
      <c r="O202" t="inlineStr">
        <is>
          <t xml:space="preserve"> : </t>
        </is>
      </c>
      <c r="P202" t="inlineStr">
        <is>
          <t>Cb 754</t>
        </is>
      </c>
      <c r="Q202" t="inlineStr">
        <is>
          <t>95,20 EUR</t>
        </is>
      </c>
      <c r="R202" t="inlineStr">
        <is>
          <t>war nicht in Excelliste, taucht aber sowohl in Rüdiger als auch Wendler-Liste auf</t>
        </is>
      </c>
      <c r="S202" t="inlineStr">
        <is>
          <t xml:space="preserve">Vorschrift zur Uebung in der deutschen Current- Canzley- und Fracturschrift : </t>
        </is>
      </c>
      <c r="T202" t="inlineStr">
        <is>
          <t xml:space="preserve"> : </t>
        </is>
      </c>
      <c r="U202" t="inlineStr"/>
      <c r="V202" t="inlineStr">
        <is>
          <t>95,20 EUR</t>
        </is>
      </c>
      <c r="W202" t="inlineStr"/>
      <c r="X202" t="inlineStr"/>
      <c r="Y202" t="inlineStr"/>
      <c r="Z202" t="inlineStr"/>
      <c r="AA202" t="inlineStr"/>
      <c r="AB202" t="inlineStr"/>
      <c r="AC202" t="inlineStr"/>
      <c r="AD202" t="inlineStr"/>
      <c r="AE202" t="inlineStr"/>
      <c r="AF202" t="inlineStr"/>
      <c r="AG202" t="inlineStr"/>
      <c r="AH202" t="inlineStr"/>
      <c r="AI202" t="inlineStr">
        <is>
          <t>Mitarbeiter dienstlich</t>
        </is>
      </c>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n">
        <v>0</v>
      </c>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c r="DH202" t="inlineStr"/>
      <c r="DI202" t="inlineStr"/>
      <c r="DJ202" t="inlineStr"/>
      <c r="DK202" t="inlineStr"/>
      <c r="DL202" t="inlineStr"/>
    </row>
    <row r="203">
      <c r="A203" t="inlineStr">
        <is>
          <t>Schreibmeister</t>
        </is>
      </c>
      <c r="B203" t="b">
        <v>0</v>
      </c>
      <c r="C203" t="inlineStr"/>
      <c r="D203" t="inlineStr"/>
      <c r="E203" t="n">
        <v>197</v>
      </c>
      <c r="F203">
        <f>HYPERLINK("https://portal.dnb.de/opac.htm?method=simpleSearch&amp;cqlMode=true&amp;query=idn%3D", "Portal")</f>
        <v/>
      </c>
      <c r="G203" t="inlineStr"/>
      <c r="H203">
        <f>HYPERLINK("https://portal.dnb.de/opac.htm?method=simpleSearch&amp;cqlMode=true&amp;query=idn%3D", "Portal")</f>
        <v/>
      </c>
      <c r="I203" t="inlineStr"/>
      <c r="J203" t="inlineStr"/>
      <c r="K203" t="inlineStr"/>
      <c r="L203" t="inlineStr"/>
      <c r="M203" t="inlineStr"/>
      <c r="N203" t="inlineStr"/>
      <c r="O203" t="inlineStr"/>
      <c r="P203" t="inlineStr">
        <is>
          <t>I, 229</t>
        </is>
      </c>
      <c r="Q203" t="inlineStr"/>
      <c r="R203" t="inlineStr">
        <is>
          <t>ist Hss. --&gt; für Projekt nicht relevant</t>
        </is>
      </c>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BR203" t="inlineStr"/>
      <c r="BS203" t="n">
        <v>0</v>
      </c>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c r="DH203" t="inlineStr"/>
      <c r="DI203" t="inlineStr"/>
      <c r="DJ203" t="inlineStr"/>
      <c r="DK203" t="inlineStr"/>
      <c r="DL203" t="inlineStr"/>
    </row>
    <row r="204">
      <c r="A204" t="inlineStr">
        <is>
          <t>Schreibmeister</t>
        </is>
      </c>
      <c r="B204" t="b">
        <v>1</v>
      </c>
      <c r="C204" t="inlineStr"/>
      <c r="D204" t="inlineStr"/>
      <c r="E204" t="inlineStr"/>
      <c r="F204">
        <f>HYPERLINK("https://portal.dnb.de/opac.htm?method=simpleSearch&amp;cqlMode=true&amp;query=idn%3D1066942021", "Portal")</f>
        <v/>
      </c>
      <c r="G204" t="inlineStr">
        <is>
          <t>Haf</t>
        </is>
      </c>
      <c r="H204">
        <f>HYPERLINK("https://portal.dnb.de/opac.htm?method=simpleSearch&amp;cqlMode=true&amp;query=idn%3D1066942021", "Portal")</f>
        <v/>
      </c>
      <c r="I204" t="inlineStr">
        <is>
          <t>L-1700-315469668</t>
        </is>
      </c>
      <c r="J204" t="inlineStr">
        <is>
          <t>1066942021</t>
        </is>
      </c>
      <c r="K204" t="inlineStr">
        <is>
          <t>I, 229</t>
        </is>
      </c>
      <c r="L204" t="inlineStr">
        <is>
          <t>I, 229</t>
        </is>
      </c>
      <c r="M204" t="inlineStr">
        <is>
          <t>I, 229</t>
        </is>
      </c>
      <c r="N204" t="inlineStr">
        <is>
          <t>Wie das Haupt ist, sollen billich auch die Glieder seyn. Wie der Herr, so die Knechte, wie der Vater, so die Kinder : [barockes Schreib-Übungsheft]</t>
        </is>
      </c>
      <c r="O204" t="inlineStr">
        <is>
          <t xml:space="preserve"> : </t>
        </is>
      </c>
      <c r="P204" t="inlineStr">
        <is>
          <t>I, 229</t>
        </is>
      </c>
      <c r="Q204" t="inlineStr"/>
      <c r="R204" t="inlineStr"/>
      <c r="S204" t="inlineStr">
        <is>
          <t>Wie das Haupt ist, sollen billich auch die Glieder seyn. Wie der Herr, so die Knechte, wie der Vater, so die Kinder : [barockes Schreib-Übungsheft]</t>
        </is>
      </c>
      <c r="T204" t="inlineStr">
        <is>
          <t xml:space="preserve"> : </t>
        </is>
      </c>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c r="DH204" t="inlineStr"/>
      <c r="DI204" t="inlineStr"/>
      <c r="DJ204" t="inlineStr"/>
      <c r="DK204" t="inlineStr"/>
      <c r="DL204" t="inlineStr"/>
    </row>
    <row r="205">
      <c r="A205" t="inlineStr">
        <is>
          <t>Schreibmeister</t>
        </is>
      </c>
      <c r="B205" t="b">
        <v>1</v>
      </c>
      <c r="C205" t="inlineStr"/>
      <c r="D205" t="inlineStr"/>
      <c r="E205" t="n">
        <v>196</v>
      </c>
      <c r="F205">
        <f>HYPERLINK("https://portal.dnb.de/opac.htm?method=simpleSearch&amp;cqlMode=true&amp;query=idn%3D1001523539", "Portal")</f>
        <v/>
      </c>
      <c r="G205" t="inlineStr">
        <is>
          <t>Aal</t>
        </is>
      </c>
      <c r="H205">
        <f>HYPERLINK("https://portal.dnb.de/opac.htm?method=simpleSearch&amp;cqlMode=true&amp;query=idn%3D1001523539", "Portal")</f>
        <v/>
      </c>
      <c r="I205" t="inlineStr">
        <is>
          <t>L-1683-175049130</t>
        </is>
      </c>
      <c r="J205" t="inlineStr">
        <is>
          <t>1001523539</t>
        </is>
      </c>
      <c r="K205" t="inlineStr">
        <is>
          <t>IV 291, 80</t>
        </is>
      </c>
      <c r="L205" t="inlineStr">
        <is>
          <t>IV 291, 80</t>
        </is>
      </c>
      <c r="M205" t="inlineStr">
        <is>
          <t>IV 291, 80</t>
        </is>
      </c>
      <c r="N205" t="inlineStr">
        <is>
          <t>Heures nouvelles : tirées de la Sainte Ecriture</t>
        </is>
      </c>
      <c r="O205" t="inlineStr">
        <is>
          <t xml:space="preserve"> : </t>
        </is>
      </c>
      <c r="P205" t="inlineStr">
        <is>
          <t>IV 291, 80</t>
        </is>
      </c>
      <c r="Q205" t="inlineStr"/>
      <c r="R205" t="inlineStr"/>
      <c r="S205" t="inlineStr">
        <is>
          <t>Heures nouvelles : tirées de la Sainte Ecriture</t>
        </is>
      </c>
      <c r="T205" t="inlineStr">
        <is>
          <t xml:space="preserve"> : </t>
        </is>
      </c>
      <c r="U205" t="inlineStr"/>
      <c r="V205" t="inlineStr"/>
      <c r="W205" t="inlineStr"/>
      <c r="X205" t="inlineStr">
        <is>
          <t>bis 25 cm</t>
        </is>
      </c>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is>
          <t>L</t>
        </is>
      </c>
      <c r="AO205" t="inlineStr"/>
      <c r="AP205" t="inlineStr"/>
      <c r="AQ205" t="inlineStr"/>
      <c r="AR205" t="inlineStr">
        <is>
          <t>f/V</t>
        </is>
      </c>
      <c r="AS205" t="inlineStr"/>
      <c r="AT205" t="inlineStr"/>
      <c r="AU205" t="inlineStr"/>
      <c r="AV205" t="inlineStr"/>
      <c r="AW205" t="inlineStr"/>
      <c r="AX205" t="inlineStr">
        <is>
          <t>Pa</t>
        </is>
      </c>
      <c r="AY205" t="inlineStr"/>
      <c r="AZ205" t="inlineStr"/>
      <c r="BA205" t="inlineStr"/>
      <c r="BB205" t="inlineStr"/>
      <c r="BC205" t="inlineStr"/>
      <c r="BD205" t="inlineStr"/>
      <c r="BE205" t="inlineStr"/>
      <c r="BF205" t="inlineStr"/>
      <c r="BG205" t="inlineStr">
        <is>
          <t>x</t>
        </is>
      </c>
      <c r="BH205" t="inlineStr"/>
      <c r="BI205" t="inlineStr">
        <is>
          <t>x</t>
        </is>
      </c>
      <c r="BJ205" t="inlineStr"/>
      <c r="BK205" t="inlineStr"/>
      <c r="BL205" t="inlineStr">
        <is>
          <t>max 110</t>
        </is>
      </c>
      <c r="BM205" t="inlineStr"/>
      <c r="BN205" t="inlineStr"/>
      <c r="BO205" t="inlineStr"/>
      <c r="BP205" t="inlineStr"/>
      <c r="BQ205" t="inlineStr"/>
      <c r="BR205" t="inlineStr">
        <is>
          <t>n</t>
        </is>
      </c>
      <c r="BS205" t="n">
        <v>0</v>
      </c>
      <c r="BT205" t="inlineStr"/>
      <c r="BU205" t="inlineStr"/>
      <c r="BV205" t="inlineStr"/>
      <c r="BW205" t="inlineStr"/>
      <c r="BX205" t="inlineStr"/>
      <c r="BY205" t="inlineStr">
        <is>
          <t>x sauer</t>
        </is>
      </c>
      <c r="BZ205" t="inlineStr">
        <is>
          <t>x</t>
        </is>
      </c>
      <c r="CA205" t="inlineStr"/>
      <c r="CB205" t="inlineStr"/>
      <c r="CC205" t="inlineStr"/>
      <c r="CD205" t="inlineStr">
        <is>
          <t>x Umschlag (bes. Einband)</t>
        </is>
      </c>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c r="DH205" t="inlineStr"/>
      <c r="DI205" t="inlineStr"/>
      <c r="DJ205" t="inlineStr"/>
      <c r="DK205" t="inlineStr"/>
      <c r="DL205" t="inlineStr"/>
    </row>
    <row r="206">
      <c r="A206" t="inlineStr">
        <is>
          <t>Schreibmeister</t>
        </is>
      </c>
      <c r="B206" t="b">
        <v>1</v>
      </c>
      <c r="C206" t="inlineStr"/>
      <c r="D206" t="inlineStr"/>
      <c r="E206" t="inlineStr"/>
      <c r="F206">
        <f>HYPERLINK("https://portal.dnb.de/opac.htm?method=simpleSearch&amp;cqlMode=true&amp;query=idn%3D1196912882", "Portal")</f>
        <v/>
      </c>
      <c r="G206" t="inlineStr">
        <is>
          <t>Ha</t>
        </is>
      </c>
      <c r="H206">
        <f>HYPERLINK("https://portal.dnb.de/opac.htm?method=simpleSearch&amp;cqlMode=true&amp;query=idn%3D1196912882", "Portal")</f>
        <v/>
      </c>
      <c r="I206" t="inlineStr">
        <is>
          <t>L-1563-644253029</t>
        </is>
      </c>
      <c r="J206" t="inlineStr">
        <is>
          <t>1196912882</t>
        </is>
      </c>
      <c r="K206" t="inlineStr">
        <is>
          <t>unsigniert</t>
        </is>
      </c>
      <c r="L206" t="inlineStr">
        <is>
          <t>unsigniert</t>
        </is>
      </c>
      <c r="M206" t="inlineStr">
        <is>
          <t>unsigniert</t>
        </is>
      </c>
      <c r="N206" t="inlineStr">
        <is>
          <t xml:space="preserve">Schreibmeisterbuch : </t>
        </is>
      </c>
      <c r="O206" t="inlineStr">
        <is>
          <t xml:space="preserve"> : </t>
        </is>
      </c>
      <c r="P206" t="inlineStr">
        <is>
          <t>unsigniert</t>
        </is>
      </c>
      <c r="Q206" t="inlineStr"/>
      <c r="R206" t="inlineStr"/>
      <c r="S206" t="inlineStr">
        <is>
          <t xml:space="preserve">Schreibmeisterbuch : </t>
        </is>
      </c>
      <c r="T206" t="inlineStr">
        <is>
          <t xml:space="preserve"> : </t>
        </is>
      </c>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c r="DH206" t="inlineStr"/>
      <c r="DI206" t="inlineStr"/>
      <c r="DJ206" t="inlineStr"/>
      <c r="DK206" t="inlineStr"/>
      <c r="DL206"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29"/>
  <sheetViews>
    <sheetView topLeftCell="A7" workbookViewId="0">
      <selection activeCell="A30" sqref="A30"/>
    </sheetView>
  </sheetViews>
  <sheetFormatPr baseColWidth="10" defaultColWidth="11" defaultRowHeight="11.4"/>
  <cols>
    <col width="13.59765625" customWidth="1" style="72" min="1" max="2"/>
    <col width="155.59765625" customWidth="1" style="72" min="3" max="3"/>
    <col width="11" customWidth="1" style="72" min="4" max="5"/>
    <col width="11" customWidth="1" style="72" min="6" max="16384"/>
  </cols>
  <sheetData>
    <row r="2" ht="14.25" customHeight="1" s="58">
      <c r="A2" s="101" t="inlineStr">
        <is>
          <t>Klemmsammlung</t>
        </is>
      </c>
      <c r="B2" s="75" t="n"/>
      <c r="C2" s="75" t="n"/>
    </row>
    <row r="3">
      <c r="B3" s="75" t="n"/>
      <c r="C3" s="75" t="inlineStr">
        <is>
          <t xml:space="preserve"> </t>
        </is>
      </c>
    </row>
    <row r="4">
      <c r="A4" s="102" t="inlineStr">
        <is>
          <t>Signaturgruppe Bö Fachbibliothek</t>
        </is>
      </c>
      <c r="B4" s="75" t="n"/>
      <c r="C4" s="75" t="n"/>
    </row>
    <row r="5">
      <c r="B5" s="75" t="n"/>
      <c r="C5" s="75" t="n"/>
    </row>
    <row r="6">
      <c r="A6" s="72" t="inlineStr">
        <is>
          <t>Signatur enthält Formatbezeichnung; Fragmente werden nicht erfasst</t>
        </is>
      </c>
      <c r="B6" s="75" t="n"/>
      <c r="C6" s="75" t="n"/>
    </row>
    <row r="7">
      <c r="B7" s="75" t="n"/>
      <c r="C7" s="75" t="n"/>
    </row>
    <row r="8">
      <c r="B8" s="75" t="n"/>
      <c r="C8" s="75" t="n"/>
    </row>
    <row r="9">
      <c r="B9" s="75" t="n"/>
      <c r="C9" s="75" t="n"/>
    </row>
    <row r="10">
      <c r="B10" s="75" t="n"/>
      <c r="C10" s="75" t="n"/>
    </row>
    <row r="14" ht="12.75" customHeight="1" s="58">
      <c r="A14" s="103" t="inlineStr">
        <is>
          <t>Informationen zu dieser Mappe</t>
        </is>
      </c>
    </row>
    <row r="16">
      <c r="A16" s="72" t="inlineStr">
        <is>
          <t>Die Mappe basiert auf der Excelliste, die 2021 erstellt worde. Veränderungen/Ergänzungen ab 2022 sind unten aufgeführt.</t>
        </is>
      </c>
    </row>
    <row r="18">
      <c r="A18" s="104" t="inlineStr">
        <is>
          <t>Veränderungen an dieser Mappe:</t>
        </is>
      </c>
    </row>
    <row r="19" customFormat="1" s="105">
      <c r="A19" s="105" t="inlineStr">
        <is>
          <t>Wichtig! Bitte alle relevanten Veränderungen (Einfügen von Zellbezügen, neuen Spalten...) ergänzen, da verschiedene Leute mit der Tabelle arbeiten!!!</t>
        </is>
      </c>
    </row>
    <row r="21">
      <c r="A21" s="72" t="inlineStr">
        <is>
          <t>wann</t>
        </is>
      </c>
      <c r="B21" s="72" t="inlineStr">
        <is>
          <t>wer</t>
        </is>
      </c>
      <c r="C21" s="72" t="inlineStr">
        <is>
          <t>was</t>
        </is>
      </c>
    </row>
    <row r="23">
      <c r="A23" s="106" t="n">
        <v>44595</v>
      </c>
      <c r="B23" s="72" t="inlineStr">
        <is>
          <t>F. Thomschke</t>
        </is>
      </c>
      <c r="C23" s="72" t="inlineStr">
        <is>
          <t>Einfügen neuer Spalten in das Hauptblatt "BÖ Fachbib+". Diese worden mit Zebra versehen.</t>
        </is>
      </c>
    </row>
    <row r="24">
      <c r="A24" s="106" t="n"/>
      <c r="C24" s="72" t="inlineStr">
        <is>
          <t>zusätzlich Zebra in Signaturspalte eingefügt</t>
        </is>
      </c>
    </row>
    <row r="25">
      <c r="A25" s="106" t="n"/>
      <c r="C25" s="72" t="inlineStr">
        <is>
          <t>neue Tabellenblätter in die Mappe eingefügt (Infos zu dieser Mappe, Legende_Thomschke, Schäden_Einband, Schäden_Buchblock)</t>
        </is>
      </c>
    </row>
    <row r="26">
      <c r="A26" s="106" t="n"/>
      <c r="C26" s="72" t="inlineStr">
        <is>
          <t>relative Zellbezüge eingefügt (auf BÖ Fachbib+, Schäden_Einband, Schäden_Buchblock)</t>
        </is>
      </c>
    </row>
    <row r="27">
      <c r="C27" s="72" t="inlineStr">
        <is>
          <t>grundsätzlich alle Spalten ausgeblendet, die F. Thomschke für die Erfassung nicht benötigt</t>
        </is>
      </c>
    </row>
    <row r="28" ht="33.75" customHeight="1" s="58">
      <c r="C28" s="107" t="inlineStr">
        <is>
          <t>auf dem Hauptblatt alle Zeilen oberhalb der Tabelle (=Angaben zur Aufstellung) auf das Blatt "Infos zu dieser Mappe" übernommen und auf dem Hauptblatt gelöscht --&gt; ist einfacher in Bezug auf
die relativen Zellbezüge, wenn z.B. Zeilen eingefügt werden</t>
        </is>
      </c>
    </row>
    <row r="29" ht="33.75" customHeight="1" s="58">
      <c r="A29" s="106" t="n">
        <v>44734</v>
      </c>
      <c r="B29" s="72" t="inlineStr">
        <is>
          <t>F. Thomschke</t>
        </is>
      </c>
      <c r="C29" s="107"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5" min="1" max="1"/>
    <col width="75.19921875" bestFit="1" customWidth="1" style="75" min="2" max="2"/>
    <col width="10.8984375" customWidth="1" style="75" min="3" max="4"/>
    <col width="10.8984375" customWidth="1" style="75" min="5" max="16384"/>
  </cols>
  <sheetData>
    <row r="1" customFormat="1" s="56">
      <c r="A1" s="112" t="inlineStr">
        <is>
          <t>Abkürzung</t>
        </is>
      </c>
      <c r="B1" s="56" t="inlineStr">
        <is>
          <t>Auflösung</t>
        </is>
      </c>
    </row>
    <row r="3">
      <c r="A3" s="57" t="inlineStr">
        <is>
          <t>allg.</t>
        </is>
      </c>
    </row>
    <row r="4">
      <c r="A4" s="75" t="inlineStr">
        <is>
          <t>ÜF</t>
        </is>
      </c>
      <c r="B4" s="75" t="inlineStr">
        <is>
          <t>Überformat</t>
        </is>
      </c>
    </row>
    <row r="5">
      <c r="A5" s="75" t="inlineStr">
        <is>
          <t>SB</t>
        </is>
      </c>
      <c r="B5" s="75" t="inlineStr">
        <is>
          <t>Schutzbehältnis</t>
        </is>
      </c>
    </row>
    <row r="7">
      <c r="A7" s="57" t="inlineStr">
        <is>
          <t>Einbandart</t>
        </is>
      </c>
    </row>
    <row r="8">
      <c r="A8" s="75" t="inlineStr">
        <is>
          <t>Pa</t>
        </is>
      </c>
      <c r="B8" t="inlineStr">
        <is>
          <t>Papier- oder Pappeinband</t>
        </is>
      </c>
    </row>
    <row r="9">
      <c r="A9" s="75" t="inlineStr">
        <is>
          <t>Br</t>
        </is>
      </c>
      <c r="B9" t="inlineStr">
        <is>
          <t>Broschur</t>
        </is>
      </c>
    </row>
    <row r="10">
      <c r="A10" s="75" t="inlineStr">
        <is>
          <t>G</t>
        </is>
      </c>
      <c r="B10" t="inlineStr">
        <is>
          <t>Gewebeeinband</t>
        </is>
      </c>
    </row>
    <row r="11">
      <c r="A11" s="75" t="inlineStr">
        <is>
          <t>HG</t>
        </is>
      </c>
      <c r="B11" t="inlineStr">
        <is>
          <t>Halbgewebeband</t>
        </is>
      </c>
    </row>
    <row r="12">
      <c r="A12" s="75" t="inlineStr">
        <is>
          <t>HD</t>
        </is>
      </c>
      <c r="B12" s="75" t="inlineStr">
        <is>
          <t>Holzdeckelband</t>
        </is>
      </c>
    </row>
    <row r="13">
      <c r="A13" s="75" t="inlineStr">
        <is>
          <t>L</t>
        </is>
      </c>
      <c r="B13" t="inlineStr">
        <is>
          <t>Ledereinband</t>
        </is>
      </c>
    </row>
    <row r="14">
      <c r="A14" s="75" t="inlineStr">
        <is>
          <t>HL</t>
        </is>
      </c>
      <c r="B14" t="inlineStr">
        <is>
          <t>Halbledereinband</t>
        </is>
      </c>
    </row>
    <row r="15">
      <c r="A15" s="75" t="inlineStr">
        <is>
          <t>Pg</t>
        </is>
      </c>
      <c r="B15" t="inlineStr">
        <is>
          <t>Pergamentband</t>
        </is>
      </c>
    </row>
    <row r="16">
      <c r="A16" s="75" t="inlineStr">
        <is>
          <t>HPg</t>
        </is>
      </c>
      <c r="B16" t="inlineStr">
        <is>
          <t>Halbpergamentband</t>
        </is>
      </c>
    </row>
    <row r="17">
      <c r="A17" s="75" t="inlineStr">
        <is>
          <t>Pg (Mak.)</t>
        </is>
      </c>
      <c r="B17" t="inlineStr">
        <is>
          <t>Pergamentband (Makulatur)</t>
        </is>
      </c>
    </row>
    <row r="18">
      <c r="A18" s="75" t="inlineStr">
        <is>
          <t>oE</t>
        </is>
      </c>
      <c r="B18" t="inlineStr">
        <is>
          <t>ohne Einband (ungebunden)</t>
        </is>
      </c>
    </row>
    <row r="19">
      <c r="A19" s="75" t="inlineStr">
        <is>
          <t>EB</t>
        </is>
      </c>
      <c r="B19" s="75" t="inlineStr">
        <is>
          <t>Einzelblätter</t>
        </is>
      </c>
    </row>
    <row r="21">
      <c r="A21" s="57" t="inlineStr">
        <is>
          <t>Rücken</t>
        </is>
      </c>
    </row>
    <row r="22">
      <c r="A22" s="75" t="inlineStr">
        <is>
          <t>f</t>
        </is>
      </c>
      <c r="B22" s="75" t="inlineStr">
        <is>
          <t>fester Rücken</t>
        </is>
      </c>
    </row>
    <row r="23">
      <c r="A23" s="75" t="inlineStr">
        <is>
          <t>f/V</t>
        </is>
      </c>
      <c r="B23" s="75" t="inlineStr">
        <is>
          <t>fester Rücken mit Vergoldung</t>
        </is>
      </c>
    </row>
    <row r="24">
      <c r="A24" s="75" t="inlineStr">
        <is>
          <t>h</t>
        </is>
      </c>
      <c r="B24" s="75" t="inlineStr">
        <is>
          <t>hohler Rücken</t>
        </is>
      </c>
    </row>
    <row r="25">
      <c r="A25" s="75" t="inlineStr">
        <is>
          <t>h/E</t>
        </is>
      </c>
      <c r="B25" s="75" t="inlineStr">
        <is>
          <t>hohler Rücken mit Einlage</t>
        </is>
      </c>
    </row>
    <row r="27">
      <c r="A27" s="57" t="inlineStr">
        <is>
          <t>Ausstattung</t>
        </is>
      </c>
    </row>
    <row r="28">
      <c r="A28" s="75" t="inlineStr">
        <is>
          <t>K</t>
        </is>
      </c>
      <c r="B28" s="75" t="inlineStr">
        <is>
          <t>Kolorierung</t>
        </is>
      </c>
    </row>
    <row r="29">
      <c r="A29" s="75" t="inlineStr">
        <is>
          <t>B</t>
        </is>
      </c>
      <c r="B29" s="75" t="inlineStr">
        <is>
          <t>Buchmalerei</t>
        </is>
      </c>
    </row>
    <row r="30">
      <c r="A30" s="75" t="inlineStr">
        <is>
          <t>I</t>
        </is>
      </c>
      <c r="B30" s="75" t="inlineStr">
        <is>
          <t>Initalien</t>
        </is>
      </c>
    </row>
    <row r="31">
      <c r="A31" s="75" t="inlineStr">
        <is>
          <t>R</t>
        </is>
      </c>
      <c r="B31" s="75" t="inlineStr">
        <is>
          <t>Rubrikation</t>
        </is>
      </c>
    </row>
    <row r="33">
      <c r="A33" s="57" t="inlineStr">
        <is>
          <t>Öffnungswinkel (ÖW)</t>
        </is>
      </c>
    </row>
    <row r="34">
      <c r="A34" s="75" t="inlineStr">
        <is>
          <t>nur 110</t>
        </is>
      </c>
      <c r="B34" s="75" t="inlineStr">
        <is>
          <t xml:space="preserve">wirklich nur bei 110 digitalisieren, z.B. wegen Schaden, weil kein Einband vorhanden ist o.ä. </t>
        </is>
      </c>
    </row>
    <row r="35" ht="45" customHeight="1" s="58">
      <c r="A35" s="75" t="inlineStr">
        <is>
          <t>max 45/60/110/180</t>
        </is>
      </c>
      <c r="B35" s="110"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75" t="inlineStr">
        <is>
          <t>v</t>
        </is>
      </c>
      <c r="B38" s="75" t="inlineStr">
        <is>
          <t>vorn</t>
        </is>
      </c>
    </row>
    <row r="39">
      <c r="A39" s="75" t="inlineStr">
        <is>
          <t>h</t>
        </is>
      </c>
      <c r="B39" s="75" t="inlineStr">
        <is>
          <t>hinten</t>
        </is>
      </c>
    </row>
    <row r="40">
      <c r="A40" s="75" t="inlineStr">
        <is>
          <t>VD</t>
        </is>
      </c>
      <c r="B40" s="75" t="inlineStr">
        <is>
          <t>Vorderdeckel</t>
        </is>
      </c>
    </row>
    <row r="41">
      <c r="A41" s="75" t="inlineStr">
        <is>
          <t>RD</t>
        </is>
      </c>
      <c r="B41" s="75" t="inlineStr">
        <is>
          <t>Rückdeckel</t>
        </is>
      </c>
    </row>
    <row r="42">
      <c r="A42" s="75" t="inlineStr">
        <is>
          <t>o</t>
        </is>
      </c>
      <c r="B42" s="75" t="inlineStr">
        <is>
          <t>oben</t>
        </is>
      </c>
    </row>
    <row r="43">
      <c r="A43" s="75" t="inlineStr">
        <is>
          <t>u</t>
        </is>
      </c>
      <c r="B43" s="75"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2" workbookViewId="0">
      <selection activeCell="C72" sqref="C72"/>
    </sheetView>
  </sheetViews>
  <sheetFormatPr baseColWidth="10" defaultColWidth="11" defaultRowHeight="11.4"/>
  <cols>
    <col width="16.69921875" customWidth="1" style="110" min="1" max="1"/>
    <col width="23.69921875" bestFit="1" customWidth="1" style="110" min="2" max="2"/>
    <col width="11" customWidth="1" style="110" min="3" max="4"/>
    <col width="11" customWidth="1" style="110" min="5" max="16384"/>
  </cols>
  <sheetData>
    <row r="1" ht="33.75" customHeight="1" s="58">
      <c r="A1" s="115" t="inlineStr">
        <is>
          <t>Datentransferblatt für Schreibmeisterbücher (Wendler-Liste)</t>
        </is>
      </c>
      <c r="B1" s="116" t="n"/>
    </row>
    <row r="2" ht="22.5" customHeight="1" s="58">
      <c r="A2" s="110" t="inlineStr">
        <is>
          <t>Signaturen Gesamtanzahl</t>
        </is>
      </c>
      <c r="B2" s="97" t="n"/>
      <c r="C2" s="110">
        <f>Basis!#REF!-2</f>
        <v/>
      </c>
    </row>
    <row r="3" ht="22.5" customHeight="1" s="58">
      <c r="A3" s="110" t="inlineStr">
        <is>
          <t>Buchbinderische Einheiten</t>
        </is>
      </c>
      <c r="B3" s="97" t="n"/>
      <c r="C3" s="110">
        <f>Basis!#REF!</f>
        <v/>
      </c>
    </row>
    <row r="4" ht="33.75" customHeight="1" s="58">
      <c r="A4" s="110" t="inlineStr">
        <is>
          <t>Anzahl geprüfte Bücher durch Thomschke</t>
        </is>
      </c>
      <c r="B4" s="97" t="n"/>
      <c r="C4" s="110">
        <f>Basis!#REF!</f>
        <v/>
      </c>
    </row>
    <row r="5" ht="22.5" customHeight="1" s="58">
      <c r="A5" s="110" t="inlineStr">
        <is>
          <t>nicht
am Standort (DA)</t>
        </is>
      </c>
      <c r="B5" s="97" t="n"/>
      <c r="C5" s="110">
        <f>Basis!#REF!</f>
        <v/>
      </c>
    </row>
    <row r="6">
      <c r="A6" s="110" t="inlineStr">
        <is>
          <t>Format</t>
        </is>
      </c>
      <c r="B6" s="97" t="inlineStr">
        <is>
          <t>bis 25 cm</t>
        </is>
      </c>
      <c r="C6" s="110">
        <f>Basis!#REF!</f>
        <v/>
      </c>
    </row>
    <row r="7">
      <c r="B7" s="97" t="inlineStr">
        <is>
          <t>bis 35 cm</t>
        </is>
      </c>
      <c r="C7" s="110">
        <f>Basis!#REF!</f>
        <v/>
      </c>
    </row>
    <row r="8">
      <c r="B8" s="97" t="inlineStr">
        <is>
          <t>bis 42 cm</t>
        </is>
      </c>
      <c r="C8" s="110">
        <f>Basis!#REF!</f>
        <v/>
      </c>
    </row>
    <row r="9">
      <c r="B9" s="97" t="inlineStr">
        <is>
          <t>&gt; 42 cm</t>
        </is>
      </c>
      <c r="C9" s="110">
        <f>Basis!#REF!</f>
        <v/>
      </c>
    </row>
    <row r="10">
      <c r="A10" s="110" t="inlineStr">
        <is>
          <t>Anzahl Überformat</t>
        </is>
      </c>
      <c r="B10" s="97" t="n"/>
      <c r="C10" s="110">
        <f>Basis!#REF!</f>
        <v/>
      </c>
    </row>
    <row r="11">
      <c r="A11" s="110" t="inlineStr">
        <is>
          <t>Anzahl Querformat</t>
        </is>
      </c>
      <c r="B11" s="97" t="n"/>
      <c r="C11" s="110">
        <f>Basis!#REF!</f>
        <v/>
      </c>
    </row>
    <row r="12" ht="22.5" customHeight="1" s="58">
      <c r="A12" s="110" t="inlineStr">
        <is>
          <t>Dicke
(&gt;12 cm)</t>
        </is>
      </c>
      <c r="B12" s="97" t="n"/>
      <c r="C12" s="110">
        <f>Basis!#REF!</f>
        <v/>
      </c>
    </row>
    <row r="13" ht="22.5" customHeight="1" s="58">
      <c r="A13" s="110" t="inlineStr">
        <is>
          <t>12° Format
(&lt;15 cm)</t>
        </is>
      </c>
      <c r="B13" s="97" t="n"/>
      <c r="C13" s="110">
        <f>Basis!#REF!</f>
        <v/>
      </c>
    </row>
    <row r="14">
      <c r="A14" s="110" t="inlineStr">
        <is>
          <t>Einbandart</t>
        </is>
      </c>
      <c r="B14" s="116" t="inlineStr">
        <is>
          <t>Papier- oder Pappeinband</t>
        </is>
      </c>
      <c r="C14" s="110">
        <f>Basis!#REF!</f>
        <v/>
      </c>
    </row>
    <row r="15">
      <c r="B15" s="116" t="inlineStr">
        <is>
          <t>Broschur</t>
        </is>
      </c>
      <c r="C15" s="110">
        <f>Basis!#REF!</f>
        <v/>
      </c>
    </row>
    <row r="16">
      <c r="B16" s="116" t="inlineStr">
        <is>
          <t>Gewebeeinband</t>
        </is>
      </c>
      <c r="C16" s="110">
        <f>Basis!#REF!</f>
        <v/>
      </c>
    </row>
    <row r="17">
      <c r="B17" s="116" t="inlineStr">
        <is>
          <t>Halbgewebeband</t>
        </is>
      </c>
      <c r="C17" s="110">
        <f>Basis!#REF!</f>
        <v/>
      </c>
    </row>
    <row r="18">
      <c r="B18" s="98" t="inlineStr">
        <is>
          <t>Holzdeckelband</t>
        </is>
      </c>
      <c r="C18" s="110">
        <f>Basis!#REF!</f>
        <v/>
      </c>
    </row>
    <row r="19">
      <c r="B19" s="116" t="inlineStr">
        <is>
          <t>Ledereinband</t>
        </is>
      </c>
      <c r="C19" s="110">
        <f>Basis!#REF!</f>
        <v/>
      </c>
    </row>
    <row r="20">
      <c r="B20" s="116" t="inlineStr">
        <is>
          <t>Halbledereinband</t>
        </is>
      </c>
      <c r="C20" s="110">
        <f>Basis!#REF!</f>
        <v/>
      </c>
    </row>
    <row r="21">
      <c r="B21" s="116" t="inlineStr">
        <is>
          <t>Pergamentband</t>
        </is>
      </c>
      <c r="C21" s="99">
        <f>Basis!#REF!</f>
        <v/>
      </c>
    </row>
    <row r="22">
      <c r="B22" s="116" t="inlineStr">
        <is>
          <t>Halbpergamentband</t>
        </is>
      </c>
      <c r="C22" s="99">
        <f>Basis!#REF!</f>
        <v/>
      </c>
    </row>
    <row r="23">
      <c r="B23" s="116" t="inlineStr">
        <is>
          <t>Pergamentband (Makulatur)</t>
        </is>
      </c>
      <c r="C23" s="99">
        <f>Basis!#REF!</f>
        <v/>
      </c>
    </row>
    <row r="24">
      <c r="B24" s="116" t="inlineStr">
        <is>
          <t>ohne Einband (ungebunden)</t>
        </is>
      </c>
      <c r="C24" s="110">
        <f>Basis!#REF!</f>
        <v/>
      </c>
    </row>
    <row r="25">
      <c r="B25" s="98" t="inlineStr">
        <is>
          <t>Einzelblätter</t>
        </is>
      </c>
      <c r="C25" s="110">
        <f>Basis!#REF!</f>
        <v/>
      </c>
    </row>
    <row r="26">
      <c r="B26" s="98" t="inlineStr">
        <is>
          <t>Besonderheiten (z.B. Perlen)</t>
        </is>
      </c>
    </row>
    <row r="27" ht="22.5" customHeight="1" s="58">
      <c r="A27" s="110" t="inlineStr">
        <is>
          <t>Einband überformt (ganz od. teilweise)</t>
        </is>
      </c>
      <c r="B27" s="97" t="n"/>
      <c r="C27" s="110">
        <f>Basis!#REF!</f>
        <v/>
      </c>
    </row>
    <row r="28" ht="22.5" customHeight="1" s="58">
      <c r="A28" s="110" t="inlineStr">
        <is>
          <t>Buch bereits restauriert</t>
        </is>
      </c>
      <c r="B28" s="97" t="n"/>
      <c r="C28" s="110">
        <f>Basis!#REF!</f>
        <v/>
      </c>
    </row>
    <row r="29" ht="33.75" customHeight="1" s="58">
      <c r="A29" s="110" t="inlineStr">
        <is>
          <t>fester Rücken (mit und ohne Vergoldung)</t>
        </is>
      </c>
      <c r="B29" s="97" t="n"/>
      <c r="C29" s="110">
        <f>Basis!#REF!</f>
        <v/>
      </c>
    </row>
    <row r="30" ht="22.5" customHeight="1" s="58">
      <c r="A30" s="110" t="inlineStr">
        <is>
          <t>hohler Rücken (mit und ohne Einlage)</t>
        </is>
      </c>
      <c r="B30" s="97" t="n"/>
      <c r="C30" s="110">
        <f>Basis!#REF!</f>
        <v/>
      </c>
    </row>
    <row r="31" ht="22.5" customHeight="1" s="58">
      <c r="A31" s="110" t="inlineStr">
        <is>
          <t>Stehkanten
(bei Perg.)</t>
        </is>
      </c>
      <c r="B31" s="97" t="n"/>
      <c r="C31" s="110">
        <f>Basis!#REF!</f>
        <v/>
      </c>
    </row>
    <row r="32" ht="33.75" customHeight="1" s="58">
      <c r="A32" s="110" t="inlineStr">
        <is>
          <t>Leder pudert ab/
roter Zerfall (extrem)</t>
        </is>
      </c>
      <c r="B32" s="97" t="n"/>
      <c r="C32" s="110">
        <f>Basis!#REF!</f>
        <v/>
      </c>
    </row>
    <row r="33" ht="22.5" customHeight="1" s="58">
      <c r="A33" s="110" t="inlineStr">
        <is>
          <t>Einband stark deformiert</t>
        </is>
      </c>
      <c r="B33" s="97" t="n"/>
      <c r="C33" s="110">
        <f>Basis!#REF!</f>
        <v/>
      </c>
    </row>
    <row r="34" ht="22.5" customHeight="1" s="58">
      <c r="A34" s="110" t="inlineStr">
        <is>
          <t>Beschläge bes. auftragend</t>
        </is>
      </c>
      <c r="B34" s="97" t="n"/>
      <c r="C34" s="110">
        <f>Basis!#REF!</f>
        <v/>
      </c>
    </row>
    <row r="35">
      <c r="A35" s="110" t="inlineStr">
        <is>
          <t>Buchschließe steif</t>
        </is>
      </c>
      <c r="B35" s="97" t="n"/>
      <c r="C35" s="110">
        <f>Basis!#REF!</f>
        <v/>
      </c>
    </row>
    <row r="36">
      <c r="A36" s="110" t="inlineStr">
        <is>
          <t>Buchblock</t>
        </is>
      </c>
      <c r="B36" s="97" t="inlineStr">
        <is>
          <t>Papier</t>
        </is>
      </c>
      <c r="C36" s="110">
        <f>Basis!#REF!</f>
        <v/>
      </c>
    </row>
    <row r="37">
      <c r="B37" s="97" t="inlineStr">
        <is>
          <t>Pergament</t>
        </is>
      </c>
      <c r="C37" s="99">
        <f>Basis!#REF!</f>
        <v/>
      </c>
    </row>
    <row r="38" ht="22.5" customHeight="1" s="58">
      <c r="A38" s="110" t="inlineStr">
        <is>
          <t>saures
Füllmaterial</t>
        </is>
      </c>
      <c r="B38" s="97" t="n"/>
      <c r="C38" s="110">
        <f>Basis!#REF!</f>
        <v/>
      </c>
    </row>
    <row r="39">
      <c r="A39" s="110" t="inlineStr">
        <is>
          <t>Registermarken</t>
        </is>
      </c>
      <c r="B39" s="97" t="n"/>
      <c r="C39" s="110">
        <f>Basis!#REF!</f>
        <v/>
      </c>
    </row>
    <row r="40">
      <c r="A40" s="110" t="inlineStr">
        <is>
          <t>seitliche Heftung</t>
        </is>
      </c>
      <c r="B40" s="97" t="n"/>
      <c r="C40" s="110">
        <f>Basis!#REF!</f>
        <v/>
      </c>
    </row>
    <row r="41" ht="22.5" customHeight="1" s="58">
      <c r="A41" s="110" t="inlineStr">
        <is>
          <t>Buchblock sehr wellig</t>
        </is>
      </c>
      <c r="B41" s="97" t="n"/>
      <c r="C41" s="110">
        <f>Basis!#REF!</f>
        <v/>
      </c>
    </row>
    <row r="42" ht="22.5" customHeight="1" s="58">
      <c r="A42" s="110" t="inlineStr">
        <is>
          <t>Buchblock neigt zum "Bauch"</t>
        </is>
      </c>
      <c r="B42" s="97" t="n"/>
      <c r="C42" s="110">
        <f>Basis!#REF!</f>
        <v/>
      </c>
    </row>
    <row r="43" ht="22.5" customHeight="1" s="58">
      <c r="A43" s="110" t="inlineStr">
        <is>
          <t>geschlossene Lagen</t>
        </is>
      </c>
      <c r="B43" s="97" t="n"/>
      <c r="C43" s="110">
        <f>Basis!#REF!</f>
        <v/>
      </c>
    </row>
    <row r="44" ht="22.5" customHeight="1" s="58">
      <c r="A44" s="110" t="inlineStr">
        <is>
          <t>Anzahl Bücher mit Falttafeln</t>
        </is>
      </c>
      <c r="B44" s="97" t="n"/>
      <c r="C44" s="110">
        <f>Basis!#REF!</f>
        <v/>
      </c>
    </row>
    <row r="45" ht="22.5" customHeight="1" s="58">
      <c r="A45" s="110" t="inlineStr">
        <is>
          <t>Größe Buch+
Falttafeln (BxH)</t>
        </is>
      </c>
      <c r="B45" s="97" t="n"/>
    </row>
    <row r="46">
      <c r="A46" s="110" t="inlineStr">
        <is>
          <t>Originalgrafik</t>
        </is>
      </c>
      <c r="B46" s="97" t="n"/>
      <c r="C46" s="110">
        <f>Basis!#REF!</f>
        <v/>
      </c>
    </row>
    <row r="47" ht="45" customHeight="1" s="58">
      <c r="A47" s="110" t="inlineStr">
        <is>
          <t>Kolorierung / Buchmalerei / Initialen / Rubrikation</t>
        </is>
      </c>
      <c r="B47" s="97" t="n"/>
      <c r="C47" s="110">
        <f>Basis!#REF!</f>
        <v/>
      </c>
    </row>
    <row r="48" ht="22.5" customHeight="1" s="58">
      <c r="A48" s="110" t="inlineStr">
        <is>
          <t>berührungsfreie Digit.</t>
        </is>
      </c>
      <c r="B48" s="97" t="n"/>
      <c r="C48" s="110">
        <f>Basis!#REF!</f>
        <v/>
      </c>
    </row>
    <row r="49" ht="33.75" customHeight="1" s="58">
      <c r="A49" s="110" t="inlineStr">
        <is>
          <t>Schrift weit bis in den Falz (Bundsteg in mm) Textverlust</t>
        </is>
      </c>
      <c r="B49" s="97" t="n"/>
      <c r="C49" s="110">
        <f>Basis!#REF!</f>
        <v/>
      </c>
    </row>
    <row r="50" ht="33.75" customHeight="1" s="58">
      <c r="A50" s="110" t="inlineStr">
        <is>
          <t>nicht digitalisierbar wegen Bundsteg (vorraussichtlich)</t>
        </is>
      </c>
      <c r="B50" s="97" t="n"/>
    </row>
    <row r="51" ht="22.5" customHeight="1" s="58">
      <c r="A51" s="110" t="inlineStr">
        <is>
          <t>max. Öffnungswinkel</t>
        </is>
      </c>
      <c r="B51" s="97" t="n">
        <v>0</v>
      </c>
      <c r="C51" s="110">
        <f>Basis!#REF!</f>
        <v/>
      </c>
    </row>
    <row r="52">
      <c r="B52" s="97" t="n">
        <v>45</v>
      </c>
      <c r="C52" s="110">
        <f>Basis!#REF!</f>
        <v/>
      </c>
    </row>
    <row r="53">
      <c r="B53" s="97" t="inlineStr">
        <is>
          <t>max 45</t>
        </is>
      </c>
      <c r="C53" s="110">
        <f>Basis!#REF!</f>
        <v/>
      </c>
    </row>
    <row r="54">
      <c r="B54" s="97" t="n">
        <v>60</v>
      </c>
      <c r="C54" s="110">
        <f>Basis!#REF!</f>
        <v/>
      </c>
    </row>
    <row r="55">
      <c r="B55" s="97" t="inlineStr">
        <is>
          <t>max 60</t>
        </is>
      </c>
      <c r="C55" s="110">
        <f>Basis!#REF!</f>
        <v/>
      </c>
    </row>
    <row r="56">
      <c r="B56" s="97" t="n">
        <v>80</v>
      </c>
      <c r="C56" s="110">
        <f>Basis!#REF!</f>
        <v/>
      </c>
    </row>
    <row r="57">
      <c r="B57" s="97" t="inlineStr">
        <is>
          <t>max 80</t>
        </is>
      </c>
      <c r="C57" s="110">
        <f>Basis!#REF!</f>
        <v/>
      </c>
    </row>
    <row r="58">
      <c r="B58" s="97" t="n">
        <v>110</v>
      </c>
      <c r="C58" s="110">
        <f>Basis!#REF!</f>
        <v/>
      </c>
    </row>
    <row r="59">
      <c r="B59" s="97" t="inlineStr">
        <is>
          <t>max 110</t>
        </is>
      </c>
      <c r="C59" s="110">
        <f>Basis!#REF!</f>
        <v/>
      </c>
    </row>
    <row r="60">
      <c r="B60" s="97" t="inlineStr">
        <is>
          <t>nur 110</t>
        </is>
      </c>
      <c r="C60" s="110">
        <f>Basis!#REF!</f>
        <v/>
      </c>
    </row>
    <row r="61">
      <c r="B61" s="97" t="n">
        <v>180</v>
      </c>
      <c r="C61" s="110">
        <f>Basis!#REF!</f>
        <v/>
      </c>
    </row>
    <row r="62">
      <c r="B62" s="97" t="inlineStr">
        <is>
          <t>max 180</t>
        </is>
      </c>
      <c r="C62" s="110">
        <f>Basis!#REF!</f>
        <v/>
      </c>
    </row>
    <row r="63">
      <c r="A63" s="110" t="inlineStr">
        <is>
          <t>Digit. mit Begleitung</t>
        </is>
      </c>
      <c r="B63" s="97" t="n"/>
      <c r="C63" s="110">
        <f>Basis!#REF!</f>
        <v/>
      </c>
    </row>
    <row r="64" ht="33.75" customHeight="1" s="58">
      <c r="A64" s="110" t="inlineStr">
        <is>
          <t>Verschmutzung (Vorsatz / Ränder /
ges. BB)</t>
        </is>
      </c>
      <c r="B64" s="97" t="n"/>
      <c r="C64" s="110">
        <f>Basis!#REF!</f>
        <v/>
      </c>
    </row>
    <row r="65">
      <c r="A65" s="110" t="inlineStr">
        <is>
          <t>mikrobieller Befall</t>
        </is>
      </c>
      <c r="B65" s="97" t="n"/>
      <c r="C65" s="110">
        <f>Basis!#REF!</f>
        <v/>
      </c>
    </row>
    <row r="66" ht="22.5" customHeight="1" s="58">
      <c r="A66" s="110" t="inlineStr">
        <is>
          <t>Rest.-Bericht eingeklebt</t>
        </is>
      </c>
      <c r="B66" s="97" t="n"/>
      <c r="C66" s="110">
        <f>Basis!#REF!</f>
        <v/>
      </c>
    </row>
    <row r="67" ht="33.75" customHeight="1" s="58">
      <c r="A67" s="110" t="inlineStr">
        <is>
          <t xml:space="preserve">Blatt mit Notizen zum Buch eingeklebt </t>
        </is>
      </c>
      <c r="B67" s="97" t="n"/>
      <c r="C67" s="110">
        <f>Basis!#REF!</f>
        <v/>
      </c>
    </row>
    <row r="68" ht="22.5" customHeight="1" s="58">
      <c r="A68" s="110" t="inlineStr">
        <is>
          <t>Rest.
notwendig</t>
        </is>
      </c>
      <c r="B68" s="97" t="inlineStr">
        <is>
          <t>gesamt</t>
        </is>
      </c>
      <c r="C68" s="110">
        <f>Basis!#REF!</f>
        <v/>
      </c>
    </row>
    <row r="69">
      <c r="B69" s="97" t="inlineStr">
        <is>
          <t>vor Digit.</t>
        </is>
      </c>
      <c r="C69" s="110">
        <f>Basis!#REF!</f>
        <v/>
      </c>
    </row>
    <row r="70">
      <c r="B70" s="97" t="inlineStr">
        <is>
          <t>nach Digit.</t>
        </is>
      </c>
      <c r="C70" s="110">
        <f>Basis!#REF!</f>
        <v/>
      </c>
    </row>
    <row r="71">
      <c r="B71" s="97" t="inlineStr">
        <is>
          <t>vor und nach Digit.</t>
        </is>
      </c>
      <c r="C71" s="110">
        <f>Basis!#REF!</f>
        <v/>
      </c>
    </row>
    <row r="72">
      <c r="B72" s="97" t="inlineStr">
        <is>
          <t>ja ÖW=0</t>
        </is>
      </c>
      <c r="C72" s="110">
        <f>Basis!#REF!</f>
        <v/>
      </c>
    </row>
    <row r="73" ht="33.75" customHeight="1" s="58">
      <c r="A73" s="110" t="inlineStr">
        <is>
          <t>Rest.-Aufwand gesamt
(in Std.)</t>
        </is>
      </c>
      <c r="B73" s="97" t="n"/>
      <c r="C73" s="100">
        <f>Basis!#REF!</f>
        <v/>
      </c>
    </row>
    <row r="74" ht="22.5" customHeight="1" s="58">
      <c r="A74" s="110" t="inlineStr">
        <is>
          <t>Anzahl erfolgter Restaurierung</t>
        </is>
      </c>
      <c r="B74" s="97" t="n"/>
      <c r="C74" s="110">
        <f>Basis!#REF!</f>
        <v/>
      </c>
    </row>
    <row r="75">
      <c r="A75" s="110" t="inlineStr">
        <is>
          <t>Kassette</t>
        </is>
      </c>
      <c r="B75" s="97" t="n"/>
      <c r="C75" s="110">
        <f>Basis!#REF!</f>
        <v/>
      </c>
    </row>
    <row r="76">
      <c r="A76" s="110" t="inlineStr">
        <is>
          <t>Schuber</t>
        </is>
      </c>
      <c r="B76" s="97" t="n"/>
      <c r="C76" s="110">
        <f>Basis!#REF!</f>
        <v/>
      </c>
    </row>
    <row r="77">
      <c r="A77" s="110" t="inlineStr">
        <is>
          <t>Buchschuh</t>
        </is>
      </c>
      <c r="B77" s="97" t="n"/>
      <c r="C77" s="110">
        <f>Basis!#REF!</f>
        <v/>
      </c>
    </row>
    <row r="78">
      <c r="A78" s="110" t="inlineStr">
        <is>
          <t xml:space="preserve">Mappe </t>
        </is>
      </c>
      <c r="B78" s="97" t="n"/>
      <c r="C78" s="110">
        <f>Basis!#REF!</f>
        <v/>
      </c>
    </row>
    <row r="79">
      <c r="A79" s="110" t="inlineStr">
        <is>
          <t>Umschlag</t>
        </is>
      </c>
      <c r="B79" s="97" t="n"/>
      <c r="C79" s="110">
        <f>Basis!#REF!</f>
        <v/>
      </c>
      <c r="D79" s="110">
        <f>C79-Basis!#REF!</f>
        <v/>
      </c>
    </row>
    <row r="80">
      <c r="A80" s="110" t="inlineStr">
        <is>
          <t>SB neu</t>
        </is>
      </c>
      <c r="B80" s="97" t="n"/>
      <c r="C80" s="110">
        <f>Basis!#REF!</f>
        <v/>
      </c>
    </row>
    <row r="81" ht="22.5" customHeight="1" s="58">
      <c r="A81" s="110" t="inlineStr">
        <is>
          <t>Anmerkungen (allg.)</t>
        </is>
      </c>
      <c r="B81" s="97" t="n"/>
      <c r="C81" s="110">
        <f>Basis!#REF!</f>
        <v/>
      </c>
    </row>
    <row r="82" ht="22.5" customHeight="1" s="58">
      <c r="A82" s="110" t="inlineStr">
        <is>
          <t>für Testphase
vorsehen</t>
        </is>
      </c>
      <c r="B82" s="97" t="inlineStr">
        <is>
          <t>gesamt</t>
        </is>
      </c>
      <c r="C82" s="110">
        <f>Basis!#REF!</f>
        <v/>
      </c>
    </row>
    <row r="83">
      <c r="B83" s="97" t="inlineStr">
        <is>
          <t>Öffnungswinkel 45</t>
        </is>
      </c>
      <c r="C83" s="110">
        <f>Basis!#REF!</f>
        <v/>
      </c>
    </row>
    <row r="84">
      <c r="B84" s="97" t="inlineStr">
        <is>
          <t>Öffnungswinkel 110</t>
        </is>
      </c>
      <c r="C84" s="110">
        <f>Basis!#REF!</f>
        <v/>
      </c>
    </row>
    <row r="85" ht="22.5" customHeight="1" s="58">
      <c r="A85" s="110" t="inlineStr">
        <is>
          <t>Schutzbehältnis empfohlen</t>
        </is>
      </c>
      <c r="B85" s="97"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r="http://schemas.openxmlformats.org/officeDocument/2006/relationships" xmlns="http://schemas.openxmlformats.org/spreadsheetml/2006/main">
  <sheetPr codeName="Tabelle4">
    <outlinePr summaryBelow="1" summaryRight="1"/>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984375" defaultRowHeight="11.4"/>
  <cols>
    <col width="7.5" customWidth="1" style="75" min="1" max="1"/>
    <col width="17.3984375" customWidth="1" style="75" min="2" max="2"/>
    <col width="19.8984375" customWidth="1" style="75" min="3" max="3"/>
    <col width="22.8984375" customWidth="1" style="75" min="4" max="4"/>
    <col width="25.8984375" customWidth="1" style="75" min="5" max="5"/>
    <col hidden="1" width="11.19921875" customWidth="1" style="75" min="6" max="6"/>
    <col hidden="1" width="25" customWidth="1" style="110" min="7" max="7"/>
    <col width="9.59765625" customWidth="1" style="75" min="8" max="8"/>
    <col hidden="1" width="30.8984375" customWidth="1" style="110" min="9" max="9"/>
    <col hidden="1" width="28.8984375" customWidth="1" style="110" min="10" max="10"/>
    <col hidden="1" width="12.3984375" customWidth="1" style="75" min="11" max="11"/>
    <col hidden="1" width="15.09765625" customWidth="1" style="75" min="12" max="12"/>
    <col hidden="1" width="12.09765625" customWidth="1" style="75" min="13" max="13"/>
    <col hidden="1" width="9" customWidth="1" style="75" min="14" max="14"/>
    <col hidden="1" width="25" customWidth="1" style="75" min="15" max="15"/>
    <col hidden="1" width="31.3984375" customWidth="1" style="75" min="16" max="16"/>
    <col hidden="1" width="28.09765625" customWidth="1" style="75" min="17" max="17"/>
    <col hidden="1" width="21.69921875" customWidth="1" style="75" min="18" max="18"/>
    <col width="9.19921875" customWidth="1" style="78" min="19" max="20"/>
    <col width="9.09765625" customWidth="1" style="78" min="21" max="21"/>
    <col width="8" customWidth="1" style="78" min="22" max="23"/>
    <col width="10.8984375" customWidth="1" style="78" min="24" max="35"/>
    <col width="10.5" bestFit="1" customWidth="1" style="78" min="36" max="36"/>
    <col width="10.8984375" customWidth="1" style="78" min="37" max="40"/>
    <col width="10.8984375" customWidth="1" style="80" min="41" max="41"/>
    <col width="10.8984375" customWidth="1" style="78" min="42" max="43"/>
    <col width="10.8984375" bestFit="1" customWidth="1" style="78" min="44" max="44"/>
    <col width="9.09765625" bestFit="1" customWidth="1" style="78" min="45" max="45"/>
    <col width="9.09765625" customWidth="1" style="78" min="46" max="46"/>
    <col width="10.59765625" bestFit="1" customWidth="1" style="78" min="47" max="47"/>
    <col width="9.09765625" customWidth="1" style="78" min="48" max="48"/>
    <col width="10.8984375" customWidth="1" style="78" min="49" max="52"/>
    <col width="10.8984375" customWidth="1" style="80" min="53" max="53"/>
    <col width="10.8984375" customWidth="1" style="72" min="54" max="54"/>
    <col width="10.8984375" customWidth="1" style="78" min="55" max="61"/>
    <col width="33.59765625" customWidth="1" style="110" min="62" max="62"/>
    <col width="10.8984375" customWidth="1" style="78" min="63" max="63"/>
    <col width="10.8984375" customWidth="1" style="75" min="64" max="66"/>
    <col width="10.8984375" customWidth="1" style="75" min="67" max="16384"/>
  </cols>
  <sheetData>
    <row r="1" ht="99" customFormat="1" customHeight="1" s="78">
      <c r="A1" s="63" t="inlineStr">
        <is>
          <t>Lfd Nr.</t>
        </is>
      </c>
      <c r="B1" s="63" t="inlineStr">
        <is>
          <t>AKZ</t>
        </is>
      </c>
      <c r="C1" s="63" t="inlineStr">
        <is>
          <t>IDN</t>
        </is>
      </c>
      <c r="D1" s="63" t="inlineStr">
        <is>
          <t>Link zum Portal</t>
        </is>
      </c>
      <c r="E1" s="63" t="inlineStr">
        <is>
          <t>Signatur</t>
        </is>
      </c>
      <c r="F1" s="61" t="inlineStr">
        <is>
          <t>Provenienzmerkmal</t>
        </is>
      </c>
      <c r="G1" s="61" t="inlineStr">
        <is>
          <t>Material</t>
        </is>
      </c>
      <c r="H1" s="63" t="inlineStr">
        <is>
          <t>Format</t>
        </is>
      </c>
      <c r="I1" s="61" t="inlineStr">
        <is>
          <t>Öffnungswinkel</t>
        </is>
      </c>
      <c r="J1" s="61" t="inlineStr">
        <is>
          <t>Einschränkungen</t>
        </is>
      </c>
      <c r="K1" s="63" t="inlineStr">
        <is>
          <t xml:space="preserve">Glasplatte </t>
        </is>
      </c>
      <c r="L1" s="63" t="inlineStr">
        <is>
          <t>Verpackung</t>
        </is>
      </c>
      <c r="M1" s="61" t="inlineStr">
        <is>
          <t xml:space="preserve">Verpackung austauschen </t>
        </is>
      </c>
      <c r="N1" s="63" t="inlineStr">
        <is>
          <t>Schadensklasse</t>
        </is>
      </c>
      <c r="O1" s="61" t="inlineStr">
        <is>
          <t>notwendige Reparatur(en) vor der Digitalisierung, notwendige Reparatur(en) vor der Digitalisierung</t>
        </is>
      </c>
      <c r="P1" s="63" t="inlineStr">
        <is>
          <t>Bemerkungen</t>
        </is>
      </c>
      <c r="Q1" s="69" t="inlineStr">
        <is>
          <t>Fragen/ Hinweise
an DBSM</t>
        </is>
      </c>
      <c r="R1" s="70" t="inlineStr">
        <is>
          <t>Fragen an M. Steinberg</t>
        </is>
      </c>
      <c r="S1" s="60" t="inlineStr">
        <is>
          <t>nicht
am Stand-ort</t>
        </is>
      </c>
      <c r="T1" s="60" t="inlineStr">
        <is>
          <t>Größe ÜF
(BxH)</t>
        </is>
      </c>
      <c r="U1" s="61" t="inlineStr">
        <is>
          <t>Breite
(nur Ausreißer)</t>
        </is>
      </c>
      <c r="V1" s="61" t="inlineStr">
        <is>
          <t>Dicke
(&gt;12 cm)</t>
        </is>
      </c>
      <c r="W1" s="61" t="inlineStr">
        <is>
          <t>12° Format
(&lt;15 cm)</t>
        </is>
      </c>
      <c r="X1" s="61" t="inlineStr">
        <is>
          <t>Einband-
art</t>
        </is>
      </c>
      <c r="Y1" s="61" t="inlineStr">
        <is>
          <t>Einband über-
formt (ganz od. teilweise)</t>
        </is>
      </c>
      <c r="Z1" s="61" t="inlineStr">
        <is>
          <t>Buch bereits restau-riert</t>
        </is>
      </c>
      <c r="AA1" s="61" t="inlineStr">
        <is>
          <t>hohler/
fester Rücken (mit Einlage/
Vergoldung?)</t>
        </is>
      </c>
      <c r="AB1" s="61" t="inlineStr">
        <is>
          <t>Steh-
kanten
(bei Perg.)</t>
        </is>
      </c>
      <c r="AC1" s="61" t="inlineStr">
        <is>
          <t>Leder pudert ab/roter Zerfall (extrem)</t>
        </is>
      </c>
      <c r="AD1" s="61" t="inlineStr">
        <is>
          <t>Einband stark defor-miert</t>
        </is>
      </c>
      <c r="AE1" s="61" t="inlineStr">
        <is>
          <t>Be-schläge (bes. auftra-gend)</t>
        </is>
      </c>
      <c r="AF1" s="61" t="inlineStr">
        <is>
          <t>Buch-schließe steif</t>
        </is>
      </c>
      <c r="AG1" s="61" t="inlineStr">
        <is>
          <t>Buch-block Pa./Perg.</t>
        </is>
      </c>
      <c r="AH1" s="61" t="inlineStr">
        <is>
          <t>saures Füll-material</t>
        </is>
      </c>
      <c r="AI1" s="61" t="inlineStr">
        <is>
          <t>Register-marken</t>
        </is>
      </c>
      <c r="AJ1" s="61" t="inlineStr">
        <is>
          <t>seitliche Heftung</t>
        </is>
      </c>
      <c r="AK1" s="61" t="inlineStr">
        <is>
          <t>Buch-block sehr wellig</t>
        </is>
      </c>
      <c r="AL1" s="61" t="inlineStr">
        <is>
          <t>Buch-block neigt zum "Bauch"</t>
        </is>
      </c>
      <c r="AM1" s="61" t="inlineStr">
        <is>
          <t>ge-schloss-ene Lagen</t>
        </is>
      </c>
      <c r="AN1" s="61" t="inlineStr">
        <is>
          <t>Falttafeln</t>
        </is>
      </c>
      <c r="AO1" s="61" t="inlineStr">
        <is>
          <t>Größe Buch+
Falttafeln (BxH)</t>
        </is>
      </c>
      <c r="AP1" s="61" t="inlineStr">
        <is>
          <t>Original-grafik</t>
        </is>
      </c>
      <c r="AQ1" s="61" t="inlineStr">
        <is>
          <t>Kolorier-ung / Buch-malerei / Initialen / Rubri-kation</t>
        </is>
      </c>
      <c r="AR1" s="61" t="inlineStr">
        <is>
          <t>berühr-ungsfreie Digit.</t>
        </is>
      </c>
      <c r="AS1" s="61" t="inlineStr">
        <is>
          <t>Schrift weit bis in den Falz (Bund-steg in mm) Text-verlust</t>
        </is>
      </c>
      <c r="AT1" s="61" t="inlineStr">
        <is>
          <t>nicht digitali-sierbar wegen Bund-steg (vorraus-sichtlich)</t>
        </is>
      </c>
      <c r="AU1" s="61" t="inlineStr">
        <is>
          <t>max. Öffnungs-winkel</t>
        </is>
      </c>
      <c r="AV1" s="61" t="inlineStr">
        <is>
          <t>Digit. mit Begleit-ung</t>
        </is>
      </c>
      <c r="AW1" s="61" t="inlineStr">
        <is>
          <t>Ver-schmutz-ung (Vorsatz / Ränder /
ges. BB)</t>
        </is>
      </c>
      <c r="AX1" s="61" t="inlineStr">
        <is>
          <t>mikro-bieller Befall</t>
        </is>
      </c>
      <c r="AY1" s="61" t="inlineStr">
        <is>
          <t>Rest.-Bericht einge-klebt</t>
        </is>
      </c>
      <c r="AZ1" s="61" t="inlineStr">
        <is>
          <t xml:space="preserve">Blatt mit Notizen zum Buch eingeklebt </t>
        </is>
      </c>
      <c r="BA1" s="61" t="inlineStr">
        <is>
          <t>Rest.
not-wendig (ja/nein) (vor/nach der Digit.)</t>
        </is>
      </c>
      <c r="BB1" s="71" t="inlineStr">
        <is>
          <t>Rest.-
Aufwand gesamt
(in Std.)</t>
        </is>
      </c>
      <c r="BC1" s="62" t="inlineStr">
        <is>
          <t>Rest.
erfolgt</t>
        </is>
      </c>
      <c r="BD1" s="61" t="inlineStr">
        <is>
          <t>Kassette</t>
        </is>
      </c>
      <c r="BE1" s="61" t="inlineStr">
        <is>
          <t>Schuber</t>
        </is>
      </c>
      <c r="BF1" s="61" t="inlineStr">
        <is>
          <t>Buch-schuh</t>
        </is>
      </c>
      <c r="BG1" s="61" t="inlineStr">
        <is>
          <t xml:space="preserve">Mappe </t>
        </is>
      </c>
      <c r="BH1" s="61" t="inlineStr">
        <is>
          <t>Um-schlag</t>
        </is>
      </c>
      <c r="BI1" s="61" t="inlineStr">
        <is>
          <t>SB neu</t>
        </is>
      </c>
      <c r="BJ1" s="61" t="inlineStr">
        <is>
          <t>Anmerkungen (allg.)</t>
        </is>
      </c>
      <c r="BK1" s="80" t="inlineStr">
        <is>
          <t>für Testphase
vorsehen</t>
        </is>
      </c>
      <c r="BL1" s="80" t="inlineStr">
        <is>
          <t>Schutzbehältnis empfohlen</t>
        </is>
      </c>
      <c r="BM1" s="80" t="inlineStr">
        <is>
          <t>Schreibmeisterbücher aus Liste von A. Wendler</t>
        </is>
      </c>
      <c r="BN1" s="80" t="inlineStr">
        <is>
          <t>Schreibmeisterbücher aus Liste von B. Rüdiger</t>
        </is>
      </c>
    </row>
    <row r="2" ht="22.5" customHeight="1" s="58">
      <c r="A2" s="64" t="n">
        <v>1</v>
      </c>
      <c r="B2" s="65" t="inlineStr">
        <is>
          <t>L-1796-169506053</t>
        </is>
      </c>
      <c r="C2" s="65" t="n">
        <v>999824015</v>
      </c>
      <c r="D2" s="66">
        <f>HYPERLINK(CONCATENATE("https://portal.dnb.de/opac.htm?method=simpleSearch&amp;cqlMode=true&amp;query=idn%3D",C2))</f>
        <v/>
      </c>
      <c r="E2" s="65" t="inlineStr">
        <is>
          <t>Bö B I 42/4°</t>
        </is>
      </c>
      <c r="F2" s="64" t="inlineStr">
        <is>
          <t>X</t>
        </is>
      </c>
      <c r="G2" s="111" t="inlineStr">
        <is>
          <t>Halbpergamentband</t>
        </is>
      </c>
      <c r="H2" s="108" t="inlineStr">
        <is>
          <t>bis 25 cm</t>
        </is>
      </c>
      <c r="I2" s="111" t="inlineStr">
        <is>
          <t>80° bis 110°, einseitig digitalisierbar?</t>
        </is>
      </c>
      <c r="J2" s="111" t="inlineStr">
        <is>
          <t>fester Rücken mit Schmuckprägung, gefaltete Blätter</t>
        </is>
      </c>
      <c r="K2" s="64" t="n"/>
      <c r="L2" s="64" t="n"/>
      <c r="M2" s="64" t="inlineStr">
        <is>
          <t>Signaturfahne austauschen</t>
        </is>
      </c>
      <c r="N2" s="64" t="n">
        <v>0</v>
      </c>
      <c r="O2" s="64" t="n"/>
      <c r="P2" s="64" t="n"/>
      <c r="Q2" s="64" t="n"/>
      <c r="R2" s="64" t="n"/>
      <c r="BB2" s="73">
        <f>#REF!+#REF!</f>
        <v/>
      </c>
      <c r="BM2" s="75" t="inlineStr">
        <is>
          <t>x</t>
        </is>
      </c>
      <c r="BN2" s="75" t="inlineStr">
        <is>
          <t>x</t>
        </is>
      </c>
    </row>
    <row r="3" ht="22.5" customHeight="1" s="58">
      <c r="A3" s="64" t="n">
        <v>2</v>
      </c>
      <c r="B3" s="64" t="inlineStr">
        <is>
          <t>L-1818-157574970</t>
        </is>
      </c>
      <c r="C3" s="64" t="n">
        <v>994698968</v>
      </c>
      <c r="D3" s="66">
        <f>HYPERLINK(CONCATENATE("https://portal.dnb.de/opac.htm?method=simpleSearch&amp;cqlMode=true&amp;query=idn%3D",C3))</f>
        <v/>
      </c>
      <c r="E3" s="64" t="inlineStr">
        <is>
          <t>Bö B I 279</t>
        </is>
      </c>
      <c r="F3" s="64" t="inlineStr">
        <is>
          <t>X</t>
        </is>
      </c>
      <c r="G3" s="111" t="inlineStr">
        <is>
          <t>Ledereinband</t>
        </is>
      </c>
      <c r="H3" s="108" t="inlineStr">
        <is>
          <t>bis 25 cm</t>
        </is>
      </c>
      <c r="I3" s="111" t="inlineStr">
        <is>
          <t>180°</t>
        </is>
      </c>
      <c r="J3" s="111" t="inlineStr">
        <is>
          <t>fester Rücken mit Schmuckprägung, gefaltete Blätter</t>
        </is>
      </c>
      <c r="K3" s="64" t="n"/>
      <c r="L3" s="64" t="n"/>
      <c r="M3" s="64" t="n"/>
      <c r="N3" s="64" t="n">
        <v>0</v>
      </c>
      <c r="O3" s="64" t="n"/>
      <c r="P3" s="64" t="n"/>
      <c r="Q3" s="64" t="n"/>
      <c r="R3" s="64" t="n"/>
      <c r="X3" s="78" t="inlineStr">
        <is>
          <t>L</t>
        </is>
      </c>
      <c r="AA3" s="78" t="inlineStr">
        <is>
          <t>f/V</t>
        </is>
      </c>
      <c r="AG3" s="78" t="inlineStr">
        <is>
          <t>Pa</t>
        </is>
      </c>
      <c r="AN3" s="78" t="inlineStr">
        <is>
          <t>x</t>
        </is>
      </c>
      <c r="AU3" s="78" t="inlineStr">
        <is>
          <t>max 110</t>
        </is>
      </c>
      <c r="BA3" s="80" t="inlineStr">
        <is>
          <t>n</t>
        </is>
      </c>
      <c r="BB3" s="73">
        <f>#REF!+#REF!</f>
        <v/>
      </c>
      <c r="BM3" s="75" t="inlineStr">
        <is>
          <t>x</t>
        </is>
      </c>
      <c r="BN3" s="75" t="inlineStr">
        <is>
          <t>x</t>
        </is>
      </c>
    </row>
    <row r="4">
      <c r="A4" s="64" t="n">
        <v>3</v>
      </c>
      <c r="B4" s="64" t="inlineStr">
        <is>
          <t>L-1777-167259407</t>
        </is>
      </c>
      <c r="C4" s="64" t="n">
        <v>998959685</v>
      </c>
      <c r="D4" s="66">
        <f>HYPERLINK(CONCATENATE("https://portal.dnb.de/opac.htm?method=simpleSearch&amp;cqlMode=true&amp;query=idn%3D",C4))</f>
        <v/>
      </c>
      <c r="E4" s="64" t="inlineStr">
        <is>
          <t>Bö B I 294</t>
        </is>
      </c>
      <c r="F4" s="64" t="inlineStr">
        <is>
          <t>X</t>
        </is>
      </c>
      <c r="G4" s="111" t="inlineStr">
        <is>
          <t>Ledereinband</t>
        </is>
      </c>
      <c r="H4" s="108" t="inlineStr">
        <is>
          <t>bis 25 cm</t>
        </is>
      </c>
      <c r="I4" s="111" t="inlineStr">
        <is>
          <t>80° bis 110°, einseitig digitalisierbar?</t>
        </is>
      </c>
      <c r="J4" s="111" t="inlineStr">
        <is>
          <t>fester Rücken mit Schmuckprägung</t>
        </is>
      </c>
      <c r="K4" s="64" t="n"/>
      <c r="L4" s="64" t="inlineStr">
        <is>
          <t xml:space="preserve">Papierumschlag </t>
        </is>
      </c>
      <c r="M4" s="64" t="inlineStr">
        <is>
          <t>Ja, Signaturfahne austauschen</t>
        </is>
      </c>
      <c r="N4" s="64" t="n">
        <v>0</v>
      </c>
      <c r="O4" s="64" t="n"/>
      <c r="P4" s="64" t="n"/>
      <c r="Q4" s="64" t="n"/>
      <c r="R4" s="64" t="n"/>
      <c r="BB4" s="73">
        <f>#REF!+#REF!</f>
        <v/>
      </c>
      <c r="BM4" s="75" t="inlineStr">
        <is>
          <t>x</t>
        </is>
      </c>
      <c r="BN4" s="75" t="inlineStr">
        <is>
          <t>x</t>
        </is>
      </c>
    </row>
    <row r="5">
      <c r="A5" s="64" t="n">
        <v>4</v>
      </c>
      <c r="B5" s="64" t="inlineStr">
        <is>
          <t>L-1708-174156588</t>
        </is>
      </c>
      <c r="C5" s="64" t="n">
        <v>1001314530</v>
      </c>
      <c r="D5" s="66">
        <f>HYPERLINK(CONCATENATE("https://portal.dnb.de/opac.htm?method=simpleSearch&amp;cqlMode=true&amp;query=idn%3D",C5))</f>
        <v/>
      </c>
      <c r="E5" s="64" t="inlineStr">
        <is>
          <t>Bö B I 298</t>
        </is>
      </c>
      <c r="F5" s="64" t="inlineStr">
        <is>
          <t>X</t>
        </is>
      </c>
      <c r="G5" s="111" t="inlineStr">
        <is>
          <t>Halbpergamentband</t>
        </is>
      </c>
      <c r="H5" s="108" t="inlineStr">
        <is>
          <t>bis 25 cm</t>
        </is>
      </c>
      <c r="I5" s="111" t="inlineStr">
        <is>
          <t>80° bis 110°, einseitig digitalisierbar?</t>
        </is>
      </c>
      <c r="J5" s="111" t="inlineStr">
        <is>
          <t>hohler Rücken</t>
        </is>
      </c>
      <c r="K5" s="64" t="n"/>
      <c r="L5" s="64" t="inlineStr">
        <is>
          <t>Kassette</t>
        </is>
      </c>
      <c r="M5" s="64" t="inlineStr">
        <is>
          <t>Nein</t>
        </is>
      </c>
      <c r="N5" s="64" t="n">
        <v>0</v>
      </c>
      <c r="O5" s="64" t="n"/>
      <c r="P5" s="64" t="n"/>
      <c r="Q5" s="64" t="n"/>
      <c r="R5" s="64" t="n"/>
      <c r="BB5" s="73">
        <f>#REF!+#REF!</f>
        <v/>
      </c>
      <c r="BM5" s="75" t="inlineStr">
        <is>
          <t>x</t>
        </is>
      </c>
      <c r="BN5" s="75" t="inlineStr">
        <is>
          <t>x</t>
        </is>
      </c>
    </row>
    <row r="6">
      <c r="A6" s="64" t="n">
        <v>5</v>
      </c>
      <c r="B6" s="64" t="inlineStr">
        <is>
          <t>L-1722-154872350</t>
        </is>
      </c>
      <c r="C6" s="64" t="n">
        <v>994252668</v>
      </c>
      <c r="D6" s="66">
        <f>HYPERLINK(CONCATENATE("https://portal.dnb.de/opac.htm?method=simpleSearch&amp;cqlMode=true&amp;query=idn%3D",C6))</f>
        <v/>
      </c>
      <c r="E6" s="64" t="inlineStr">
        <is>
          <t>Bö B I 305/2°</t>
        </is>
      </c>
      <c r="F6" s="64" t="inlineStr">
        <is>
          <t>X</t>
        </is>
      </c>
      <c r="G6" s="111" t="inlineStr">
        <is>
          <t>Halbledereinband</t>
        </is>
      </c>
      <c r="H6" s="108" t="inlineStr">
        <is>
          <t>bis 42 cm</t>
        </is>
      </c>
      <c r="I6" s="111" t="inlineStr">
        <is>
          <t>180°</t>
        </is>
      </c>
      <c r="J6" s="111" t="n"/>
      <c r="K6" s="64" t="n"/>
      <c r="L6" s="64" t="n"/>
      <c r="M6" s="64" t="n"/>
      <c r="N6" s="64" t="n">
        <v>2</v>
      </c>
      <c r="O6" s="64" t="n"/>
      <c r="P6" s="64" t="n"/>
      <c r="Q6" s="64" t="n"/>
      <c r="R6" s="64" t="n"/>
      <c r="X6" s="78" t="inlineStr">
        <is>
          <t>HL</t>
        </is>
      </c>
      <c r="AA6" s="78" t="inlineStr">
        <is>
          <t>f</t>
        </is>
      </c>
      <c r="AG6" s="78" t="inlineStr">
        <is>
          <t>Pa</t>
        </is>
      </c>
      <c r="AP6" s="78" t="inlineStr">
        <is>
          <t>x</t>
        </is>
      </c>
      <c r="AU6" s="78" t="n">
        <v>110</v>
      </c>
      <c r="BA6" s="80" t="inlineStr">
        <is>
          <t>n</t>
        </is>
      </c>
      <c r="BB6" s="73">
        <f>#REF!+#REF!</f>
        <v/>
      </c>
      <c r="BM6" s="75" t="inlineStr">
        <is>
          <t>x</t>
        </is>
      </c>
      <c r="BN6" s="75" t="inlineStr">
        <is>
          <t>x</t>
        </is>
      </c>
    </row>
    <row r="7">
      <c r="A7" s="64" t="n">
        <v>6</v>
      </c>
      <c r="B7" s="64" t="inlineStr">
        <is>
          <t>L-1795-154003360</t>
        </is>
      </c>
      <c r="C7" s="64" t="n">
        <v>993915078</v>
      </c>
      <c r="D7" s="66">
        <f>HYPERLINK(CONCATENATE("https://portal.dnb.de/opac.htm?method=simpleSearch&amp;cqlMode=true&amp;query=idn%3D",C7))</f>
        <v/>
      </c>
      <c r="E7" s="64" t="inlineStr">
        <is>
          <t>Bö B I 306</t>
        </is>
      </c>
      <c r="F7" s="64" t="inlineStr">
        <is>
          <t>X</t>
        </is>
      </c>
      <c r="G7" s="111" t="inlineStr">
        <is>
          <t>Ledereinband</t>
        </is>
      </c>
      <c r="H7" s="108" t="inlineStr">
        <is>
          <t>bis 25 cm</t>
        </is>
      </c>
      <c r="I7" s="111" t="inlineStr">
        <is>
          <t>80° bis 110°, einseitig digitalisierbar?</t>
        </is>
      </c>
      <c r="J7" s="111" t="inlineStr">
        <is>
          <t>fester Rücken mit Schmuckprägung</t>
        </is>
      </c>
      <c r="K7" s="64" t="n"/>
      <c r="L7" s="64" t="inlineStr">
        <is>
          <t>Archivkarton</t>
        </is>
      </c>
      <c r="M7" s="64" t="inlineStr">
        <is>
          <t>Nein</t>
        </is>
      </c>
      <c r="N7" s="64" t="n">
        <v>0</v>
      </c>
      <c r="O7" s="64" t="n"/>
      <c r="P7" s="64" t="n"/>
      <c r="Q7" s="64" t="n"/>
      <c r="R7" s="64" t="n"/>
      <c r="BB7" s="73">
        <f>#REF!+#REF!</f>
        <v/>
      </c>
      <c r="BM7" s="75" t="inlineStr">
        <is>
          <t>x</t>
        </is>
      </c>
      <c r="BN7" s="75" t="inlineStr">
        <is>
          <t>x</t>
        </is>
      </c>
    </row>
    <row r="8">
      <c r="A8" s="64" t="n">
        <v>7</v>
      </c>
      <c r="B8" s="64" t="inlineStr">
        <is>
          <t>L-1647-154450324</t>
        </is>
      </c>
      <c r="C8" s="64" t="inlineStr">
        <is>
          <t>99406280X</t>
        </is>
      </c>
      <c r="D8" s="66">
        <f>HYPERLINK(CONCATENATE("https://portal.dnb.de/opac.htm?method=simpleSearch&amp;cqlMode=true&amp;query=idn%3D",C8))</f>
        <v/>
      </c>
      <c r="E8" s="64" t="inlineStr">
        <is>
          <t>Bö B I 311/4°</t>
        </is>
      </c>
      <c r="F8" s="64" t="inlineStr">
        <is>
          <t>X</t>
        </is>
      </c>
      <c r="G8" s="111" t="inlineStr">
        <is>
          <t>Halbledereinband</t>
        </is>
      </c>
      <c r="H8" s="108" t="inlineStr">
        <is>
          <t>bis 35 cm</t>
        </is>
      </c>
      <c r="I8" s="111" t="inlineStr">
        <is>
          <t>180°</t>
        </is>
      </c>
      <c r="J8" s="111" t="n"/>
      <c r="K8" s="64" t="n"/>
      <c r="L8" s="64" t="n"/>
      <c r="M8" s="64" t="n"/>
      <c r="N8" s="64" t="n">
        <v>2</v>
      </c>
      <c r="O8" s="64" t="n"/>
      <c r="P8" s="64" t="n"/>
      <c r="Q8" s="64" t="n"/>
      <c r="R8" s="64" t="n"/>
      <c r="U8" s="78" t="inlineStr">
        <is>
          <t>QF (44x36)</t>
        </is>
      </c>
      <c r="X8" s="78" t="inlineStr">
        <is>
          <t>HG</t>
        </is>
      </c>
      <c r="AA8" s="78" t="inlineStr">
        <is>
          <t>h/E</t>
        </is>
      </c>
      <c r="AG8" s="78" t="inlineStr">
        <is>
          <t>Pa</t>
        </is>
      </c>
      <c r="AP8" s="78" t="inlineStr">
        <is>
          <t>x</t>
        </is>
      </c>
      <c r="AU8" s="78" t="n">
        <v>180</v>
      </c>
      <c r="BA8" s="80" t="inlineStr">
        <is>
          <t>ja vor</t>
        </is>
      </c>
      <c r="BB8" s="73">
        <f>#REF!+#REF!</f>
        <v/>
      </c>
      <c r="BM8" s="75" t="inlineStr">
        <is>
          <t>x</t>
        </is>
      </c>
      <c r="BN8" s="75" t="inlineStr">
        <is>
          <t>x</t>
        </is>
      </c>
    </row>
    <row r="9" ht="22.5" customHeight="1" s="58">
      <c r="A9" s="64" t="n">
        <v>8</v>
      </c>
      <c r="B9" s="64" t="inlineStr">
        <is>
          <t>L-1770-154528331</t>
        </is>
      </c>
      <c r="C9" s="64" t="n">
        <v>994120303</v>
      </c>
      <c r="D9" s="66">
        <f>HYPERLINK(CONCATENATE("https://portal.dnb.de/opac.htm?method=simpleSearch&amp;cqlMode=true&amp;query=idn%3D",C9))</f>
        <v/>
      </c>
      <c r="E9" s="64" t="inlineStr">
        <is>
          <t>Bö B I 319/2°</t>
        </is>
      </c>
      <c r="F9" s="64" t="inlineStr">
        <is>
          <t>X</t>
        </is>
      </c>
      <c r="G9" s="111" t="inlineStr">
        <is>
          <t>Papier- oder Pappeinband</t>
        </is>
      </c>
      <c r="H9" s="108" t="inlineStr">
        <is>
          <t>&gt; 42 cm</t>
        </is>
      </c>
      <c r="I9" s="111" t="inlineStr">
        <is>
          <t>180°</t>
        </is>
      </c>
      <c r="J9" s="111" t="n"/>
      <c r="K9" s="64" t="n"/>
      <c r="L9" s="64" t="n"/>
      <c r="M9" s="64" t="n"/>
      <c r="N9" s="64" t="n">
        <v>2</v>
      </c>
      <c r="O9" s="64" t="n"/>
      <c r="P9" s="64" t="n"/>
      <c r="Q9" s="64" t="n"/>
      <c r="R9" s="64" t="n"/>
      <c r="T9" s="78" t="inlineStr">
        <is>
          <t>38x43</t>
        </is>
      </c>
      <c r="X9" s="78" t="inlineStr">
        <is>
          <t>Pa</t>
        </is>
      </c>
      <c r="AA9" s="78" t="inlineStr">
        <is>
          <t>h/E</t>
        </is>
      </c>
      <c r="AG9" s="78" t="inlineStr">
        <is>
          <t>Pa</t>
        </is>
      </c>
      <c r="AP9" s="78" t="inlineStr">
        <is>
          <t>x</t>
        </is>
      </c>
      <c r="AU9" s="78" t="n">
        <v>110</v>
      </c>
      <c r="BA9" s="80" t="inlineStr">
        <is>
          <t>n</t>
        </is>
      </c>
      <c r="BB9" s="73">
        <f>#REF!+#REF!</f>
        <v/>
      </c>
      <c r="BI9" s="78" t="inlineStr">
        <is>
          <t>x</t>
        </is>
      </c>
      <c r="BJ9" s="110" t="inlineStr">
        <is>
          <t>Gelenke sind kaputt aber stabil, Umschlag anfertigen</t>
        </is>
      </c>
      <c r="BM9" s="75" t="inlineStr">
        <is>
          <t>x</t>
        </is>
      </c>
      <c r="BN9" s="75" t="inlineStr">
        <is>
          <t>x</t>
        </is>
      </c>
    </row>
    <row r="10">
      <c r="A10" s="64" t="n">
        <v>9</v>
      </c>
      <c r="B10" s="64" t="inlineStr">
        <is>
          <t>L-1743-154844934</t>
        </is>
      </c>
      <c r="C10" s="64" t="n">
        <v>994227140</v>
      </c>
      <c r="D10" s="66">
        <f>HYPERLINK(CONCATENATE("https://portal.dnb.de/opac.htm?method=simpleSearch&amp;cqlMode=true&amp;query=idn%3D",C10))</f>
        <v/>
      </c>
      <c r="E10" s="64" t="inlineStr">
        <is>
          <t>Bö B I 323/4°</t>
        </is>
      </c>
      <c r="F10" s="64" t="inlineStr">
        <is>
          <t>X</t>
        </is>
      </c>
      <c r="G10" s="111" t="inlineStr">
        <is>
          <t>Ledereinband</t>
        </is>
      </c>
      <c r="H10" s="108" t="inlineStr">
        <is>
          <t>bis 42 cm</t>
        </is>
      </c>
      <c r="I10" s="111" t="inlineStr">
        <is>
          <t>80° bis 110°, einseitig digitalisierbar?</t>
        </is>
      </c>
      <c r="J10" s="111" t="n"/>
      <c r="K10" s="64" t="n"/>
      <c r="L10" s="64" t="inlineStr">
        <is>
          <t>Kassette</t>
        </is>
      </c>
      <c r="M10" s="64" t="inlineStr">
        <is>
          <t>Nein</t>
        </is>
      </c>
      <c r="N10" s="64" t="n">
        <v>0</v>
      </c>
      <c r="O10" s="64" t="n"/>
      <c r="P10" s="64" t="n"/>
      <c r="Q10" s="64" t="n"/>
      <c r="R10" s="64" t="n"/>
      <c r="X10" s="78" t="inlineStr">
        <is>
          <t>L</t>
        </is>
      </c>
      <c r="Z10" s="78" t="inlineStr">
        <is>
          <t>x</t>
        </is>
      </c>
      <c r="AA10" s="78" t="inlineStr">
        <is>
          <t>f</t>
        </is>
      </c>
      <c r="AG10" s="78" t="inlineStr">
        <is>
          <t>Pa</t>
        </is>
      </c>
      <c r="AP10" s="78" t="inlineStr">
        <is>
          <t>x</t>
        </is>
      </c>
      <c r="AU10" s="78" t="n">
        <v>110</v>
      </c>
      <c r="BA10" s="80" t="inlineStr">
        <is>
          <t>n</t>
        </is>
      </c>
      <c r="BB10" s="73">
        <f>#REF!+#REF!</f>
        <v/>
      </c>
      <c r="BD10" s="78" t="inlineStr">
        <is>
          <t>Gewebe</t>
        </is>
      </c>
      <c r="BM10" s="75" t="inlineStr">
        <is>
          <t>x</t>
        </is>
      </c>
      <c r="BN10" s="75" t="inlineStr">
        <is>
          <t>x</t>
        </is>
      </c>
    </row>
    <row r="11">
      <c r="A11" s="64" t="n">
        <v>10</v>
      </c>
      <c r="B11" s="64" t="inlineStr">
        <is>
          <t>L-1732-154867489</t>
        </is>
      </c>
      <c r="C11" s="64" t="n">
        <v>994248199</v>
      </c>
      <c r="D11" s="66">
        <f>HYPERLINK(CONCATENATE("https://portal.dnb.de/opac.htm?method=simpleSearch&amp;cqlMode=true&amp;query=idn%3D",C11))</f>
        <v/>
      </c>
      <c r="E11" s="64" t="inlineStr">
        <is>
          <t>Bö B I 324</t>
        </is>
      </c>
      <c r="F11" s="64" t="inlineStr">
        <is>
          <t>X</t>
        </is>
      </c>
      <c r="G11" s="111" t="inlineStr">
        <is>
          <t>Ledereinband</t>
        </is>
      </c>
      <c r="H11" s="108" t="inlineStr">
        <is>
          <t>bis 25 cm</t>
        </is>
      </c>
      <c r="I11" s="111" t="inlineStr">
        <is>
          <t>80° bis 110°, einseitig digitalisierbar?</t>
        </is>
      </c>
      <c r="J11" s="111" t="inlineStr">
        <is>
          <t>fester Rücken mit Schmuckprägung</t>
        </is>
      </c>
      <c r="K11" s="64" t="n"/>
      <c r="L11" s="64" t="inlineStr">
        <is>
          <t>Kassette</t>
        </is>
      </c>
      <c r="M11" s="64" t="inlineStr">
        <is>
          <t>Nein</t>
        </is>
      </c>
      <c r="N11" s="64" t="n">
        <v>0</v>
      </c>
      <c r="O11" s="64" t="n"/>
      <c r="P11" s="64" t="n"/>
      <c r="Q11" s="64" t="n"/>
      <c r="R11" s="64" t="n"/>
      <c r="BB11" s="73">
        <f>#REF!+#REF!</f>
        <v/>
      </c>
      <c r="BM11" s="75" t="inlineStr">
        <is>
          <t>x</t>
        </is>
      </c>
      <c r="BN11" s="75" t="inlineStr">
        <is>
          <t>x</t>
        </is>
      </c>
    </row>
    <row r="12">
      <c r="A12" s="64" t="n">
        <v>11</v>
      </c>
      <c r="B12" s="64" t="inlineStr">
        <is>
          <t>L-1732-15486515X</t>
        </is>
      </c>
      <c r="C12" s="64" t="inlineStr">
        <is>
          <t>99424603X</t>
        </is>
      </c>
      <c r="D12" s="66">
        <f>HYPERLINK(CONCATENATE("https://portal.dnb.de/opac.htm?method=simpleSearch&amp;cqlMode=true&amp;query=idn%3D",C12))</f>
        <v/>
      </c>
      <c r="E12" s="64" t="inlineStr">
        <is>
          <t>Bö B I 324a</t>
        </is>
      </c>
      <c r="F12" s="64" t="n"/>
      <c r="G12" s="111" t="inlineStr">
        <is>
          <t>Halbpergamentband</t>
        </is>
      </c>
      <c r="H12" s="108" t="inlineStr">
        <is>
          <t>bis 25 cm</t>
        </is>
      </c>
      <c r="I12" s="111" t="inlineStr">
        <is>
          <t>80° bis 110°, einseitig digitalisierbar?</t>
        </is>
      </c>
      <c r="J12" s="111" t="inlineStr">
        <is>
          <t>fester Rücken mit Schmuckprägung</t>
        </is>
      </c>
      <c r="K12" s="64" t="n"/>
      <c r="L12" s="64" t="inlineStr">
        <is>
          <t>Archivkarton</t>
        </is>
      </c>
      <c r="M12" s="64" t="inlineStr">
        <is>
          <t>Nein</t>
        </is>
      </c>
      <c r="N12" s="64" t="n">
        <v>0</v>
      </c>
      <c r="O12" s="64" t="n"/>
      <c r="P12" s="64" t="n"/>
      <c r="Q12" s="64" t="n"/>
      <c r="R12" s="64" t="n"/>
      <c r="BB12" s="73">
        <f>#REF!+#REF!</f>
        <v/>
      </c>
      <c r="BM12" s="75" t="inlineStr">
        <is>
          <t>x</t>
        </is>
      </c>
      <c r="BN12" s="75" t="inlineStr">
        <is>
          <t>x</t>
        </is>
      </c>
    </row>
    <row r="13">
      <c r="A13" s="64" t="n">
        <v>12</v>
      </c>
      <c r="B13" s="64" t="inlineStr">
        <is>
          <t>L-1797-155364162</t>
        </is>
      </c>
      <c r="C13" s="64" t="n">
        <v>994308108</v>
      </c>
      <c r="D13" s="66">
        <f>HYPERLINK(CONCATENATE("https://portal.dnb.de/opac.htm?method=simpleSearch&amp;cqlMode=true&amp;query=idn%3D",C13))</f>
        <v/>
      </c>
      <c r="E13" s="64" t="inlineStr">
        <is>
          <t>Bö B I 328/2°</t>
        </is>
      </c>
      <c r="F13" s="64" t="inlineStr">
        <is>
          <t>X</t>
        </is>
      </c>
      <c r="G13" s="111" t="inlineStr">
        <is>
          <t>Papier- oder Pappeinband</t>
        </is>
      </c>
      <c r="H13" s="108" t="inlineStr">
        <is>
          <t>&gt; 42 cm</t>
        </is>
      </c>
      <c r="I13" s="111" t="inlineStr">
        <is>
          <t>180°</t>
        </is>
      </c>
      <c r="J13" s="111" t="n"/>
      <c r="K13" s="64" t="n"/>
      <c r="L13" s="64" t="inlineStr">
        <is>
          <t xml:space="preserve">Papierumschlag </t>
        </is>
      </c>
      <c r="M13" s="64" t="inlineStr">
        <is>
          <t>Ja</t>
        </is>
      </c>
      <c r="N13" s="64" t="n">
        <v>1</v>
      </c>
      <c r="O13" s="64" t="n"/>
      <c r="P13" s="64" t="n"/>
      <c r="Q13" s="64" t="n"/>
      <c r="R13" s="64" t="n"/>
      <c r="X13" s="78" t="inlineStr">
        <is>
          <t>HG</t>
        </is>
      </c>
      <c r="AA13" s="78" t="inlineStr">
        <is>
          <t>h/E</t>
        </is>
      </c>
      <c r="AG13" s="78" t="inlineStr">
        <is>
          <t>Pa</t>
        </is>
      </c>
      <c r="AP13" s="78" t="inlineStr">
        <is>
          <t>x</t>
        </is>
      </c>
      <c r="AU13" s="78" t="n">
        <v>110</v>
      </c>
      <c r="BA13" s="80" t="inlineStr">
        <is>
          <t>n</t>
        </is>
      </c>
      <c r="BB13" s="73">
        <f>#REF!+#REF!</f>
        <v/>
      </c>
      <c r="BH13" s="78" t="inlineStr">
        <is>
          <t>x sauer</t>
        </is>
      </c>
      <c r="BI13" s="78" t="inlineStr">
        <is>
          <t>x</t>
        </is>
      </c>
      <c r="BN13" s="75" t="inlineStr">
        <is>
          <t>x</t>
        </is>
      </c>
    </row>
    <row r="14">
      <c r="A14" s="64" t="n">
        <v>13</v>
      </c>
      <c r="B14" s="64" t="inlineStr">
        <is>
          <t>L-1766-155561243</t>
        </is>
      </c>
      <c r="C14" s="64" t="n">
        <v>994377800</v>
      </c>
      <c r="D14" s="66">
        <f>HYPERLINK(CONCATENATE("https://portal.dnb.de/opac.htm?method=simpleSearch&amp;cqlMode=true&amp;query=idn%3D",C14))</f>
        <v/>
      </c>
      <c r="E14" s="64" t="inlineStr">
        <is>
          <t>Bö B I 329/4°</t>
        </is>
      </c>
      <c r="F14" s="64" t="inlineStr">
        <is>
          <t>X</t>
        </is>
      </c>
      <c r="G14" s="111" t="inlineStr">
        <is>
          <t>Papier- oder Pappeinband</t>
        </is>
      </c>
      <c r="H14" s="108" t="inlineStr">
        <is>
          <t>bis 35 cm</t>
        </is>
      </c>
      <c r="I14" s="111" t="inlineStr">
        <is>
          <t>180°</t>
        </is>
      </c>
      <c r="J14" s="111" t="n"/>
      <c r="K14" s="64" t="n"/>
      <c r="L14" s="64" t="inlineStr">
        <is>
          <t xml:space="preserve">Papierumschlag </t>
        </is>
      </c>
      <c r="M14" s="64" t="inlineStr">
        <is>
          <t>Ja</t>
        </is>
      </c>
      <c r="N14" s="64" t="n">
        <v>1</v>
      </c>
      <c r="O14" s="64" t="n"/>
      <c r="P14" s="64" t="n"/>
      <c r="Q14" s="64" t="n"/>
      <c r="R14" s="64" t="n"/>
      <c r="U14" s="78" t="inlineStr">
        <is>
          <t>QF (43x30)</t>
        </is>
      </c>
      <c r="X14" s="78" t="inlineStr">
        <is>
          <t>Pa</t>
        </is>
      </c>
      <c r="AA14" s="78" t="inlineStr">
        <is>
          <t>h/E</t>
        </is>
      </c>
      <c r="AG14" s="78" t="inlineStr">
        <is>
          <t>Pa</t>
        </is>
      </c>
      <c r="AP14" s="78" t="inlineStr">
        <is>
          <t>x</t>
        </is>
      </c>
      <c r="AU14" s="78" t="inlineStr">
        <is>
          <t>max 180</t>
        </is>
      </c>
      <c r="BA14" s="80" t="inlineStr">
        <is>
          <t>ja vor</t>
        </is>
      </c>
      <c r="BB14" s="73">
        <f>#REF!+#REF!</f>
        <v/>
      </c>
      <c r="BH14" s="78" t="inlineStr">
        <is>
          <t>x sauer</t>
        </is>
      </c>
      <c r="BI14" s="78" t="inlineStr">
        <is>
          <t>x</t>
        </is>
      </c>
      <c r="BJ14" s="110" t="inlineStr">
        <is>
          <t>mind. Jurismappe (versteift)</t>
        </is>
      </c>
      <c r="BM14" s="75" t="inlineStr">
        <is>
          <t>x</t>
        </is>
      </c>
      <c r="BN14" s="75" t="inlineStr">
        <is>
          <t>x</t>
        </is>
      </c>
    </row>
    <row r="15">
      <c r="A15" s="64" t="n">
        <v>14</v>
      </c>
      <c r="B15" s="64" t="inlineStr">
        <is>
          <t>L-1799-155716743</t>
        </is>
      </c>
      <c r="C15" s="64" t="n">
        <v>994405464</v>
      </c>
      <c r="D15" s="66">
        <f>HYPERLINK(CONCATENATE("https://portal.dnb.de/opac.htm?method=simpleSearch&amp;cqlMode=true&amp;query=idn%3D",C15))</f>
        <v/>
      </c>
      <c r="E15" s="64" t="inlineStr">
        <is>
          <t>Bö B I 331/4°</t>
        </is>
      </c>
      <c r="F15" s="64" t="inlineStr">
        <is>
          <t>X</t>
        </is>
      </c>
      <c r="G15" s="111" t="inlineStr">
        <is>
          <t>Halbledereinband</t>
        </is>
      </c>
      <c r="H15" s="108" t="inlineStr">
        <is>
          <t>bis 35 cm</t>
        </is>
      </c>
      <c r="I15" s="111" t="inlineStr">
        <is>
          <t>80° bis 110°, einseitig digitalisierbar?</t>
        </is>
      </c>
      <c r="J15" s="111" t="inlineStr">
        <is>
          <t>stark brüchiges Einbandmaterial</t>
        </is>
      </c>
      <c r="K15" s="64" t="n"/>
      <c r="L15" s="64" t="n"/>
      <c r="M15" s="64" t="n"/>
      <c r="N15" s="64" t="n">
        <v>2</v>
      </c>
      <c r="O15" s="64" t="n"/>
      <c r="P15" s="64" t="n"/>
      <c r="Q15" s="64" t="n"/>
      <c r="R15" s="64" t="n"/>
      <c r="U15" s="78" t="inlineStr">
        <is>
          <t>QF (48x29)</t>
        </is>
      </c>
      <c r="X15" s="78" t="inlineStr">
        <is>
          <t>HL</t>
        </is>
      </c>
      <c r="AA15" s="78" t="inlineStr">
        <is>
          <t>h/E</t>
        </is>
      </c>
      <c r="AG15" s="78" t="inlineStr">
        <is>
          <t>Pa</t>
        </is>
      </c>
      <c r="AP15" s="78" t="inlineStr">
        <is>
          <t>x</t>
        </is>
      </c>
      <c r="AU15" s="78" t="n">
        <v>110</v>
      </c>
      <c r="BA15" s="80" t="inlineStr">
        <is>
          <t>ja vor</t>
        </is>
      </c>
      <c r="BB15" s="73">
        <f>#REF!+#REF!</f>
        <v/>
      </c>
      <c r="BM15" s="75" t="inlineStr">
        <is>
          <t>x</t>
        </is>
      </c>
      <c r="BN15" s="75" t="inlineStr">
        <is>
          <t>x</t>
        </is>
      </c>
    </row>
    <row r="16">
      <c r="A16" s="64" t="n">
        <v>15</v>
      </c>
      <c r="B16" s="64" t="inlineStr">
        <is>
          <t>L-1829-15757489X</t>
        </is>
      </c>
      <c r="C16" s="64" t="n">
        <v>994698852</v>
      </c>
      <c r="D16" s="66">
        <f>HYPERLINK(CONCATENATE("https://portal.dnb.de/opac.htm?method=simpleSearch&amp;cqlMode=true&amp;query=idn%3D",C16))</f>
        <v/>
      </c>
      <c r="E16" s="64" t="inlineStr">
        <is>
          <t>Bö B I 334</t>
        </is>
      </c>
      <c r="F16" s="64" t="inlineStr">
        <is>
          <t>X</t>
        </is>
      </c>
      <c r="G16" s="111" t="inlineStr">
        <is>
          <t>Papier- oder Pappeinband</t>
        </is>
      </c>
      <c r="H16" s="108" t="inlineStr">
        <is>
          <t>bis 25 cm</t>
        </is>
      </c>
      <c r="I16" s="111" t="inlineStr">
        <is>
          <t>180°</t>
        </is>
      </c>
      <c r="J16" s="111" t="n"/>
      <c r="K16" s="64" t="n"/>
      <c r="L16" s="64" t="inlineStr">
        <is>
          <t>Archivkarton</t>
        </is>
      </c>
      <c r="M16" s="64" t="inlineStr">
        <is>
          <t>Nein</t>
        </is>
      </c>
      <c r="N16" s="64" t="n">
        <v>0</v>
      </c>
      <c r="O16" s="64" t="n"/>
      <c r="P16" s="64" t="n"/>
      <c r="Q16" s="64" t="n"/>
      <c r="R16" s="64" t="n"/>
      <c r="BB16" s="73">
        <f>#REF!+#REF!</f>
        <v/>
      </c>
      <c r="BM16" s="75" t="inlineStr">
        <is>
          <t>x</t>
        </is>
      </c>
      <c r="BN16" s="75" t="inlineStr">
        <is>
          <t>x</t>
        </is>
      </c>
    </row>
    <row r="17">
      <c r="A17" s="64" t="n">
        <v>16</v>
      </c>
      <c r="B17" s="64" t="inlineStr">
        <is>
          <t>L-1758-156363704</t>
        </is>
      </c>
      <c r="C17" s="64" t="n">
        <v>994521820</v>
      </c>
      <c r="D17" s="66">
        <f>HYPERLINK(CONCATENATE("https://portal.dnb.de/opac.htm?method=simpleSearch&amp;cqlMode=true&amp;query=idn%3D",C17))</f>
        <v/>
      </c>
      <c r="E17" s="64" t="inlineStr">
        <is>
          <t>Bö B I 338/4°</t>
        </is>
      </c>
      <c r="F17" s="64" t="inlineStr">
        <is>
          <t>X</t>
        </is>
      </c>
      <c r="G17" s="111" t="inlineStr">
        <is>
          <t>Halbpergamentband</t>
        </is>
      </c>
      <c r="H17" s="108" t="inlineStr">
        <is>
          <t>bis 35 cm</t>
        </is>
      </c>
      <c r="I17" s="111" t="inlineStr">
        <is>
          <t>180°</t>
        </is>
      </c>
      <c r="J17" s="111" t="inlineStr">
        <is>
          <t>hohler Rücken</t>
        </is>
      </c>
      <c r="K17" s="64" t="n"/>
      <c r="L17" s="64" t="n"/>
      <c r="M17" s="64" t="n"/>
      <c r="N17" s="64" t="n">
        <v>0</v>
      </c>
      <c r="O17" s="64" t="n"/>
      <c r="P17" s="64" t="n"/>
      <c r="Q17" s="64" t="n"/>
      <c r="R17" s="64" t="n"/>
      <c r="U17" s="78" t="inlineStr">
        <is>
          <t>QF (43x32)</t>
        </is>
      </c>
      <c r="X17" s="78" t="inlineStr">
        <is>
          <t>HPg</t>
        </is>
      </c>
      <c r="AA17" s="78" t="inlineStr">
        <is>
          <t>h/E</t>
        </is>
      </c>
      <c r="AG17" s="78" t="inlineStr">
        <is>
          <t>Pa</t>
        </is>
      </c>
      <c r="AP17" s="78" t="inlineStr">
        <is>
          <t>x</t>
        </is>
      </c>
      <c r="AU17" s="78" t="n">
        <v>110</v>
      </c>
      <c r="BA17" s="80" t="inlineStr">
        <is>
          <t>ja vor</t>
        </is>
      </c>
      <c r="BB17" s="73">
        <f>#REF!+#REF!</f>
        <v/>
      </c>
      <c r="BM17" s="75" t="inlineStr">
        <is>
          <t>x</t>
        </is>
      </c>
      <c r="BN17" s="75" t="inlineStr">
        <is>
          <t>x</t>
        </is>
      </c>
    </row>
    <row r="18">
      <c r="A18" s="64" t="n">
        <v>17</v>
      </c>
      <c r="B18" s="64" t="inlineStr">
        <is>
          <t>L-1813-156399652</t>
        </is>
      </c>
      <c r="C18" s="64" t="n">
        <v>994540655</v>
      </c>
      <c r="D18" s="66">
        <f>HYPERLINK(CONCATENATE("https://portal.dnb.de/opac.htm?method=simpleSearch&amp;cqlMode=true&amp;query=idn%3D",C18))</f>
        <v/>
      </c>
      <c r="E18" s="64" t="inlineStr">
        <is>
          <t>Bö B I 343/4°</t>
        </is>
      </c>
      <c r="F18" s="64" t="inlineStr">
        <is>
          <t>X</t>
        </is>
      </c>
      <c r="G18" s="111" t="inlineStr">
        <is>
          <t>Halbgewebeband</t>
        </is>
      </c>
      <c r="H18" s="108" t="inlineStr">
        <is>
          <t>bis 35 cm</t>
        </is>
      </c>
      <c r="I18" s="111" t="inlineStr">
        <is>
          <t>180°</t>
        </is>
      </c>
      <c r="J18" s="111" t="n"/>
      <c r="K18" s="64" t="n"/>
      <c r="L18" s="64" t="n"/>
      <c r="M18" s="64" t="n"/>
      <c r="N18" s="64" t="n">
        <v>0</v>
      </c>
      <c r="O18" s="64" t="n"/>
      <c r="P18" s="64" t="n"/>
      <c r="Q18" s="64" t="n"/>
      <c r="R18" s="64" t="n"/>
      <c r="U18" s="78" t="inlineStr">
        <is>
          <t>QF (43x30)</t>
        </is>
      </c>
      <c r="X18" s="78" t="inlineStr">
        <is>
          <t>HG</t>
        </is>
      </c>
      <c r="AA18" s="78" t="inlineStr">
        <is>
          <t>h/E</t>
        </is>
      </c>
      <c r="AG18" s="78" t="inlineStr">
        <is>
          <t>Pa</t>
        </is>
      </c>
      <c r="AP18" s="78" t="inlineStr">
        <is>
          <t>x</t>
        </is>
      </c>
      <c r="AU18" s="78" t="n">
        <v>110</v>
      </c>
      <c r="BA18" s="80" t="inlineStr">
        <is>
          <t>n</t>
        </is>
      </c>
      <c r="BB18" s="73">
        <f>#REF!+#REF!</f>
        <v/>
      </c>
      <c r="BM18" s="75" t="inlineStr">
        <is>
          <t>x</t>
        </is>
      </c>
      <c r="BN18" s="75" t="inlineStr">
        <is>
          <t>x</t>
        </is>
      </c>
    </row>
    <row r="19">
      <c r="A19" s="64" t="n">
        <v>18</v>
      </c>
      <c r="B19" s="64" t="inlineStr">
        <is>
          <t>L-1559-15687587X</t>
        </is>
      </c>
      <c r="C19" s="64" t="n">
        <v>994578091</v>
      </c>
      <c r="D19" s="66">
        <f>HYPERLINK(CONCATENATE("https://portal.dnb.de/opac.htm?method=simpleSearch&amp;cqlMode=true&amp;query=idn%3D",C19))</f>
        <v/>
      </c>
      <c r="E19" s="64" t="inlineStr">
        <is>
          <t>Bö B I 345</t>
        </is>
      </c>
      <c r="F19" s="64" t="inlineStr">
        <is>
          <t>X</t>
        </is>
      </c>
      <c r="G19" s="111" t="inlineStr">
        <is>
          <t>Halbledereinband</t>
        </is>
      </c>
      <c r="H19" s="108" t="inlineStr">
        <is>
          <t>bis 25 cm</t>
        </is>
      </c>
      <c r="I19" s="111" t="inlineStr">
        <is>
          <t>180°</t>
        </is>
      </c>
      <c r="J19" s="111" t="n"/>
      <c r="K19" s="64" t="n"/>
      <c r="L19" s="64" t="inlineStr">
        <is>
          <t>Archivkarton</t>
        </is>
      </c>
      <c r="M19" s="64" t="inlineStr">
        <is>
          <t>Nein</t>
        </is>
      </c>
      <c r="N19" s="64" t="n">
        <v>0</v>
      </c>
      <c r="O19" s="64" t="n"/>
      <c r="P19" s="64" t="n"/>
      <c r="Q19" s="64" t="n"/>
      <c r="R19" s="64" t="n"/>
      <c r="BB19" s="73">
        <f>#REF!+#REF!</f>
        <v/>
      </c>
      <c r="BM19" s="75" t="inlineStr">
        <is>
          <t>x</t>
        </is>
      </c>
      <c r="BN19" s="75" t="inlineStr">
        <is>
          <t>x</t>
        </is>
      </c>
    </row>
    <row r="20">
      <c r="A20" s="64" t="n">
        <v>19</v>
      </c>
      <c r="B20" s="64" t="inlineStr">
        <is>
          <t>L-1588-157184129</t>
        </is>
      </c>
      <c r="C20" s="64" t="n">
        <v>994643454</v>
      </c>
      <c r="D20" s="66">
        <f>HYPERLINK(CONCATENATE("https://portal.dnb.de/opac.htm?method=simpleSearch&amp;cqlMode=true&amp;query=idn%3D",C20))</f>
        <v/>
      </c>
      <c r="E20" s="64" t="inlineStr">
        <is>
          <t>Bö B I 349 - 2</t>
        </is>
      </c>
      <c r="F20" s="64" t="inlineStr">
        <is>
          <t>X</t>
        </is>
      </c>
      <c r="G20" s="111" t="inlineStr">
        <is>
          <t>Halbpergamentband</t>
        </is>
      </c>
      <c r="H20" s="108" t="inlineStr">
        <is>
          <t>bis 25 cm</t>
        </is>
      </c>
      <c r="I20" s="111" t="inlineStr">
        <is>
          <t>180°</t>
        </is>
      </c>
      <c r="J20" s="111" t="inlineStr">
        <is>
          <t>hohler Rücken</t>
        </is>
      </c>
      <c r="K20" s="64" t="n"/>
      <c r="L20" s="64" t="inlineStr">
        <is>
          <t>Archivkarton</t>
        </is>
      </c>
      <c r="M20" s="64" t="inlineStr">
        <is>
          <t>Nein</t>
        </is>
      </c>
      <c r="N20" s="64" t="n">
        <v>0</v>
      </c>
      <c r="O20" s="64" t="n"/>
      <c r="P20" s="64" t="n"/>
      <c r="Q20" s="64" t="n"/>
      <c r="R20" s="64" t="n"/>
      <c r="BB20" s="73">
        <f>#REF!+#REF!</f>
        <v/>
      </c>
      <c r="BM20" s="75" t="inlineStr">
        <is>
          <t>x</t>
        </is>
      </c>
      <c r="BN20" s="75" t="inlineStr">
        <is>
          <t>x</t>
        </is>
      </c>
    </row>
    <row r="21">
      <c r="A21" s="64" t="n">
        <v>20</v>
      </c>
      <c r="B21" s="64" t="inlineStr">
        <is>
          <t>L-1593-157184188</t>
        </is>
      </c>
      <c r="C21" s="64" t="n">
        <v>994643535</v>
      </c>
      <c r="D21" s="66">
        <f>HYPERLINK(CONCATENATE("https://portal.dnb.de/opac.htm?method=simpleSearch&amp;cqlMode=true&amp;query=idn%3D",C21))</f>
        <v/>
      </c>
      <c r="E21" s="64" t="inlineStr">
        <is>
          <t>Bö B I 349</t>
        </is>
      </c>
      <c r="F21" s="64" t="n"/>
      <c r="G21" s="111" t="n"/>
      <c r="H21" s="108" t="n"/>
      <c r="I21" s="111" t="n"/>
      <c r="J21" s="111" t="n"/>
      <c r="K21" s="64" t="n"/>
      <c r="L21" s="64" t="n"/>
      <c r="M21" s="64" t="n"/>
      <c r="N21" s="64" t="n"/>
      <c r="O21" s="64" t="n"/>
      <c r="P21" s="64" t="n"/>
      <c r="Q21" s="64" t="n"/>
      <c r="R21" s="64" t="n"/>
      <c r="BB21" s="73">
        <f>#REF!+#REF!</f>
        <v/>
      </c>
      <c r="BM21" s="75" t="inlineStr">
        <is>
          <t>x</t>
        </is>
      </c>
      <c r="BN21" s="75" t="inlineStr">
        <is>
          <t>x</t>
        </is>
      </c>
    </row>
    <row r="22">
      <c r="A22" s="64" t="n">
        <v>21</v>
      </c>
      <c r="B22" s="64" t="inlineStr">
        <is>
          <t>L-1772-157568423</t>
        </is>
      </c>
      <c r="C22" s="64" t="n">
        <v>994693214</v>
      </c>
      <c r="D22" s="66">
        <f>HYPERLINK(CONCATENATE("https://portal.dnb.de/opac.htm?method=simpleSearch&amp;cqlMode=true&amp;query=idn%3D",C22))</f>
        <v/>
      </c>
      <c r="E22" s="64" t="inlineStr">
        <is>
          <t>Bö B I 351/2°</t>
        </is>
      </c>
      <c r="F22" s="64" t="inlineStr">
        <is>
          <t>X</t>
        </is>
      </c>
      <c r="G22" s="111" t="inlineStr">
        <is>
          <t>Papier- oder Pappeinband</t>
        </is>
      </c>
      <c r="H22" s="108" t="inlineStr">
        <is>
          <t>&gt; 42 cm</t>
        </is>
      </c>
      <c r="I22" s="111" t="inlineStr">
        <is>
          <t>180°</t>
        </is>
      </c>
      <c r="J22" s="111" t="n"/>
      <c r="K22" s="64" t="n"/>
      <c r="L22" s="64" t="inlineStr">
        <is>
          <t xml:space="preserve">Papierumschlag </t>
        </is>
      </c>
      <c r="M22" s="64" t="inlineStr">
        <is>
          <t>Ja</t>
        </is>
      </c>
      <c r="N22" s="64" t="n">
        <v>2</v>
      </c>
      <c r="O22" s="64" t="n"/>
      <c r="P22" s="64" t="n"/>
      <c r="Q22" s="64" t="n"/>
      <c r="R22" s="64" t="n"/>
      <c r="T22" s="78" t="inlineStr">
        <is>
          <t>41x52</t>
        </is>
      </c>
      <c r="X22" s="78" t="inlineStr">
        <is>
          <t>Br</t>
        </is>
      </c>
      <c r="AA22" s="78" t="inlineStr">
        <is>
          <t>h/E</t>
        </is>
      </c>
      <c r="AG22" s="78" t="inlineStr">
        <is>
          <t>Pa</t>
        </is>
      </c>
      <c r="AP22" s="78" t="inlineStr">
        <is>
          <t>x</t>
        </is>
      </c>
      <c r="AU22" s="78" t="n">
        <v>110</v>
      </c>
      <c r="BA22" s="80" t="inlineStr">
        <is>
          <t>ja vor</t>
        </is>
      </c>
      <c r="BB22" s="73">
        <f>#REF!+#REF!</f>
        <v/>
      </c>
      <c r="BH22" s="78" t="inlineStr">
        <is>
          <t>x sauer</t>
        </is>
      </c>
      <c r="BI22" s="78" t="inlineStr">
        <is>
          <t>x</t>
        </is>
      </c>
      <c r="BJ22" s="110" t="inlineStr">
        <is>
          <t>Mappe anfertigen</t>
        </is>
      </c>
      <c r="BM22" s="75" t="inlineStr">
        <is>
          <t>x</t>
        </is>
      </c>
      <c r="BN22" s="75" t="inlineStr">
        <is>
          <t>x</t>
        </is>
      </c>
    </row>
    <row r="23">
      <c r="A23" s="64" t="n">
        <v>22</v>
      </c>
      <c r="B23" s="64" t="inlineStr">
        <is>
          <t>L-1772-157568458</t>
        </is>
      </c>
      <c r="C23" s="64" t="n">
        <v>994693214</v>
      </c>
      <c r="D23" s="66">
        <f>HYPERLINK(CONCATENATE("https://portal.dnb.de/opac.htm?method=simpleSearch&amp;cqlMode=true&amp;query=idn%3D",C23))</f>
        <v/>
      </c>
      <c r="E23" s="64" t="inlineStr">
        <is>
          <t>Bö B I 351a/2°</t>
        </is>
      </c>
      <c r="F23" s="64" t="inlineStr">
        <is>
          <t>X</t>
        </is>
      </c>
      <c r="G23" s="111" t="inlineStr">
        <is>
          <t>Halbpergamentband</t>
        </is>
      </c>
      <c r="H23" s="108" t="inlineStr">
        <is>
          <t>&gt; 42 cm</t>
        </is>
      </c>
      <c r="I23" s="111" t="inlineStr">
        <is>
          <t>180°</t>
        </is>
      </c>
      <c r="J23" s="111" t="n"/>
      <c r="K23" s="64" t="n"/>
      <c r="L23" s="64" t="n"/>
      <c r="M23" s="64" t="n"/>
      <c r="N23" s="64" t="n">
        <v>1</v>
      </c>
      <c r="O23" s="64" t="n"/>
      <c r="P23" s="64" t="n"/>
      <c r="Q23" s="64" t="n"/>
      <c r="R23" s="64" t="n"/>
      <c r="T23" s="78" t="inlineStr">
        <is>
          <t>39x52</t>
        </is>
      </c>
      <c r="X23" s="78" t="inlineStr">
        <is>
          <t>HPg</t>
        </is>
      </c>
      <c r="AA23" s="78" t="inlineStr">
        <is>
          <t>h/E</t>
        </is>
      </c>
      <c r="AG23" s="78" t="inlineStr">
        <is>
          <t>Pa</t>
        </is>
      </c>
      <c r="AL23" s="78" t="inlineStr">
        <is>
          <t>x</t>
        </is>
      </c>
      <c r="AP23" s="78" t="inlineStr">
        <is>
          <t>x</t>
        </is>
      </c>
      <c r="AU23" s="78" t="n">
        <v>110</v>
      </c>
      <c r="BA23" s="80" t="inlineStr">
        <is>
          <t>n</t>
        </is>
      </c>
      <c r="BB23" s="73">
        <f>#REF!+#REF!</f>
        <v/>
      </c>
      <c r="BM23" s="75" t="inlineStr">
        <is>
          <t>x</t>
        </is>
      </c>
      <c r="BN23" s="75" t="inlineStr">
        <is>
          <t>x</t>
        </is>
      </c>
    </row>
    <row r="24" ht="33.75" customHeight="1" s="58">
      <c r="A24" s="64" t="n">
        <v>23</v>
      </c>
      <c r="B24" s="64" t="inlineStr">
        <is>
          <t>L-1772-157568520</t>
        </is>
      </c>
      <c r="C24" s="64" t="n">
        <v>994693214</v>
      </c>
      <c r="D24" s="66">
        <f>HYPERLINK(CONCATENATE("https://portal.dnb.de/opac.htm?method=simpleSearch&amp;cqlMode=true&amp;query=idn%3D",C24))</f>
        <v/>
      </c>
      <c r="E24" s="64" t="inlineStr">
        <is>
          <t>Bö B I 351b/2°</t>
        </is>
      </c>
      <c r="F24" s="64" t="inlineStr">
        <is>
          <t>X</t>
        </is>
      </c>
      <c r="G24" s="111" t="inlineStr">
        <is>
          <t>Halbledereinband</t>
        </is>
      </c>
      <c r="H24" s="108" t="inlineStr">
        <is>
          <t>&gt; 42 cm</t>
        </is>
      </c>
      <c r="I24" s="111" t="inlineStr">
        <is>
          <t>80° bis 110°, einseitig digitalisierbar?</t>
        </is>
      </c>
      <c r="J24" s="111" t="inlineStr">
        <is>
          <t>stark brüchiges Einbandmaterial</t>
        </is>
      </c>
      <c r="K24" s="64" t="n"/>
      <c r="L24" s="64" t="n"/>
      <c r="M24" s="64" t="n"/>
      <c r="N24" s="64" t="n">
        <v>1</v>
      </c>
      <c r="O24" s="64" t="n"/>
      <c r="P24" s="64" t="n"/>
      <c r="Q24" s="64" t="n"/>
      <c r="R24" s="64" t="n"/>
      <c r="T24" s="78" t="inlineStr">
        <is>
          <t>39x50</t>
        </is>
      </c>
      <c r="X24" s="78" t="inlineStr">
        <is>
          <t>HL</t>
        </is>
      </c>
      <c r="AA24" s="78" t="inlineStr">
        <is>
          <t>h/E</t>
        </is>
      </c>
      <c r="AC24" s="78" t="inlineStr">
        <is>
          <t>x</t>
        </is>
      </c>
      <c r="AG24" s="78" t="inlineStr">
        <is>
          <t>Pa</t>
        </is>
      </c>
      <c r="AP24" s="78" t="inlineStr">
        <is>
          <t>x</t>
        </is>
      </c>
      <c r="AU24" s="78" t="n">
        <v>110</v>
      </c>
      <c r="BA24" s="80" t="inlineStr">
        <is>
          <t>n</t>
        </is>
      </c>
      <c r="BB24" s="73">
        <f>#REF!+#REF!</f>
        <v/>
      </c>
      <c r="BI24" s="78" t="inlineStr">
        <is>
          <t>x</t>
        </is>
      </c>
      <c r="BJ24" s="110" t="inlineStr">
        <is>
          <t>mind. Umschlag wegen pudernden Leder</t>
        </is>
      </c>
      <c r="BL24" s="110" t="inlineStr">
        <is>
          <t>Umschlag (Leder pudert)</t>
        </is>
      </c>
      <c r="BM24" s="75" t="inlineStr">
        <is>
          <t>x</t>
        </is>
      </c>
      <c r="BN24" s="75" t="inlineStr">
        <is>
          <t>x</t>
        </is>
      </c>
    </row>
    <row r="25">
      <c r="A25" s="64" t="n">
        <v>24</v>
      </c>
      <c r="B25" s="64" t="inlineStr">
        <is>
          <t>L-1719-158797752</t>
        </is>
      </c>
      <c r="C25" s="64" t="n">
        <v>995118566</v>
      </c>
      <c r="D25" s="66">
        <f>HYPERLINK(CONCATENATE("https://portal.dnb.de/opac.htm?method=simpleSearch&amp;cqlMode=true&amp;query=idn%3D",C25))</f>
        <v/>
      </c>
      <c r="E25" s="64" t="inlineStr">
        <is>
          <t>Bö B I 352/2°</t>
        </is>
      </c>
      <c r="F25" s="64" t="inlineStr">
        <is>
          <t>X</t>
        </is>
      </c>
      <c r="G25" s="111" t="inlineStr">
        <is>
          <t>Gewebeeinband</t>
        </is>
      </c>
      <c r="H25" s="108" t="inlineStr">
        <is>
          <t>bis 42 cm</t>
        </is>
      </c>
      <c r="I25" s="111" t="inlineStr">
        <is>
          <t>80° bis 110°, einseitig digitalisierbar?</t>
        </is>
      </c>
      <c r="J25" s="111" t="inlineStr">
        <is>
          <t>Schrift bis in den Falz</t>
        </is>
      </c>
      <c r="K25" s="64" t="n"/>
      <c r="L25" s="64" t="n"/>
      <c r="M25" s="64" t="n"/>
      <c r="N25" s="64" t="n">
        <v>0</v>
      </c>
      <c r="O25" s="64" t="n"/>
      <c r="P25" s="64" t="n"/>
      <c r="Q25" s="64" t="n"/>
      <c r="R25" s="64" t="n"/>
      <c r="X25" s="78" t="inlineStr">
        <is>
          <t>HPg</t>
        </is>
      </c>
      <c r="AA25" s="78" t="inlineStr">
        <is>
          <t>h/E</t>
        </is>
      </c>
      <c r="AG25" s="78" t="inlineStr">
        <is>
          <t>Pa</t>
        </is>
      </c>
      <c r="AP25" s="78" t="inlineStr">
        <is>
          <t>x</t>
        </is>
      </c>
      <c r="AU25" s="78" t="n">
        <v>110</v>
      </c>
      <c r="BA25" s="80" t="inlineStr">
        <is>
          <t>n</t>
        </is>
      </c>
      <c r="BB25" s="73">
        <f>#REF!+#REF!</f>
        <v/>
      </c>
      <c r="BM25" s="75" t="inlineStr">
        <is>
          <t>x</t>
        </is>
      </c>
      <c r="BN25" s="75" t="inlineStr">
        <is>
          <t>x</t>
        </is>
      </c>
    </row>
    <row r="26">
      <c r="A26" s="64" t="n">
        <v>25</v>
      </c>
      <c r="B26" s="64" t="inlineStr">
        <is>
          <t>L-1797-162081979</t>
        </is>
      </c>
      <c r="C26" s="64" t="n">
        <v>996389113</v>
      </c>
      <c r="D26" s="66">
        <f>HYPERLINK(CONCATENATE("https://portal.dnb.de/opac.htm?method=simpleSearch&amp;cqlMode=true&amp;query=idn%3D",C26))</f>
        <v/>
      </c>
      <c r="E26" s="64" t="inlineStr">
        <is>
          <t>Bö B I 361/2°</t>
        </is>
      </c>
      <c r="F26" s="64" t="inlineStr">
        <is>
          <t>X</t>
        </is>
      </c>
      <c r="G26" s="111" t="inlineStr">
        <is>
          <t>Halbledereinband</t>
        </is>
      </c>
      <c r="H26" s="108" t="inlineStr">
        <is>
          <t>bis 42 cm</t>
        </is>
      </c>
      <c r="I26" s="111" t="inlineStr">
        <is>
          <t>80° bis 110°, einseitig digitalisierbar?</t>
        </is>
      </c>
      <c r="J26" s="111" t="n"/>
      <c r="K26" s="64" t="n"/>
      <c r="L26" s="64" t="n"/>
      <c r="M26" s="64" t="n"/>
      <c r="N26" s="64" t="n">
        <v>0</v>
      </c>
      <c r="O26" s="64" t="n"/>
      <c r="P26" s="64" t="n"/>
      <c r="Q26" s="64" t="n"/>
      <c r="R26" s="64" t="n"/>
      <c r="X26" s="78" t="inlineStr">
        <is>
          <t>HPg</t>
        </is>
      </c>
      <c r="AA26" s="78" t="inlineStr">
        <is>
          <t>h</t>
        </is>
      </c>
      <c r="AG26" s="78" t="inlineStr">
        <is>
          <t>Pa</t>
        </is>
      </c>
      <c r="AP26" s="78" t="inlineStr">
        <is>
          <t>x</t>
        </is>
      </c>
      <c r="AU26" s="78" t="n">
        <v>110</v>
      </c>
      <c r="BA26" s="80" t="inlineStr">
        <is>
          <t>n</t>
        </is>
      </c>
      <c r="BB26" s="73">
        <f>#REF!+#REF!</f>
        <v/>
      </c>
      <c r="BM26" s="75" t="inlineStr">
        <is>
          <t>x</t>
        </is>
      </c>
      <c r="BN26" s="75" t="inlineStr">
        <is>
          <t>x</t>
        </is>
      </c>
    </row>
    <row r="27">
      <c r="A27" s="64" t="n">
        <v>26</v>
      </c>
      <c r="B27" s="64" t="inlineStr">
        <is>
          <t>L-1820-163256233</t>
        </is>
      </c>
      <c r="C27" s="64" t="n">
        <v>997039345</v>
      </c>
      <c r="D27" s="66">
        <f>HYPERLINK(CONCATENATE("https://portal.dnb.de/opac.htm?method=simpleSearch&amp;cqlMode=true&amp;query=idn%3D",C27))</f>
        <v/>
      </c>
      <c r="E27" s="64" t="inlineStr">
        <is>
          <t>Bö B I 365/4° - 1</t>
        </is>
      </c>
      <c r="F27" s="64" t="inlineStr">
        <is>
          <t>X</t>
        </is>
      </c>
      <c r="G27" s="111" t="inlineStr">
        <is>
          <t>Halbgewebeband</t>
        </is>
      </c>
      <c r="H27" s="108" t="inlineStr">
        <is>
          <t>bis 35 cm</t>
        </is>
      </c>
      <c r="I27" s="111" t="inlineStr">
        <is>
          <t>80° bis 110°, einseitig digitalisierbar?</t>
        </is>
      </c>
      <c r="J27" s="111" t="inlineStr">
        <is>
          <t>hohler Rücken</t>
        </is>
      </c>
      <c r="K27" s="64" t="n"/>
      <c r="L27" s="64" t="n"/>
      <c r="M27" s="64" t="n"/>
      <c r="N27" s="64" t="n">
        <v>1</v>
      </c>
      <c r="O27" s="64" t="n"/>
      <c r="P27" s="64" t="n"/>
      <c r="Q27" s="64" t="n"/>
      <c r="R27" s="64" t="n"/>
      <c r="U27" s="78" t="inlineStr">
        <is>
          <t>QF (49x34)</t>
        </is>
      </c>
      <c r="X27" s="78" t="inlineStr">
        <is>
          <t>HL</t>
        </is>
      </c>
      <c r="Z27" s="78" t="inlineStr">
        <is>
          <t>x</t>
        </is>
      </c>
      <c r="AA27" s="78" t="inlineStr">
        <is>
          <t>h/E</t>
        </is>
      </c>
      <c r="AG27" s="78" t="inlineStr">
        <is>
          <t>Pa</t>
        </is>
      </c>
      <c r="AP27" s="78" t="inlineStr">
        <is>
          <t>x</t>
        </is>
      </c>
      <c r="AU27" s="78" t="n">
        <v>110</v>
      </c>
      <c r="BA27" s="80" t="inlineStr">
        <is>
          <t>n</t>
        </is>
      </c>
      <c r="BB27" s="73">
        <f>#REF!+#REF!</f>
        <v/>
      </c>
      <c r="BM27" s="75" t="inlineStr">
        <is>
          <t>x</t>
        </is>
      </c>
      <c r="BN27" s="75" t="inlineStr">
        <is>
          <t>x</t>
        </is>
      </c>
    </row>
    <row r="28">
      <c r="A28" s="64" t="n">
        <v>27</v>
      </c>
      <c r="B28" s="64" t="inlineStr">
        <is>
          <t>L-1820-163256357</t>
        </is>
      </c>
      <c r="C28" s="64" t="n">
        <v>997039469</v>
      </c>
      <c r="D28" s="66">
        <f>HYPERLINK(CONCATENATE("https://portal.dnb.de/opac.htm?method=simpleSearch&amp;cqlMode=true&amp;query=idn%3D",C28))</f>
        <v/>
      </c>
      <c r="E28" s="64" t="inlineStr">
        <is>
          <t>Bö B I 365/4° - 2 (angebunden)</t>
        </is>
      </c>
      <c r="F28" s="64" t="n"/>
      <c r="G28" s="111" t="n"/>
      <c r="H28" s="108" t="n"/>
      <c r="I28" s="111" t="n"/>
      <c r="J28" s="111" t="n"/>
      <c r="K28" s="64" t="n"/>
      <c r="L28" s="64" t="n"/>
      <c r="M28" s="64" t="n"/>
      <c r="N28" s="64" t="n"/>
      <c r="O28" s="64" t="n"/>
      <c r="P28" s="64" t="n"/>
      <c r="Q28" s="64" t="n"/>
      <c r="R28" s="64" t="n"/>
      <c r="BB28" s="73">
        <f>#REF!+#REF!</f>
        <v/>
      </c>
      <c r="BM28" s="75" t="inlineStr">
        <is>
          <t>x</t>
        </is>
      </c>
      <c r="BN28" s="75" t="inlineStr">
        <is>
          <t>x</t>
        </is>
      </c>
    </row>
    <row r="29">
      <c r="A29" s="64" t="n">
        <v>28</v>
      </c>
      <c r="B29" s="64" t="inlineStr">
        <is>
          <t>L-1820-163256535</t>
        </is>
      </c>
      <c r="C29" s="64" t="n">
        <v>997039620</v>
      </c>
      <c r="D29" s="66">
        <f>HYPERLINK(CONCATENATE("https://portal.dnb.de/opac.htm?method=simpleSearch&amp;cqlMode=true&amp;query=idn%3D",C29))</f>
        <v/>
      </c>
      <c r="E29" s="64" t="inlineStr">
        <is>
          <t>Bö B I 365/4° - 3 (angebunden)</t>
        </is>
      </c>
      <c r="F29" s="64" t="n"/>
      <c r="G29" s="111" t="n"/>
      <c r="H29" s="108" t="n"/>
      <c r="I29" s="111" t="n"/>
      <c r="J29" s="111" t="n"/>
      <c r="K29" s="64" t="n"/>
      <c r="L29" s="64" t="n"/>
      <c r="M29" s="64" t="n"/>
      <c r="N29" s="64" t="n"/>
      <c r="O29" s="64" t="n"/>
      <c r="P29" s="64" t="n"/>
      <c r="Q29" s="64" t="n"/>
      <c r="R29" s="64" t="n"/>
      <c r="BB29" s="73">
        <f>#REF!+#REF!</f>
        <v/>
      </c>
      <c r="BM29" s="75" t="inlineStr">
        <is>
          <t>x</t>
        </is>
      </c>
      <c r="BN29" s="75" t="inlineStr">
        <is>
          <t>x</t>
        </is>
      </c>
    </row>
    <row r="30">
      <c r="A30" s="64" t="n">
        <v>29</v>
      </c>
      <c r="B30" s="64" t="inlineStr">
        <is>
          <t>L-1798-16342294X</t>
        </is>
      </c>
      <c r="C30" s="64" t="n">
        <v>997140933</v>
      </c>
      <c r="D30" s="66">
        <f>HYPERLINK(CONCATENATE("https://portal.dnb.de/opac.htm?method=simpleSearch&amp;cqlMode=true&amp;query=idn%3D",C30))</f>
        <v/>
      </c>
      <c r="E30" s="64" t="inlineStr">
        <is>
          <t>Bö B I 368/4°</t>
        </is>
      </c>
      <c r="F30" s="64" t="inlineStr">
        <is>
          <t>X</t>
        </is>
      </c>
      <c r="G30" s="111" t="inlineStr">
        <is>
          <t>Halbledereinband</t>
        </is>
      </c>
      <c r="H30" s="108" t="inlineStr">
        <is>
          <t>bis 35 cm</t>
        </is>
      </c>
      <c r="I30" s="111" t="inlineStr">
        <is>
          <t>180°</t>
        </is>
      </c>
      <c r="J30" s="111" t="n"/>
      <c r="K30" s="64" t="n"/>
      <c r="L30" s="64" t="inlineStr">
        <is>
          <t xml:space="preserve">Papierumschlag </t>
        </is>
      </c>
      <c r="M30" s="64" t="inlineStr">
        <is>
          <t>Ja</t>
        </is>
      </c>
      <c r="N30" s="64" t="n">
        <v>2</v>
      </c>
      <c r="O30" s="64" t="n"/>
      <c r="P30" s="64" t="n"/>
      <c r="Q30" s="64" t="n"/>
      <c r="R30" s="64" t="n"/>
      <c r="U30" s="78" t="inlineStr">
        <is>
          <t>QF (44x28)</t>
        </is>
      </c>
      <c r="X30" s="78" t="inlineStr">
        <is>
          <t>HL</t>
        </is>
      </c>
      <c r="AA30" s="78" t="inlineStr">
        <is>
          <t>f</t>
        </is>
      </c>
      <c r="AG30" s="78" t="inlineStr">
        <is>
          <t>Pa</t>
        </is>
      </c>
      <c r="AP30" s="78" t="inlineStr">
        <is>
          <t>x</t>
        </is>
      </c>
      <c r="AU30" s="78" t="inlineStr">
        <is>
          <t>nur 110</t>
        </is>
      </c>
      <c r="BA30" s="80" t="inlineStr">
        <is>
          <t>ja vor</t>
        </is>
      </c>
      <c r="BB30" s="73">
        <f>#REF!+#REF!</f>
        <v/>
      </c>
      <c r="BH30" s="78" t="inlineStr">
        <is>
          <t>x sauer</t>
        </is>
      </c>
      <c r="BI30" s="78" t="inlineStr">
        <is>
          <t>x</t>
        </is>
      </c>
      <c r="BM30" s="75" t="inlineStr">
        <is>
          <t>x</t>
        </is>
      </c>
      <c r="BN30" s="75" t="inlineStr">
        <is>
          <t>x</t>
        </is>
      </c>
    </row>
    <row r="31">
      <c r="A31" s="64" t="n">
        <v>30</v>
      </c>
      <c r="B31" s="64" t="inlineStr">
        <is>
          <t>L-1798-163423059</t>
        </is>
      </c>
      <c r="C31" s="64" t="n">
        <v>997141042</v>
      </c>
      <c r="D31" s="66">
        <f>HYPERLINK(CONCATENATE("https://portal.dnb.de/opac.htm?method=simpleSearch&amp;cqlMode=true&amp;query=idn%3D",C31))</f>
        <v/>
      </c>
      <c r="E31" s="64" t="inlineStr">
        <is>
          <t>Bö B I 368/4°</t>
        </is>
      </c>
      <c r="F31" s="64" t="n"/>
      <c r="G31" s="111" t="n"/>
      <c r="H31" s="108" t="n"/>
      <c r="I31" s="111" t="n"/>
      <c r="J31" s="111" t="n"/>
      <c r="K31" s="64" t="n"/>
      <c r="L31" s="64" t="n"/>
      <c r="M31" s="64" t="n"/>
      <c r="N31" s="64" t="n"/>
      <c r="O31" s="64" t="n"/>
      <c r="P31" s="64" t="n"/>
      <c r="Q31" s="64" t="n"/>
      <c r="R31" s="64" t="n"/>
      <c r="BB31" s="73">
        <f>#REF!+#REF!</f>
        <v/>
      </c>
      <c r="BM31" s="75" t="inlineStr">
        <is>
          <t>x</t>
        </is>
      </c>
      <c r="BN31" s="75" t="inlineStr">
        <is>
          <t>x</t>
        </is>
      </c>
    </row>
    <row r="32">
      <c r="A32" s="64" t="n">
        <v>31</v>
      </c>
      <c r="B32" s="64" t="inlineStr">
        <is>
          <t>L-1798-163423180</t>
        </is>
      </c>
      <c r="C32" s="64" t="n">
        <v>997141115</v>
      </c>
      <c r="D32" s="66">
        <f>HYPERLINK(CONCATENATE("https://portal.dnb.de/opac.htm?method=simpleSearch&amp;cqlMode=true&amp;query=idn%3D",C32))</f>
        <v/>
      </c>
      <c r="E32" s="64" t="inlineStr">
        <is>
          <t>Bö B I 368/4°</t>
        </is>
      </c>
      <c r="F32" s="64" t="n"/>
      <c r="G32" s="111" t="n"/>
      <c r="H32" s="108" t="n"/>
      <c r="I32" s="111" t="n"/>
      <c r="J32" s="111" t="n"/>
      <c r="K32" s="64" t="n"/>
      <c r="L32" s="64" t="n"/>
      <c r="M32" s="64" t="n"/>
      <c r="N32" s="64" t="n"/>
      <c r="O32" s="64" t="n"/>
      <c r="P32" s="64" t="n"/>
      <c r="Q32" s="64" t="n"/>
      <c r="R32" s="64" t="n"/>
      <c r="BB32" s="73">
        <f>#REF!+#REF!</f>
        <v/>
      </c>
      <c r="BM32" s="75" t="inlineStr">
        <is>
          <t>x</t>
        </is>
      </c>
      <c r="BN32" s="75" t="inlineStr">
        <is>
          <t>x</t>
        </is>
      </c>
    </row>
    <row r="33">
      <c r="A33" s="64" t="n">
        <v>32</v>
      </c>
      <c r="B33" s="64" t="inlineStr">
        <is>
          <t>L-1799-163423369</t>
        </is>
      </c>
      <c r="C33" s="64" t="n">
        <v>997141247</v>
      </c>
      <c r="D33" s="66">
        <f>HYPERLINK(CONCATENATE("https://portal.dnb.de/opac.htm?method=simpleSearch&amp;cqlMode=true&amp;query=idn%3D",C33))</f>
        <v/>
      </c>
      <c r="E33" s="64" t="inlineStr">
        <is>
          <t>Bö B I 368/4°</t>
        </is>
      </c>
      <c r="F33" s="64" t="n"/>
      <c r="G33" s="111" t="n"/>
      <c r="H33" s="108" t="n"/>
      <c r="I33" s="111" t="n"/>
      <c r="J33" s="111" t="n"/>
      <c r="K33" s="64" t="n"/>
      <c r="L33" s="64" t="n"/>
      <c r="M33" s="64" t="n"/>
      <c r="N33" s="64" t="n"/>
      <c r="O33" s="64" t="n"/>
      <c r="P33" s="64" t="n"/>
      <c r="Q33" s="64" t="n"/>
      <c r="R33" s="64" t="n"/>
      <c r="BB33" s="73">
        <f>#REF!+#REF!</f>
        <v/>
      </c>
      <c r="BM33" s="75" t="inlineStr">
        <is>
          <t>x</t>
        </is>
      </c>
      <c r="BN33" s="75" t="inlineStr">
        <is>
          <t>x</t>
        </is>
      </c>
    </row>
    <row r="34">
      <c r="A34" s="64" t="n">
        <v>33</v>
      </c>
      <c r="B34" s="64" t="inlineStr">
        <is>
          <t>L-1799-163423520</t>
        </is>
      </c>
      <c r="C34" s="64" t="n">
        <v>997141360</v>
      </c>
      <c r="D34" s="66">
        <f>HYPERLINK(CONCATENATE("https://portal.dnb.de/opac.htm?method=simpleSearch&amp;cqlMode=true&amp;query=idn%3D",C34))</f>
        <v/>
      </c>
      <c r="E34" s="64" t="inlineStr">
        <is>
          <t>Bö B I 368/4°</t>
        </is>
      </c>
      <c r="F34" s="64" t="n"/>
      <c r="G34" s="111" t="n"/>
      <c r="H34" s="108" t="n"/>
      <c r="I34" s="111" t="n"/>
      <c r="J34" s="111" t="n"/>
      <c r="K34" s="64" t="n"/>
      <c r="L34" s="64" t="n"/>
      <c r="M34" s="64" t="n"/>
      <c r="N34" s="64" t="n"/>
      <c r="O34" s="64" t="n"/>
      <c r="P34" s="64" t="n"/>
      <c r="Q34" s="64" t="n"/>
      <c r="R34" s="64" t="n"/>
      <c r="BB34" s="73">
        <f>#REF!+#REF!</f>
        <v/>
      </c>
      <c r="BM34" s="75" t="inlineStr">
        <is>
          <t>x</t>
        </is>
      </c>
      <c r="BN34" s="75" t="inlineStr">
        <is>
          <t>x</t>
        </is>
      </c>
    </row>
    <row r="35">
      <c r="A35" s="64" t="n">
        <v>34</v>
      </c>
      <c r="B35" s="64" t="inlineStr">
        <is>
          <t>L-1799-163423601</t>
        </is>
      </c>
      <c r="C35" s="64" t="n">
        <v>997141425</v>
      </c>
      <c r="D35" s="66">
        <f>HYPERLINK(CONCATENATE("https://portal.dnb.de/opac.htm?method=simpleSearch&amp;cqlMode=true&amp;query=idn%3D",C35))</f>
        <v/>
      </c>
      <c r="E35" s="64" t="inlineStr">
        <is>
          <t>Bö B I 368/4°</t>
        </is>
      </c>
      <c r="F35" s="64" t="n"/>
      <c r="G35" s="111" t="n"/>
      <c r="H35" s="108" t="n"/>
      <c r="I35" s="111" t="n"/>
      <c r="J35" s="111" t="n"/>
      <c r="K35" s="64" t="n"/>
      <c r="L35" s="64" t="n"/>
      <c r="M35" s="64" t="n"/>
      <c r="N35" s="64" t="n"/>
      <c r="O35" s="64" t="n"/>
      <c r="P35" s="64" t="n"/>
      <c r="Q35" s="64" t="n"/>
      <c r="R35" s="64" t="n"/>
      <c r="BB35" s="73">
        <f>#REF!+#REF!</f>
        <v/>
      </c>
      <c r="BM35" s="75" t="inlineStr">
        <is>
          <t>x</t>
        </is>
      </c>
      <c r="BN35" s="75" t="inlineStr">
        <is>
          <t>x</t>
        </is>
      </c>
    </row>
    <row r="36">
      <c r="A36" s="64" t="n">
        <v>35</v>
      </c>
      <c r="B36" s="64" t="inlineStr">
        <is>
          <t>L-1820-163537127</t>
        </is>
      </c>
      <c r="C36" s="64" t="n">
        <v>997241047</v>
      </c>
      <c r="D36" s="66">
        <f>HYPERLINK(CONCATENATE("https://portal.dnb.de/opac.htm?method=simpleSearch&amp;cqlMode=true&amp;query=idn%3D",C36))</f>
        <v/>
      </c>
      <c r="E36" s="64" t="inlineStr">
        <is>
          <t>Bö B I 371</t>
        </is>
      </c>
      <c r="F36" s="64" t="inlineStr">
        <is>
          <t>X</t>
        </is>
      </c>
      <c r="G36" s="111" t="inlineStr">
        <is>
          <t>Papier- oder Pappeinband</t>
        </is>
      </c>
      <c r="H36" s="108" t="inlineStr">
        <is>
          <t>bis 25 cm</t>
        </is>
      </c>
      <c r="I36" s="111" t="inlineStr">
        <is>
          <t>180°</t>
        </is>
      </c>
      <c r="J36" s="111" t="n"/>
      <c r="K36" s="64" t="n"/>
      <c r="L36" s="64" t="inlineStr">
        <is>
          <t>Archivkarton</t>
        </is>
      </c>
      <c r="M36" s="64" t="inlineStr">
        <is>
          <t>Nein</t>
        </is>
      </c>
      <c r="N36" s="64" t="n">
        <v>2</v>
      </c>
      <c r="O36" s="64" t="n"/>
      <c r="P36" s="64" t="n"/>
      <c r="Q36" s="64" t="n"/>
      <c r="R36" s="64" t="n"/>
      <c r="BB36" s="73">
        <f>#REF!+#REF!</f>
        <v/>
      </c>
      <c r="BM36" s="75" t="inlineStr">
        <is>
          <t>x</t>
        </is>
      </c>
      <c r="BN36" s="75" t="inlineStr">
        <is>
          <t>x</t>
        </is>
      </c>
    </row>
    <row r="37" ht="22.5" customHeight="1" s="58">
      <c r="A37" s="64" t="n">
        <v>36</v>
      </c>
      <c r="B37" s="64" t="inlineStr">
        <is>
          <t>L-1830-166610070</t>
        </is>
      </c>
      <c r="C37" s="64" t="n">
        <v>998631450</v>
      </c>
      <c r="D37" s="66">
        <f>HYPERLINK(CONCATENATE("https://portal.dnb.de/opac.htm?method=simpleSearch&amp;cqlMode=true&amp;query=idn%3D",C37))</f>
        <v/>
      </c>
      <c r="E37" s="64" t="inlineStr">
        <is>
          <t>Bö B I 388</t>
        </is>
      </c>
      <c r="F37" s="64" t="inlineStr">
        <is>
          <t>X</t>
        </is>
      </c>
      <c r="G37" s="111" t="inlineStr">
        <is>
          <t>Halbledereinband</t>
        </is>
      </c>
      <c r="H37" s="108" t="inlineStr">
        <is>
          <t>bis 25 cm</t>
        </is>
      </c>
      <c r="I37" s="111" t="inlineStr">
        <is>
          <t>80° bis 110°, einseitig digitalisierbar?</t>
        </is>
      </c>
      <c r="J37" s="111" t="inlineStr">
        <is>
          <t>hohler Rücken, stark brüchiges Einbandmaterial</t>
        </is>
      </c>
      <c r="K37" s="64" t="n"/>
      <c r="L37" s="64" t="n"/>
      <c r="M37" s="64" t="n"/>
      <c r="N37" s="64" t="n">
        <v>1</v>
      </c>
      <c r="O37" s="64" t="n"/>
      <c r="P37" s="64" t="n"/>
      <c r="Q37" s="64" t="n"/>
      <c r="R37" s="64" t="n"/>
      <c r="U37" s="78" t="inlineStr">
        <is>
          <t>QF (44x16)</t>
        </is>
      </c>
      <c r="X37" s="78" t="inlineStr">
        <is>
          <t>HL</t>
        </is>
      </c>
      <c r="AA37" s="78" t="inlineStr">
        <is>
          <t>h/E</t>
        </is>
      </c>
      <c r="AG37" s="78" t="inlineStr">
        <is>
          <t>Pa</t>
        </is>
      </c>
      <c r="AP37" s="78" t="inlineStr">
        <is>
          <t>x</t>
        </is>
      </c>
      <c r="AU37" s="78" t="n">
        <v>110</v>
      </c>
      <c r="BA37" s="80" t="inlineStr">
        <is>
          <t>n</t>
        </is>
      </c>
      <c r="BB37" s="73">
        <f>#REF!+#REF!</f>
        <v/>
      </c>
      <c r="BM37" s="75" t="inlineStr">
        <is>
          <t>x</t>
        </is>
      </c>
      <c r="BN37" s="75" t="inlineStr">
        <is>
          <t>x</t>
        </is>
      </c>
    </row>
    <row r="38">
      <c r="A38" s="64" t="n">
        <v>38</v>
      </c>
      <c r="B38" s="64" t="inlineStr">
        <is>
          <t>L-1752-166480266</t>
        </is>
      </c>
      <c r="C38" s="64" t="n">
        <v>998553425</v>
      </c>
      <c r="D38" s="66">
        <f>HYPERLINK(CONCATENATE("https://portal.dnb.de/opac.htm?method=simpleSearch&amp;cqlMode=true&amp;query=idn%3D",C38))</f>
        <v/>
      </c>
      <c r="E38" s="64" t="inlineStr">
        <is>
          <t>Bö B I 390</t>
        </is>
      </c>
      <c r="F38" s="64" t="n"/>
      <c r="G38" s="111" t="n"/>
      <c r="H38" s="108" t="n"/>
      <c r="I38" s="111" t="n"/>
      <c r="J38" s="111" t="n"/>
      <c r="K38" s="64" t="n"/>
      <c r="L38" s="64" t="n"/>
      <c r="M38" s="64" t="n"/>
      <c r="N38" s="64" t="n"/>
      <c r="O38" s="64" t="n"/>
      <c r="P38" s="64" t="n"/>
      <c r="Q38" s="64" t="n"/>
      <c r="R38" s="64" t="n"/>
      <c r="BB38" s="73">
        <f>#REF!+#REF!</f>
        <v/>
      </c>
      <c r="BM38" s="75" t="inlineStr">
        <is>
          <t>x</t>
        </is>
      </c>
      <c r="BN38" s="75" t="inlineStr">
        <is>
          <t>x</t>
        </is>
      </c>
    </row>
    <row r="39">
      <c r="A39" s="64" t="n">
        <v>40</v>
      </c>
      <c r="B39" s="64" t="inlineStr">
        <is>
          <t>L-1775-16770382X</t>
        </is>
      </c>
      <c r="C39" s="64" t="n">
        <v>999198246</v>
      </c>
      <c r="D39" s="66">
        <f>HYPERLINK(CONCATENATE("https://portal.dnb.de/opac.htm?method=simpleSearch&amp;cqlMode=true&amp;query=idn%3D",C39))</f>
        <v/>
      </c>
      <c r="E39" s="64" t="inlineStr">
        <is>
          <t>Bö B I 397</t>
        </is>
      </c>
      <c r="F39" s="64" t="inlineStr">
        <is>
          <t>X</t>
        </is>
      </c>
      <c r="G39" s="111" t="inlineStr">
        <is>
          <t>Papier- oder Pappeinband</t>
        </is>
      </c>
      <c r="H39" s="108" t="inlineStr">
        <is>
          <t>bis 25 cm</t>
        </is>
      </c>
      <c r="I39" s="111" t="inlineStr">
        <is>
          <t>180°</t>
        </is>
      </c>
      <c r="J39" s="111" t="inlineStr">
        <is>
          <t>hohler Rücken</t>
        </is>
      </c>
      <c r="K39" s="64" t="n"/>
      <c r="L39" s="64" t="inlineStr">
        <is>
          <t>Archivkarton</t>
        </is>
      </c>
      <c r="M39" s="64" t="inlineStr">
        <is>
          <t>Nein</t>
        </is>
      </c>
      <c r="N39" s="64" t="n">
        <v>0</v>
      </c>
      <c r="O39" s="64" t="n"/>
      <c r="P39" s="64" t="inlineStr">
        <is>
          <t>Papierumschlag muss erneuert werden</t>
        </is>
      </c>
      <c r="Q39" s="64" t="n"/>
      <c r="R39" s="64" t="n"/>
      <c r="BB39" s="73">
        <f>#REF!+#REF!</f>
        <v/>
      </c>
      <c r="BM39" s="75" t="inlineStr">
        <is>
          <t>x</t>
        </is>
      </c>
      <c r="BN39" s="75" t="inlineStr">
        <is>
          <t>x</t>
        </is>
      </c>
    </row>
    <row r="40">
      <c r="A40" s="64" t="n">
        <v>41</v>
      </c>
      <c r="B40" s="64" t="inlineStr">
        <is>
          <t>L-1800-168292319</t>
        </is>
      </c>
      <c r="C40" s="64" t="n">
        <v>999398075</v>
      </c>
      <c r="D40" s="66">
        <f>HYPERLINK(CONCATENATE("https://portal.dnb.de/opac.htm?method=simpleSearch&amp;cqlMode=true&amp;query=idn%3D",C40))</f>
        <v/>
      </c>
      <c r="E40" s="64" t="inlineStr">
        <is>
          <t>Bö B I 405/2°</t>
        </is>
      </c>
      <c r="F40" s="64" t="inlineStr">
        <is>
          <t>X</t>
        </is>
      </c>
      <c r="G40" s="111" t="inlineStr">
        <is>
          <t>Halbledereinband</t>
        </is>
      </c>
      <c r="H40" s="108" t="inlineStr">
        <is>
          <t>bis 42 cm</t>
        </is>
      </c>
      <c r="I40" s="111" t="inlineStr">
        <is>
          <t>80° bis 110°, einseitig digitalisierbar?</t>
        </is>
      </c>
      <c r="J40" s="111" t="n"/>
      <c r="K40" s="64" t="n"/>
      <c r="L40" s="64" t="n"/>
      <c r="M40" s="64" t="n"/>
      <c r="N40" s="64" t="n">
        <v>1</v>
      </c>
      <c r="O40" s="64" t="n"/>
      <c r="P40" s="64" t="n"/>
      <c r="Q40" s="64" t="n"/>
      <c r="R40" s="64" t="n"/>
      <c r="X40" s="78" t="inlineStr">
        <is>
          <t>HPg</t>
        </is>
      </c>
      <c r="AA40" s="78" t="inlineStr">
        <is>
          <t>h</t>
        </is>
      </c>
      <c r="AG40" s="78" t="inlineStr">
        <is>
          <t>Pa</t>
        </is>
      </c>
      <c r="AP40" s="78" t="inlineStr">
        <is>
          <t>x</t>
        </is>
      </c>
      <c r="AU40" s="78" t="n">
        <v>110</v>
      </c>
      <c r="BA40" s="80" t="inlineStr">
        <is>
          <t>n</t>
        </is>
      </c>
      <c r="BB40" s="73">
        <f>#REF!+#REF!</f>
        <v/>
      </c>
      <c r="BM40" s="75" t="inlineStr">
        <is>
          <t>x</t>
        </is>
      </c>
      <c r="BN40" s="75" t="inlineStr">
        <is>
          <t>x</t>
        </is>
      </c>
    </row>
    <row r="41">
      <c r="A41" s="64" t="n"/>
      <c r="B41" s="64" t="inlineStr">
        <is>
          <t>L-1601-168582546</t>
        </is>
      </c>
      <c r="C41" s="64" t="inlineStr">
        <is>
          <t>999590898</t>
        </is>
      </c>
      <c r="D41" s="66" t="n"/>
      <c r="E41" s="64" t="inlineStr">
        <is>
          <t>Bö B I 408</t>
        </is>
      </c>
      <c r="F41" s="64" t="n"/>
      <c r="G41" s="111" t="n"/>
      <c r="H41" s="108" t="n"/>
      <c r="I41" s="111" t="n"/>
      <c r="J41" s="111" t="n"/>
      <c r="K41" s="64" t="n"/>
      <c r="L41" s="64" t="n"/>
      <c r="M41" s="64" t="n"/>
      <c r="N41" s="64" t="n"/>
      <c r="O41" s="64" t="n"/>
      <c r="P41" s="64" t="n"/>
      <c r="Q41" s="64" t="n"/>
      <c r="R41" s="64" t="n"/>
      <c r="BB41" s="73">
        <f>#REF!+#REF!</f>
        <v/>
      </c>
      <c r="BM41" s="75" t="inlineStr">
        <is>
          <t>x</t>
        </is>
      </c>
      <c r="BN41" s="75" t="inlineStr">
        <is>
          <t>x</t>
        </is>
      </c>
    </row>
    <row r="42" ht="22.5" customHeight="1" s="58">
      <c r="A42" s="64" t="n">
        <v>42</v>
      </c>
      <c r="B42" s="64" t="inlineStr">
        <is>
          <t>L-1601-168582988</t>
        </is>
      </c>
      <c r="C42" s="64" t="n">
        <v>999591398</v>
      </c>
      <c r="D42" s="66">
        <f>HYPERLINK(CONCATENATE("https://portal.dnb.de/opac.htm?method=simpleSearch&amp;cqlMode=true&amp;query=idn%3D",C42))</f>
        <v/>
      </c>
      <c r="E42" s="64" t="inlineStr">
        <is>
          <t>Bö B I 408</t>
        </is>
      </c>
      <c r="F42" s="64" t="inlineStr">
        <is>
          <t>X</t>
        </is>
      </c>
      <c r="G42" s="111" t="inlineStr">
        <is>
          <t>Ledereinband</t>
        </is>
      </c>
      <c r="H42" s="108" t="inlineStr">
        <is>
          <t>bis 25 cm</t>
        </is>
      </c>
      <c r="I42" s="111" t="inlineStr">
        <is>
          <t>80° bis 110°, einseitig digitalisierbar?</t>
        </is>
      </c>
      <c r="J42" s="111" t="inlineStr">
        <is>
          <t>gefaltete Blätter</t>
        </is>
      </c>
      <c r="K42" s="64" t="n"/>
      <c r="L42" s="64" t="inlineStr">
        <is>
          <t>Kassette</t>
        </is>
      </c>
      <c r="M42" s="64" t="inlineStr">
        <is>
          <t>Nein</t>
        </is>
      </c>
      <c r="N42" s="64" t="n">
        <v>0</v>
      </c>
      <c r="O42" s="64" t="n"/>
      <c r="P42" s="64" t="n"/>
      <c r="Q42" s="64" t="n"/>
      <c r="R42" s="64" t="n"/>
      <c r="X42" s="78" t="inlineStr">
        <is>
          <t>L</t>
        </is>
      </c>
      <c r="Z42" s="78" t="inlineStr">
        <is>
          <t>x</t>
        </is>
      </c>
      <c r="AA42" s="78" t="inlineStr">
        <is>
          <t>f</t>
        </is>
      </c>
      <c r="AG42" s="78" t="inlineStr">
        <is>
          <t>Pa</t>
        </is>
      </c>
      <c r="AN42" s="78" t="inlineStr">
        <is>
          <t>x</t>
        </is>
      </c>
      <c r="AO42" s="80" t="inlineStr">
        <is>
          <t>B: 17x21
F: 25x36</t>
        </is>
      </c>
      <c r="AP42" s="78" t="inlineStr">
        <is>
          <t>x</t>
        </is>
      </c>
      <c r="AR42" s="78" t="inlineStr">
        <is>
          <t>x</t>
        </is>
      </c>
      <c r="AU42" s="78" t="n">
        <v>110</v>
      </c>
      <c r="AZ42" s="78" t="inlineStr">
        <is>
          <t>x</t>
        </is>
      </c>
      <c r="BA42" s="80" t="inlineStr">
        <is>
          <t>n</t>
        </is>
      </c>
      <c r="BB42" s="73">
        <f>#REF!+#REF!</f>
        <v/>
      </c>
      <c r="BD42" s="78" t="inlineStr">
        <is>
          <t>Wellpappe</t>
        </is>
      </c>
      <c r="BM42" s="75" t="inlineStr">
        <is>
          <t>x</t>
        </is>
      </c>
      <c r="BN42" s="75" t="inlineStr">
        <is>
          <t>x</t>
        </is>
      </c>
    </row>
    <row r="43">
      <c r="A43" s="64" t="n">
        <v>43</v>
      </c>
      <c r="B43" s="64" t="inlineStr">
        <is>
          <t>L-1766-169081966</t>
        </is>
      </c>
      <c r="C43" s="64" t="inlineStr">
        <is>
          <t>99974187X</t>
        </is>
      </c>
      <c r="D43" s="66">
        <f>HYPERLINK(CONCATENATE("https://portal.dnb.de/opac.htm?method=simpleSearch&amp;cqlMode=true&amp;query=idn%3D",C43))</f>
        <v/>
      </c>
      <c r="E43" s="64" t="inlineStr">
        <is>
          <t>Bö B I 411</t>
        </is>
      </c>
      <c r="F43" s="64" t="inlineStr">
        <is>
          <t>X</t>
        </is>
      </c>
      <c r="G43" s="111" t="inlineStr">
        <is>
          <t>Ledereinband</t>
        </is>
      </c>
      <c r="H43" s="108" t="inlineStr">
        <is>
          <t>bis 35 cm</t>
        </is>
      </c>
      <c r="I43" s="111" t="inlineStr">
        <is>
          <t>180°</t>
        </is>
      </c>
      <c r="J43" s="111" t="inlineStr">
        <is>
          <t>hohler Rücken</t>
        </is>
      </c>
      <c r="K43" s="64" t="n"/>
      <c r="L43" s="64" t="inlineStr">
        <is>
          <t>Archivkarton</t>
        </is>
      </c>
      <c r="M43" s="64" t="inlineStr">
        <is>
          <t>Nein</t>
        </is>
      </c>
      <c r="N43" s="64" t="n">
        <v>0</v>
      </c>
      <c r="O43" s="64" t="n"/>
      <c r="P43" s="64" t="n"/>
      <c r="Q43" s="64" t="n"/>
      <c r="R43" s="64" t="n"/>
      <c r="BB43" s="73">
        <f>#REF!+#REF!</f>
        <v/>
      </c>
      <c r="BM43" s="75" t="inlineStr">
        <is>
          <t>x</t>
        </is>
      </c>
      <c r="BN43" s="75" t="inlineStr">
        <is>
          <t>x</t>
        </is>
      </c>
    </row>
    <row r="44">
      <c r="A44" s="64" t="n">
        <v>44</v>
      </c>
      <c r="B44" s="64" t="inlineStr">
        <is>
          <t>L-1765-169505510</t>
        </is>
      </c>
      <c r="C44" s="64" t="n">
        <v>999823469</v>
      </c>
      <c r="D44" s="66">
        <f>HYPERLINK(CONCATENATE("https://portal.dnb.de/opac.htm?method=simpleSearch&amp;cqlMode=true&amp;query=idn%3D",C44))</f>
        <v/>
      </c>
      <c r="E44" s="64" t="inlineStr">
        <is>
          <t>Bö B I 413/2°</t>
        </is>
      </c>
      <c r="F44" s="64" t="inlineStr">
        <is>
          <t>X</t>
        </is>
      </c>
      <c r="G44" s="111" t="inlineStr">
        <is>
          <t>Halbgewebeband</t>
        </is>
      </c>
      <c r="H44" s="108" t="inlineStr">
        <is>
          <t>bis 42 cm</t>
        </is>
      </c>
      <c r="I44" s="111" t="inlineStr">
        <is>
          <t>80° bis 110°, einseitig digitalisierbar?</t>
        </is>
      </c>
      <c r="J44" s="111" t="n"/>
      <c r="K44" s="64" t="n"/>
      <c r="L44" s="64" t="n"/>
      <c r="M44" s="64" t="n"/>
      <c r="N44" s="64" t="n">
        <v>0</v>
      </c>
      <c r="O44" s="64" t="n"/>
      <c r="P44" s="64" t="n"/>
      <c r="Q44" s="64" t="n"/>
      <c r="R44" s="64" t="n"/>
      <c r="BB44" s="73">
        <f>#REF!+#REF!</f>
        <v/>
      </c>
      <c r="BM44" s="75" t="inlineStr">
        <is>
          <t>x</t>
        </is>
      </c>
      <c r="BN44" s="75" t="inlineStr">
        <is>
          <t>x</t>
        </is>
      </c>
    </row>
    <row r="45">
      <c r="A45" s="64" t="n">
        <v>45</v>
      </c>
      <c r="B45" s="64" t="inlineStr">
        <is>
          <t>L-1540-169508250</t>
        </is>
      </c>
      <c r="C45" s="64" t="n">
        <v>999826239</v>
      </c>
      <c r="D45" s="66">
        <f>HYPERLINK(CONCATENATE("https://portal.dnb.de/opac.htm?method=simpleSearch&amp;cqlMode=true&amp;query=idn%3D",C45))</f>
        <v/>
      </c>
      <c r="E45" s="64" t="inlineStr">
        <is>
          <t>Bö B I 415</t>
        </is>
      </c>
      <c r="F45" s="64" t="inlineStr">
        <is>
          <t>X</t>
        </is>
      </c>
      <c r="G45" s="111" t="inlineStr">
        <is>
          <t>Papier- oder Pappeinband</t>
        </is>
      </c>
      <c r="H45" s="108" t="inlineStr">
        <is>
          <t>bis 25 cm</t>
        </is>
      </c>
      <c r="I45" s="111" t="inlineStr">
        <is>
          <t>180°</t>
        </is>
      </c>
      <c r="J45" s="111" t="inlineStr">
        <is>
          <t>hohler Rücken</t>
        </is>
      </c>
      <c r="K45" s="64" t="n"/>
      <c r="L45" s="64" t="inlineStr">
        <is>
          <t>Archivkarton</t>
        </is>
      </c>
      <c r="M45" s="64" t="inlineStr">
        <is>
          <t>Nein</t>
        </is>
      </c>
      <c r="N45" s="64" t="n">
        <v>0</v>
      </c>
      <c r="O45" s="64" t="n"/>
      <c r="P45" s="64" t="n"/>
      <c r="Q45" s="64" t="n"/>
      <c r="R45" s="64" t="n"/>
      <c r="BB45" s="73">
        <f>#REF!+#REF!</f>
        <v/>
      </c>
      <c r="BM45" s="75" t="inlineStr">
        <is>
          <t>x</t>
        </is>
      </c>
      <c r="BN45" s="75" t="inlineStr">
        <is>
          <t>x</t>
        </is>
      </c>
    </row>
    <row r="46">
      <c r="A46" s="64" t="n">
        <v>46</v>
      </c>
      <c r="B46" s="64" t="inlineStr">
        <is>
          <t>L-1545-169509362</t>
        </is>
      </c>
      <c r="C46" s="64" t="n">
        <v>999827464</v>
      </c>
      <c r="D46" s="66">
        <f>HYPERLINK(CONCATENATE("https://portal.dnb.de/opac.htm?method=simpleSearch&amp;cqlMode=true&amp;query=idn%3D",C46))</f>
        <v/>
      </c>
      <c r="E46" s="64" t="inlineStr">
        <is>
          <t>Bö B I 417</t>
        </is>
      </c>
      <c r="F46" s="64" t="inlineStr">
        <is>
          <t>X</t>
        </is>
      </c>
      <c r="G46" s="111" t="inlineStr">
        <is>
          <t>Halbpergamentband</t>
        </is>
      </c>
      <c r="H46" s="108" t="inlineStr">
        <is>
          <t>bis 25 cm</t>
        </is>
      </c>
      <c r="I46" s="111" t="inlineStr">
        <is>
          <t>180°</t>
        </is>
      </c>
      <c r="J46" s="111" t="inlineStr">
        <is>
          <t>hohler Rücken</t>
        </is>
      </c>
      <c r="K46" s="64" t="n"/>
      <c r="L46" s="64" t="inlineStr">
        <is>
          <t>Archivkarton</t>
        </is>
      </c>
      <c r="M46" s="64" t="inlineStr">
        <is>
          <t>Nein</t>
        </is>
      </c>
      <c r="N46" s="64" t="n">
        <v>0</v>
      </c>
      <c r="O46" s="64" t="n"/>
      <c r="P46" s="64" t="n"/>
      <c r="Q46" s="64" t="n"/>
      <c r="R46" s="64" t="n"/>
      <c r="BB46" s="73">
        <f>#REF!+#REF!</f>
        <v/>
      </c>
      <c r="BM46" s="75" t="inlineStr">
        <is>
          <t>x</t>
        </is>
      </c>
      <c r="BN46" s="75" t="inlineStr">
        <is>
          <t>x</t>
        </is>
      </c>
    </row>
    <row r="47">
      <c r="A47" s="64" t="n">
        <v>47</v>
      </c>
      <c r="B47" s="64" t="inlineStr">
        <is>
          <t>L-1548-16951014X</t>
        </is>
      </c>
      <c r="C47" s="64" t="n">
        <v>999828193</v>
      </c>
      <c r="D47" s="66">
        <f>HYPERLINK(CONCATENATE("https://portal.dnb.de/opac.htm?method=simpleSearch&amp;cqlMode=true&amp;query=idn%3D",C47))</f>
        <v/>
      </c>
      <c r="E47" s="64" t="inlineStr">
        <is>
          <t>Bö B I 418</t>
        </is>
      </c>
      <c r="F47" s="64" t="inlineStr">
        <is>
          <t>X</t>
        </is>
      </c>
      <c r="G47" s="111" t="inlineStr">
        <is>
          <t>Ledereinband</t>
        </is>
      </c>
      <c r="H47" s="108" t="inlineStr">
        <is>
          <t>bis 25 cm</t>
        </is>
      </c>
      <c r="I47" s="111" t="inlineStr">
        <is>
          <t>180°</t>
        </is>
      </c>
      <c r="J47" s="111" t="n"/>
      <c r="K47" s="64" t="n"/>
      <c r="L47" s="64" t="inlineStr">
        <is>
          <t>Archivkarton</t>
        </is>
      </c>
      <c r="M47" s="64" t="inlineStr">
        <is>
          <t>Nein</t>
        </is>
      </c>
      <c r="N47" s="64" t="n">
        <v>0</v>
      </c>
      <c r="O47" s="64" t="n"/>
      <c r="P47" s="64" t="n"/>
      <c r="Q47" s="64" t="n"/>
      <c r="R47" s="64" t="n"/>
      <c r="BB47" s="73">
        <f>#REF!+#REF!</f>
        <v/>
      </c>
      <c r="BM47" s="75" t="inlineStr">
        <is>
          <t>x</t>
        </is>
      </c>
      <c r="BN47" s="75" t="inlineStr">
        <is>
          <t>x</t>
        </is>
      </c>
    </row>
    <row r="48">
      <c r="A48" s="64" t="n">
        <v>48</v>
      </c>
      <c r="B48" s="64" t="inlineStr">
        <is>
          <t>L-1693-169765539</t>
        </is>
      </c>
      <c r="C48" s="64" t="n">
        <v>999953133</v>
      </c>
      <c r="D48" s="66">
        <f>HYPERLINK(CONCATENATE("https://portal.dnb.de/opac.htm?method=simpleSearch&amp;cqlMode=true&amp;query=idn%3D",C48))</f>
        <v/>
      </c>
      <c r="E48" s="64" t="inlineStr">
        <is>
          <t>Bö B I 430/4°</t>
        </is>
      </c>
      <c r="F48" s="64" t="inlineStr">
        <is>
          <t>X</t>
        </is>
      </c>
      <c r="G48" s="111" t="inlineStr">
        <is>
          <t>Papier- oder Pappeinband</t>
        </is>
      </c>
      <c r="H48" s="108" t="inlineStr">
        <is>
          <t>bis 35 cm</t>
        </is>
      </c>
      <c r="I48" s="111" t="inlineStr">
        <is>
          <t>80° bis 110°, einseitig digitalisierbar?</t>
        </is>
      </c>
      <c r="J48" s="111" t="n"/>
      <c r="K48" s="64" t="n"/>
      <c r="L48" s="64" t="n"/>
      <c r="M48" s="64" t="n"/>
      <c r="N48" s="64" t="n">
        <v>1</v>
      </c>
      <c r="O48" s="64" t="n"/>
      <c r="P48" s="64" t="n"/>
      <c r="Q48" s="64" t="n"/>
      <c r="R48" s="64" t="n"/>
      <c r="U48" s="78" t="inlineStr">
        <is>
          <t>QF (47x35)</t>
        </is>
      </c>
      <c r="X48" s="78" t="inlineStr">
        <is>
          <t>Br</t>
        </is>
      </c>
      <c r="AA48" s="78" t="inlineStr">
        <is>
          <t>f</t>
        </is>
      </c>
      <c r="AG48" s="78" t="inlineStr">
        <is>
          <t>Pa</t>
        </is>
      </c>
      <c r="AP48" s="78" t="inlineStr">
        <is>
          <t>x</t>
        </is>
      </c>
      <c r="AU48" s="78" t="n">
        <v>110</v>
      </c>
      <c r="BA48" s="80" t="inlineStr">
        <is>
          <t>n</t>
        </is>
      </c>
      <c r="BB48" s="73">
        <f>#REF!+#REF!</f>
        <v/>
      </c>
      <c r="BM48" s="75" t="inlineStr">
        <is>
          <t>x</t>
        </is>
      </c>
      <c r="BN48" s="75" t="inlineStr">
        <is>
          <t>x</t>
        </is>
      </c>
    </row>
    <row r="49" ht="45" customHeight="1" s="58">
      <c r="A49" s="64" t="n">
        <v>49</v>
      </c>
      <c r="B49" s="64" t="inlineStr">
        <is>
          <t>L-1685-169765989</t>
        </is>
      </c>
      <c r="C49" s="64" t="n">
        <v>999953575</v>
      </c>
      <c r="D49" s="66">
        <f>HYPERLINK(CONCATENATE("https://portal.dnb.de/opac.htm?method=simpleSearch&amp;cqlMode=true&amp;query=idn%3D",C49))</f>
        <v/>
      </c>
      <c r="E49" s="64" t="inlineStr">
        <is>
          <t>Bö B I 431</t>
        </is>
      </c>
      <c r="F49" s="64" t="inlineStr">
        <is>
          <t>X</t>
        </is>
      </c>
      <c r="G49" s="111" t="inlineStr">
        <is>
          <t>Papier- oder Pappeinband</t>
        </is>
      </c>
      <c r="H49" s="108" t="inlineStr">
        <is>
          <t>bis 42 cm</t>
        </is>
      </c>
      <c r="I49" s="111" t="inlineStr">
        <is>
          <t>80° bis 110°, einseitig digitalisierbar?</t>
        </is>
      </c>
      <c r="J49" s="111" t="n"/>
      <c r="K49" s="64" t="n"/>
      <c r="L49" s="64" t="n"/>
      <c r="M49" s="64" t="n"/>
      <c r="N49" s="64" t="n">
        <v>0</v>
      </c>
      <c r="O49" s="64" t="n"/>
      <c r="P49" s="64" t="n"/>
      <c r="Q49" s="64" t="n"/>
      <c r="R49" s="64" t="n"/>
      <c r="S49" s="80" t="inlineStr">
        <is>
          <t>ausgeliehen an Mitarbeiten</t>
        </is>
      </c>
      <c r="BB49" s="73">
        <f>#REF!+#REF!</f>
        <v/>
      </c>
      <c r="BM49" s="75" t="inlineStr">
        <is>
          <t>x</t>
        </is>
      </c>
      <c r="BN49" s="75" t="inlineStr">
        <is>
          <t>x</t>
        </is>
      </c>
    </row>
    <row r="50">
      <c r="A50" s="64" t="n">
        <v>50</v>
      </c>
      <c r="B50" s="64" t="inlineStr">
        <is>
          <t>L-1620-169916529</t>
        </is>
      </c>
      <c r="C50" s="64" t="n">
        <v>1000041611</v>
      </c>
      <c r="D50" s="66">
        <f>HYPERLINK(CONCATENATE("https://portal.dnb.de/opac.htm?method=simpleSearch&amp;cqlMode=true&amp;query=idn%3D",C50))</f>
        <v/>
      </c>
      <c r="E50" s="64" t="inlineStr">
        <is>
          <t>Bö B I 437</t>
        </is>
      </c>
      <c r="F50" s="64" t="inlineStr">
        <is>
          <t>X</t>
        </is>
      </c>
      <c r="G50" s="111" t="inlineStr">
        <is>
          <t>Halbgewebeband</t>
        </is>
      </c>
      <c r="H50" s="108" t="inlineStr">
        <is>
          <t>bis 25 cm</t>
        </is>
      </c>
      <c r="I50" s="111" t="inlineStr">
        <is>
          <t>180°</t>
        </is>
      </c>
      <c r="J50" s="111" t="inlineStr">
        <is>
          <t>hohler Rücken</t>
        </is>
      </c>
      <c r="K50" s="64" t="n"/>
      <c r="L50" s="64" t="inlineStr">
        <is>
          <t>Archivkarton</t>
        </is>
      </c>
      <c r="M50" s="64" t="inlineStr">
        <is>
          <t>Nein</t>
        </is>
      </c>
      <c r="N50" s="64" t="n">
        <v>0</v>
      </c>
      <c r="O50" s="64" t="n"/>
      <c r="P50" s="64" t="n"/>
      <c r="Q50" s="64" t="n"/>
      <c r="R50" s="64" t="n"/>
      <c r="BB50" s="73">
        <f>#REF!+#REF!</f>
        <v/>
      </c>
      <c r="BM50" s="75" t="inlineStr">
        <is>
          <t>x</t>
        </is>
      </c>
      <c r="BN50" s="75" t="inlineStr">
        <is>
          <t>x</t>
        </is>
      </c>
    </row>
    <row r="51" ht="22.5" customHeight="1" s="58">
      <c r="A51" s="64" t="n">
        <v>51</v>
      </c>
      <c r="B51" s="64" t="inlineStr">
        <is>
          <t>L-1758-170985369</t>
        </is>
      </c>
      <c r="C51" s="64" t="n">
        <v>1000651371</v>
      </c>
      <c r="D51" s="66">
        <f>HYPERLINK(CONCATENATE("https://portal.dnb.de/opac.htm?method=simpleSearch&amp;cqlMode=true&amp;query=idn%3D",C51))</f>
        <v/>
      </c>
      <c r="E51" s="64" t="inlineStr">
        <is>
          <t>Bö B I 445/2°</t>
        </is>
      </c>
      <c r="F51" s="64" t="inlineStr">
        <is>
          <t>X</t>
        </is>
      </c>
      <c r="G51" s="111" t="inlineStr">
        <is>
          <t>Halbledereinband</t>
        </is>
      </c>
      <c r="H51" s="108" t="inlineStr">
        <is>
          <t>bis 42 cm</t>
        </is>
      </c>
      <c r="I51" s="111" t="inlineStr">
        <is>
          <t>80° bis 110°, einseitig digitalisierbar?</t>
        </is>
      </c>
      <c r="J51" s="111" t="inlineStr">
        <is>
          <t>gefaltete Blätter, stark brüchiges Einbandmaterial</t>
        </is>
      </c>
      <c r="K51" s="64" t="n"/>
      <c r="L51" s="64" t="inlineStr">
        <is>
          <t xml:space="preserve">Papierumschlag </t>
        </is>
      </c>
      <c r="M51" s="64" t="inlineStr">
        <is>
          <t>Ja</t>
        </is>
      </c>
      <c r="N51" s="64" t="n">
        <v>2</v>
      </c>
      <c r="O51" s="64" t="n"/>
      <c r="P51" s="64" t="n"/>
      <c r="Q51" s="64" t="n"/>
      <c r="R51" s="64" t="n"/>
      <c r="X51" s="78" t="inlineStr">
        <is>
          <t>HL</t>
        </is>
      </c>
      <c r="AA51" s="78" t="inlineStr">
        <is>
          <t>f/V</t>
        </is>
      </c>
      <c r="AG51" s="78" t="inlineStr">
        <is>
          <t>Pa</t>
        </is>
      </c>
      <c r="AP51" s="78" t="inlineStr">
        <is>
          <t>x</t>
        </is>
      </c>
      <c r="AU51" s="78" t="inlineStr">
        <is>
          <t>max 110</t>
        </is>
      </c>
      <c r="BA51" s="80" t="inlineStr">
        <is>
          <t>ja vor</t>
        </is>
      </c>
      <c r="BB51" s="73">
        <f>#REF!+#REF!</f>
        <v/>
      </c>
      <c r="BH51" s="78" t="inlineStr">
        <is>
          <t>x sauer</t>
        </is>
      </c>
      <c r="BI51" s="78" t="inlineStr">
        <is>
          <t>x</t>
        </is>
      </c>
      <c r="BM51" s="75" t="inlineStr">
        <is>
          <t>x</t>
        </is>
      </c>
      <c r="BN51" s="75" t="inlineStr">
        <is>
          <t>x</t>
        </is>
      </c>
    </row>
    <row r="52">
      <c r="A52" s="64" t="n">
        <v>52</v>
      </c>
      <c r="B52" s="64" t="inlineStr">
        <is>
          <t>L-1793-180266608</t>
        </is>
      </c>
      <c r="C52" s="64" t="n">
        <v>1003598099</v>
      </c>
      <c r="D52" s="66">
        <f>HYPERLINK(CONCATENATE("https://portal.dnb.de/opac.htm?method=simpleSearch&amp;cqlMode=true&amp;query=idn%3D",C52))</f>
        <v/>
      </c>
      <c r="E52" s="64" t="inlineStr">
        <is>
          <t>Bö B I 446 - 1, Taf.</t>
        </is>
      </c>
      <c r="F52" s="64" t="n"/>
      <c r="G52" s="111" t="n"/>
      <c r="H52" s="108" t="inlineStr">
        <is>
          <t>bis 42 cm</t>
        </is>
      </c>
      <c r="I52" s="111" t="n"/>
      <c r="J52" s="111" t="n"/>
      <c r="K52" s="64" t="n"/>
      <c r="L52" s="64" t="n"/>
      <c r="M52" s="64" t="n"/>
      <c r="N52" s="64" t="n"/>
      <c r="O52" s="64" t="n"/>
      <c r="P52" s="64" t="n"/>
      <c r="Q52" s="64" t="n"/>
      <c r="R52" s="64" t="n"/>
      <c r="U52" s="78" t="inlineStr">
        <is>
          <t>QF (50x39)</t>
        </is>
      </c>
      <c r="X52" s="78" t="inlineStr">
        <is>
          <t>HL</t>
        </is>
      </c>
      <c r="AA52" s="78" t="inlineStr">
        <is>
          <t>h/E</t>
        </is>
      </c>
      <c r="AG52" s="78" t="inlineStr">
        <is>
          <t>Pa</t>
        </is>
      </c>
      <c r="AP52" s="78" t="inlineStr">
        <is>
          <t>x</t>
        </is>
      </c>
      <c r="AU52" s="78" t="n">
        <v>110</v>
      </c>
      <c r="BA52" s="80" t="inlineStr">
        <is>
          <t>ja vor</t>
        </is>
      </c>
      <c r="BB52" s="73">
        <f>#REF!+#REF!</f>
        <v/>
      </c>
      <c r="BH52" s="78" t="inlineStr">
        <is>
          <t>x sauer</t>
        </is>
      </c>
      <c r="BI52" s="78" t="inlineStr">
        <is>
          <t>x</t>
        </is>
      </c>
      <c r="BM52" s="75" t="inlineStr">
        <is>
          <t>x</t>
        </is>
      </c>
      <c r="BN52" s="75" t="inlineStr">
        <is>
          <t>x</t>
        </is>
      </c>
    </row>
    <row r="53">
      <c r="A53" s="64" t="n">
        <v>53</v>
      </c>
      <c r="B53" s="64" t="inlineStr">
        <is>
          <t>L-1820-180349104</t>
        </is>
      </c>
      <c r="C53" s="64" t="n">
        <v>1000711277</v>
      </c>
      <c r="D53" s="66">
        <f>HYPERLINK(CONCATENATE("https://portal.dnb.de/opac.htm?method=simpleSearch&amp;cqlMode=true&amp;query=idn%3D",C53))</f>
        <v/>
      </c>
      <c r="E53" s="64" t="inlineStr">
        <is>
          <t>Bö B I 446 - 1</t>
        </is>
      </c>
      <c r="F53" s="64" t="inlineStr">
        <is>
          <t>X</t>
        </is>
      </c>
      <c r="G53" s="111" t="inlineStr">
        <is>
          <t>Papier- oder Pappeinband</t>
        </is>
      </c>
      <c r="H53" s="108" t="inlineStr">
        <is>
          <t>bis 25 cm</t>
        </is>
      </c>
      <c r="I53" s="111" t="inlineStr">
        <is>
          <t>80° bis 110°, einseitig digitalisierbar?</t>
        </is>
      </c>
      <c r="J53" s="111" t="inlineStr">
        <is>
          <t>hohler Rücken</t>
        </is>
      </c>
      <c r="K53" s="64" t="n"/>
      <c r="L53" s="64" t="inlineStr">
        <is>
          <t>Archivkarton</t>
        </is>
      </c>
      <c r="M53" s="64" t="inlineStr">
        <is>
          <t>Nein</t>
        </is>
      </c>
      <c r="N53" s="64" t="n">
        <v>0</v>
      </c>
      <c r="O53" s="64" t="n"/>
      <c r="P53" s="64" t="n"/>
      <c r="Q53" s="64" t="n"/>
      <c r="R53" s="64" t="n"/>
      <c r="X53" s="78" t="inlineStr">
        <is>
          <t>Pa</t>
        </is>
      </c>
      <c r="AA53" s="78" t="inlineStr">
        <is>
          <t>h/E</t>
        </is>
      </c>
      <c r="AG53" s="78" t="inlineStr">
        <is>
          <t>Pa</t>
        </is>
      </c>
      <c r="AU53" s="78" t="n">
        <v>110</v>
      </c>
      <c r="BA53" s="80" t="inlineStr">
        <is>
          <t>n</t>
        </is>
      </c>
      <c r="BB53" s="73">
        <f>#REF!+#REF!</f>
        <v/>
      </c>
      <c r="BG53" s="78" t="inlineStr">
        <is>
          <t>x</t>
        </is>
      </c>
      <c r="BM53" s="75" t="inlineStr">
        <is>
          <t>x</t>
        </is>
      </c>
      <c r="BN53" s="75" t="inlineStr">
        <is>
          <t>x</t>
        </is>
      </c>
    </row>
    <row r="54">
      <c r="A54" s="64" t="n">
        <v>54</v>
      </c>
      <c r="B54" s="64" t="inlineStr">
        <is>
          <t>L-1806-180349171</t>
        </is>
      </c>
      <c r="C54" s="64" t="n">
        <v>1000711315</v>
      </c>
      <c r="D54" s="66">
        <f>HYPERLINK(CONCATENATE("https://portal.dnb.de/opac.htm?method=simpleSearch&amp;cqlMode=true&amp;query=idn%3D",C54))</f>
        <v/>
      </c>
      <c r="E54" s="64" t="inlineStr">
        <is>
          <t>Bö B I 446 - 2</t>
        </is>
      </c>
      <c r="F54" s="64" t="inlineStr">
        <is>
          <t>X</t>
        </is>
      </c>
      <c r="G54" s="111" t="inlineStr">
        <is>
          <t>Papier- oder Pappeinband</t>
        </is>
      </c>
      <c r="H54" s="108" t="inlineStr">
        <is>
          <t>bis 25 cm</t>
        </is>
      </c>
      <c r="I54" s="111" t="inlineStr">
        <is>
          <t>80° bis 110°, einseitig digitalisierbar?</t>
        </is>
      </c>
      <c r="J54" s="111" t="inlineStr">
        <is>
          <t>hohler Rücken</t>
        </is>
      </c>
      <c r="K54" s="64" t="n"/>
      <c r="L54" s="64" t="inlineStr">
        <is>
          <t>Archivkarton</t>
        </is>
      </c>
      <c r="M54" s="64" t="inlineStr">
        <is>
          <t>Nein</t>
        </is>
      </c>
      <c r="N54" s="64" t="n">
        <v>0</v>
      </c>
      <c r="O54" s="64" t="n"/>
      <c r="P54" s="64" t="n"/>
      <c r="Q54" s="64" t="n"/>
      <c r="R54" s="64" t="n"/>
      <c r="X54" s="78" t="inlineStr">
        <is>
          <t>Pa</t>
        </is>
      </c>
      <c r="AA54" s="78" t="inlineStr">
        <is>
          <t>h/E</t>
        </is>
      </c>
      <c r="AG54" s="78" t="inlineStr">
        <is>
          <t>Pa</t>
        </is>
      </c>
      <c r="AU54" s="78" t="n">
        <v>110</v>
      </c>
      <c r="BA54" s="80" t="inlineStr">
        <is>
          <t>n</t>
        </is>
      </c>
      <c r="BB54" s="73">
        <f>#REF!+#REF!</f>
        <v/>
      </c>
      <c r="BG54" s="78" t="inlineStr">
        <is>
          <t>x</t>
        </is>
      </c>
      <c r="BN54" s="75" t="inlineStr">
        <is>
          <t>x</t>
        </is>
      </c>
    </row>
    <row r="55">
      <c r="A55" s="64" t="n">
        <v>55</v>
      </c>
      <c r="B55" s="64" t="inlineStr">
        <is>
          <t>L-1806-18026690X</t>
        </is>
      </c>
      <c r="C55" s="64" t="n">
        <v>1003598323</v>
      </c>
      <c r="D55" s="66">
        <f>HYPERLINK(CONCATENATE("https://portal.dnb.de/opac.htm?method=simpleSearch&amp;cqlMode=true&amp;query=idn%3D",C55))</f>
        <v/>
      </c>
      <c r="E55" s="64" t="inlineStr">
        <is>
          <t>Bö B I 446 - 2, Taf.</t>
        </is>
      </c>
      <c r="F55" s="64" t="n"/>
      <c r="G55" s="111" t="n"/>
      <c r="H55" s="108" t="inlineStr">
        <is>
          <t>bis 42 cm</t>
        </is>
      </c>
      <c r="I55" s="111" t="n"/>
      <c r="J55" s="111" t="n"/>
      <c r="K55" s="64" t="n"/>
      <c r="L55" s="64" t="n"/>
      <c r="M55" s="64" t="n"/>
      <c r="N55" s="64" t="n"/>
      <c r="O55" s="64" t="n"/>
      <c r="P55" s="64" t="n"/>
      <c r="Q55" s="64" t="n"/>
      <c r="R55" s="64" t="n"/>
      <c r="U55" s="78" t="inlineStr">
        <is>
          <t>QF (50x39)</t>
        </is>
      </c>
      <c r="X55" s="78" t="inlineStr">
        <is>
          <t>HL</t>
        </is>
      </c>
      <c r="AA55" s="78" t="inlineStr">
        <is>
          <t>h/E</t>
        </is>
      </c>
      <c r="AG55" s="78" t="inlineStr">
        <is>
          <t>Pa</t>
        </is>
      </c>
      <c r="AP55" s="78" t="inlineStr">
        <is>
          <t>x</t>
        </is>
      </c>
      <c r="AU55" s="78" t="n">
        <v>110</v>
      </c>
      <c r="BA55" s="80" t="inlineStr">
        <is>
          <t>n</t>
        </is>
      </c>
      <c r="BB55" s="73">
        <f>#REF!+#REF!</f>
        <v/>
      </c>
      <c r="BH55" s="78" t="inlineStr">
        <is>
          <t>x sauer</t>
        </is>
      </c>
      <c r="BI55" s="78" t="inlineStr">
        <is>
          <t>x</t>
        </is>
      </c>
      <c r="BN55" s="75" t="inlineStr">
        <is>
          <t>x</t>
        </is>
      </c>
    </row>
    <row r="56">
      <c r="A56" s="64" t="n">
        <v>56</v>
      </c>
      <c r="B56" s="64" t="inlineStr">
        <is>
          <t>L-1818-180349376</t>
        </is>
      </c>
      <c r="C56" s="64" t="n">
        <v>1003621309</v>
      </c>
      <c r="D56" s="66">
        <f>HYPERLINK(CONCATENATE("https://portal.dnb.de/opac.htm?method=simpleSearch&amp;cqlMode=true&amp;query=idn%3D",C56))</f>
        <v/>
      </c>
      <c r="E56" s="64" t="inlineStr">
        <is>
          <t>Bö B I 446 - 3</t>
        </is>
      </c>
      <c r="F56" s="64" t="inlineStr">
        <is>
          <t>X</t>
        </is>
      </c>
      <c r="G56" s="111" t="inlineStr">
        <is>
          <t>Halbledereinband</t>
        </is>
      </c>
      <c r="H56" s="108" t="inlineStr">
        <is>
          <t>bis 25 cm</t>
        </is>
      </c>
      <c r="I56" s="111" t="inlineStr">
        <is>
          <t>80° bis 110°, einseitig digitalisierbar?</t>
        </is>
      </c>
      <c r="J56" s="111" t="inlineStr">
        <is>
          <t>hohler Rücken</t>
        </is>
      </c>
      <c r="K56" s="64" t="n"/>
      <c r="L56" s="64" t="inlineStr">
        <is>
          <t>Kassette</t>
        </is>
      </c>
      <c r="M56" s="64" t="inlineStr">
        <is>
          <t>Nein</t>
        </is>
      </c>
      <c r="N56" s="64" t="n">
        <v>0</v>
      </c>
      <c r="O56" s="64" t="n"/>
      <c r="P56" s="64" t="n"/>
      <c r="Q56" s="64" t="n"/>
      <c r="R56" s="64" t="n"/>
      <c r="X56" s="78" t="inlineStr">
        <is>
          <t>HL</t>
        </is>
      </c>
      <c r="Z56" s="78" t="inlineStr">
        <is>
          <t>x</t>
        </is>
      </c>
      <c r="AA56" s="78" t="inlineStr">
        <is>
          <t>h/E</t>
        </is>
      </c>
      <c r="AG56" s="78" t="inlineStr">
        <is>
          <t>Pa</t>
        </is>
      </c>
      <c r="AU56" s="78" t="n">
        <v>110</v>
      </c>
      <c r="BA56" s="80" t="inlineStr">
        <is>
          <t>n</t>
        </is>
      </c>
      <c r="BB56" s="73">
        <f>#REF!+#REF!</f>
        <v/>
      </c>
      <c r="BD56" s="78" t="inlineStr">
        <is>
          <t>Wellpappe</t>
        </is>
      </c>
      <c r="BM56" s="75" t="inlineStr">
        <is>
          <t>x</t>
        </is>
      </c>
      <c r="BN56" s="75" t="inlineStr">
        <is>
          <t>x</t>
        </is>
      </c>
    </row>
    <row r="57">
      <c r="A57" s="64" t="n">
        <v>57</v>
      </c>
      <c r="B57" s="64" t="inlineStr">
        <is>
          <t>L-1817-180349856</t>
        </is>
      </c>
      <c r="C57" s="64" t="n">
        <v>1003621716</v>
      </c>
      <c r="D57" s="66">
        <f>HYPERLINK(CONCATENATE("https://portal.dnb.de/opac.htm?method=simpleSearch&amp;cqlMode=true&amp;query=idn%3D",C57))</f>
        <v/>
      </c>
      <c r="E57" s="64" t="inlineStr">
        <is>
          <t>Bö B I 446 - 3 (angebunden)</t>
        </is>
      </c>
      <c r="F57" s="64" t="n"/>
      <c r="G57" s="111" t="n"/>
      <c r="H57" s="108" t="n"/>
      <c r="I57" s="111" t="n"/>
      <c r="J57" s="111" t="n"/>
      <c r="K57" s="64" t="n"/>
      <c r="L57" s="64" t="n"/>
      <c r="M57" s="64" t="n"/>
      <c r="N57" s="64" t="n"/>
      <c r="O57" s="64" t="n"/>
      <c r="P57" s="64" t="n"/>
      <c r="Q57" s="64" t="n"/>
      <c r="R57" s="64" t="n"/>
      <c r="BB57" s="73">
        <f>#REF!+#REF!</f>
        <v/>
      </c>
      <c r="BD57" s="78" t="inlineStr">
        <is>
          <t>Wellpappe</t>
        </is>
      </c>
      <c r="BM57" s="75" t="inlineStr">
        <is>
          <t>x</t>
        </is>
      </c>
      <c r="BN57" s="75" t="inlineStr">
        <is>
          <t>x</t>
        </is>
      </c>
    </row>
    <row r="58">
      <c r="A58" s="64" t="n">
        <v>58</v>
      </c>
      <c r="B58" s="64" t="inlineStr">
        <is>
          <t>L-1821-180350021</t>
        </is>
      </c>
      <c r="C58" s="64" t="n">
        <v>1003621880</v>
      </c>
      <c r="D58" s="66">
        <f>HYPERLINK(CONCATENATE("https://portal.dnb.de/opac.htm?method=simpleSearch&amp;cqlMode=true&amp;query=idn%3D",C58))</f>
        <v/>
      </c>
      <c r="E58" s="64" t="inlineStr">
        <is>
          <t>Bö B I 446 - 3 (angebunden)</t>
        </is>
      </c>
      <c r="F58" s="64" t="n"/>
      <c r="G58" s="111" t="n"/>
      <c r="H58" s="108" t="n"/>
      <c r="I58" s="111" t="n"/>
      <c r="J58" s="111" t="n"/>
      <c r="K58" s="64" t="n"/>
      <c r="L58" s="64" t="n"/>
      <c r="M58" s="64" t="n"/>
      <c r="N58" s="64" t="n"/>
      <c r="O58" s="64" t="n"/>
      <c r="P58" s="64" t="n"/>
      <c r="Q58" s="64" t="n"/>
      <c r="R58" s="64" t="n"/>
      <c r="BB58" s="73">
        <f>#REF!+#REF!</f>
        <v/>
      </c>
      <c r="BD58" s="78" t="inlineStr">
        <is>
          <t>Wellpappe</t>
        </is>
      </c>
      <c r="BM58" s="75" t="inlineStr">
        <is>
          <t>x</t>
        </is>
      </c>
      <c r="BN58" s="75" t="inlineStr">
        <is>
          <t>x</t>
        </is>
      </c>
    </row>
    <row r="59">
      <c r="A59" s="64" t="n">
        <v>59</v>
      </c>
      <c r="B59" s="64" t="inlineStr">
        <is>
          <t>L-1741-171054784</t>
        </is>
      </c>
      <c r="C59" s="64" t="n">
        <v>1000714128</v>
      </c>
      <c r="D59" s="66">
        <f>HYPERLINK(CONCATENATE("https://portal.dnb.de/opac.htm?method=simpleSearch&amp;cqlMode=true&amp;query=idn%3D",C59))</f>
        <v/>
      </c>
      <c r="E59" s="64" t="inlineStr">
        <is>
          <t>Bö B I 447/2°</t>
        </is>
      </c>
      <c r="F59" s="64" t="inlineStr">
        <is>
          <t>X</t>
        </is>
      </c>
      <c r="G59" s="111" t="inlineStr">
        <is>
          <t>Halbgewebeband</t>
        </is>
      </c>
      <c r="H59" s="108" t="inlineStr">
        <is>
          <t>&gt; 42 cm</t>
        </is>
      </c>
      <c r="I59" s="111" t="inlineStr">
        <is>
          <t>80° bis 110°, einseitig digitalisierbar?</t>
        </is>
      </c>
      <c r="J59" s="111" t="n"/>
      <c r="K59" s="64" t="n"/>
      <c r="L59" s="64" t="n"/>
      <c r="M59" s="64" t="n"/>
      <c r="N59" s="64" t="n">
        <v>1</v>
      </c>
      <c r="O59" s="64" t="n"/>
      <c r="P59" s="64" t="n"/>
      <c r="Q59" s="64" t="n"/>
      <c r="R59" s="64" t="n"/>
      <c r="X59" s="78" t="inlineStr">
        <is>
          <t>HPg</t>
        </is>
      </c>
      <c r="AA59" s="78" t="inlineStr">
        <is>
          <t>h/E</t>
        </is>
      </c>
      <c r="AG59" s="78" t="inlineStr">
        <is>
          <t>Pa</t>
        </is>
      </c>
      <c r="AP59" s="78" t="inlineStr">
        <is>
          <t>x</t>
        </is>
      </c>
      <c r="AU59" s="78" t="n">
        <v>110</v>
      </c>
      <c r="BA59" s="80" t="inlineStr">
        <is>
          <t>n</t>
        </is>
      </c>
      <c r="BB59" s="73">
        <f>#REF!+#REF!</f>
        <v/>
      </c>
      <c r="BD59" s="78" t="inlineStr">
        <is>
          <t>Wellpappe</t>
        </is>
      </c>
      <c r="BM59" s="75" t="inlineStr">
        <is>
          <t>x</t>
        </is>
      </c>
      <c r="BN59" s="75" t="inlineStr">
        <is>
          <t>x</t>
        </is>
      </c>
    </row>
    <row r="60">
      <c r="A60" s="64" t="n">
        <v>60</v>
      </c>
      <c r="B60" s="64" t="inlineStr">
        <is>
          <t>L-1785-171143485</t>
        </is>
      </c>
      <c r="C60" s="64" t="n">
        <v>1000778924</v>
      </c>
      <c r="D60" s="66">
        <f>HYPERLINK(CONCATENATE("https://portal.dnb.de/opac.htm?method=simpleSearch&amp;cqlMode=true&amp;query=idn%3D",C60))</f>
        <v/>
      </c>
      <c r="E60" s="64" t="inlineStr">
        <is>
          <t>Bö B I 448/2°</t>
        </is>
      </c>
      <c r="F60" s="64" t="inlineStr">
        <is>
          <t>X</t>
        </is>
      </c>
      <c r="G60" s="111" t="inlineStr">
        <is>
          <t>Halbledereinband</t>
        </is>
      </c>
      <c r="H60" s="108" t="inlineStr">
        <is>
          <t>bis 42 cm</t>
        </is>
      </c>
      <c r="I60" s="111" t="inlineStr">
        <is>
          <t>180°</t>
        </is>
      </c>
      <c r="J60" s="111" t="n"/>
      <c r="K60" s="64" t="n"/>
      <c r="L60" s="64" t="n"/>
      <c r="M60" s="64" t="n"/>
      <c r="N60" s="64" t="n">
        <v>1</v>
      </c>
      <c r="O60" s="64" t="n"/>
      <c r="P60" s="64" t="n"/>
      <c r="Q60" s="64" t="n"/>
      <c r="R60" s="64" t="n"/>
      <c r="X60" s="78" t="inlineStr">
        <is>
          <t>HL</t>
        </is>
      </c>
      <c r="AA60" s="78" t="inlineStr">
        <is>
          <t>h/E</t>
        </is>
      </c>
      <c r="AG60" s="78" t="inlineStr">
        <is>
          <t>Pa</t>
        </is>
      </c>
      <c r="AP60" s="78" t="inlineStr">
        <is>
          <t>x</t>
        </is>
      </c>
      <c r="AU60" s="78" t="n">
        <v>110</v>
      </c>
      <c r="BA60" s="80" t="inlineStr">
        <is>
          <t>n</t>
        </is>
      </c>
      <c r="BB60" s="73">
        <f>#REF!+#REF!</f>
        <v/>
      </c>
      <c r="BD60" s="78" t="inlineStr">
        <is>
          <t>Wellpappe</t>
        </is>
      </c>
      <c r="BM60" s="75" t="inlineStr">
        <is>
          <t>x</t>
        </is>
      </c>
      <c r="BN60" s="75" t="inlineStr">
        <is>
          <t>x</t>
        </is>
      </c>
    </row>
    <row r="61" ht="22.5" customHeight="1" s="58">
      <c r="A61" s="64" t="n">
        <v>61</v>
      </c>
      <c r="B61" s="64" t="inlineStr">
        <is>
          <t>L-1760-169504352</t>
        </is>
      </c>
      <c r="C61" s="64" t="n">
        <v>999822446</v>
      </c>
      <c r="D61" s="66">
        <f>HYPERLINK(CONCATENATE("https://portal.dnb.de/opac.htm?method=simpleSearch&amp;cqlMode=true&amp;query=idn%3D",C61))</f>
        <v/>
      </c>
      <c r="E61" s="64" t="inlineStr">
        <is>
          <t>Bö B I 449/2°</t>
        </is>
      </c>
      <c r="F61" s="64" t="inlineStr">
        <is>
          <t>X</t>
        </is>
      </c>
      <c r="G61" s="111" t="inlineStr">
        <is>
          <t>Halbgewebeband</t>
        </is>
      </c>
      <c r="H61" s="108" t="inlineStr">
        <is>
          <t>bis 42 cm</t>
        </is>
      </c>
      <c r="I61" s="111" t="inlineStr">
        <is>
          <t>180°</t>
        </is>
      </c>
      <c r="J61" s="111" t="inlineStr">
        <is>
          <t>Schrift bis in den Falz</t>
        </is>
      </c>
      <c r="K61" s="64" t="n"/>
      <c r="L61" s="64" t="n"/>
      <c r="M61" s="64" t="n"/>
      <c r="N61" s="64" t="n">
        <v>0</v>
      </c>
      <c r="O61" s="64" t="n"/>
      <c r="P61" s="64" t="n"/>
      <c r="Q61" s="64" t="n"/>
      <c r="R61" s="64" t="n"/>
      <c r="X61" s="78" t="inlineStr">
        <is>
          <t>HG</t>
        </is>
      </c>
      <c r="AA61" s="78" t="inlineStr">
        <is>
          <t>h/E</t>
        </is>
      </c>
      <c r="AG61" s="78" t="inlineStr">
        <is>
          <t>Pa</t>
        </is>
      </c>
      <c r="AN61" s="78" t="inlineStr">
        <is>
          <t>x</t>
        </is>
      </c>
      <c r="AO61" s="80" t="inlineStr">
        <is>
          <t>B: 26x41
F: 54x41</t>
        </is>
      </c>
      <c r="AP61" s="78" t="inlineStr">
        <is>
          <t>x</t>
        </is>
      </c>
      <c r="AQ61" s="78" t="inlineStr">
        <is>
          <t>K</t>
        </is>
      </c>
      <c r="AR61" s="78" t="inlineStr">
        <is>
          <t>x</t>
        </is>
      </c>
      <c r="AU61" s="78" t="n">
        <v>180</v>
      </c>
      <c r="BA61" s="80" t="inlineStr">
        <is>
          <t>n</t>
        </is>
      </c>
      <c r="BB61" s="73">
        <f>#REF!+#REF!</f>
        <v/>
      </c>
      <c r="BD61" s="78" t="inlineStr">
        <is>
          <t>Wellpappe</t>
        </is>
      </c>
      <c r="BM61" s="75" t="inlineStr">
        <is>
          <t>x</t>
        </is>
      </c>
      <c r="BN61" s="75" t="inlineStr">
        <is>
          <t>x</t>
        </is>
      </c>
    </row>
    <row r="62">
      <c r="A62" s="64" t="n">
        <v>62</v>
      </c>
      <c r="B62" s="64" t="inlineStr">
        <is>
          <t>L-1760-17544434X</t>
        </is>
      </c>
      <c r="C62" s="64" t="n">
        <v>1001719972</v>
      </c>
      <c r="D62" s="66">
        <f>HYPERLINK(CONCATENATE("https://portal.dnb.de/opac.htm?method=simpleSearch&amp;cqlMode=true&amp;query=idn%3D",C62))</f>
        <v/>
      </c>
      <c r="E62" s="64" t="inlineStr">
        <is>
          <t>Bö B I 449/2° (angebunden?)</t>
        </is>
      </c>
      <c r="F62" s="64" t="n"/>
      <c r="G62" s="111" t="n"/>
      <c r="H62" s="108" t="n"/>
      <c r="I62" s="111" t="n"/>
      <c r="J62" s="111" t="n"/>
      <c r="K62" s="64" t="n"/>
      <c r="L62" s="64" t="n"/>
      <c r="M62" s="64" t="n"/>
      <c r="N62" s="64" t="n"/>
      <c r="O62" s="64" t="n"/>
      <c r="P62" s="64" t="n"/>
      <c r="Q62" s="64" t="n"/>
      <c r="R62" s="64" t="n"/>
      <c r="BB62" s="73">
        <f>#REF!+#REF!</f>
        <v/>
      </c>
      <c r="BD62" s="78" t="inlineStr">
        <is>
          <t>Wellpappe</t>
        </is>
      </c>
      <c r="BM62" s="75" t="inlineStr">
        <is>
          <t>x</t>
        </is>
      </c>
      <c r="BN62" s="75" t="inlineStr">
        <is>
          <t>x</t>
        </is>
      </c>
    </row>
    <row r="63">
      <c r="A63" s="64" t="n">
        <v>63</v>
      </c>
      <c r="B63" s="64" t="inlineStr">
        <is>
          <t>L-1731-171148738</t>
        </is>
      </c>
      <c r="C63" s="64" t="inlineStr">
        <is>
          <t>1000784134</t>
        </is>
      </c>
      <c r="D63" s="66" t="n"/>
      <c r="E63" s="64" t="inlineStr">
        <is>
          <t>Bö B I 449/2°</t>
        </is>
      </c>
      <c r="F63" s="64" t="n"/>
      <c r="G63" s="111" t="n"/>
      <c r="H63" s="108" t="n"/>
      <c r="I63" s="111" t="n"/>
      <c r="J63" s="111" t="n"/>
      <c r="K63" s="64" t="n"/>
      <c r="L63" s="64" t="n"/>
      <c r="M63" s="64" t="n"/>
      <c r="N63" s="64" t="n"/>
      <c r="O63" s="64" t="n"/>
      <c r="P63" s="64" t="n"/>
      <c r="Q63" s="64" t="n"/>
      <c r="R63" s="64" t="n"/>
      <c r="BB63" s="73">
        <f>#REF!+#REF!</f>
        <v/>
      </c>
      <c r="BD63" s="78" t="inlineStr">
        <is>
          <t>Wellpappe</t>
        </is>
      </c>
      <c r="BM63" s="75" t="inlineStr">
        <is>
          <t>x</t>
        </is>
      </c>
    </row>
    <row r="64">
      <c r="A64" s="64" t="n">
        <v>64</v>
      </c>
      <c r="B64" s="64" t="inlineStr">
        <is>
          <t>L-1767-171142772</t>
        </is>
      </c>
      <c r="C64" s="64" t="n">
        <v>1000778169</v>
      </c>
      <c r="D64" s="66">
        <f>HYPERLINK(CONCATENATE("https://portal.dnb.de/opac.htm?method=simpleSearch&amp;cqlMode=true&amp;query=idn%3D",C64))</f>
        <v/>
      </c>
      <c r="E64" s="64" t="inlineStr">
        <is>
          <t>Bö B I 450/2°</t>
        </is>
      </c>
      <c r="F64" s="64" t="n"/>
      <c r="G64" s="111" t="inlineStr">
        <is>
          <t>Halbledereinband</t>
        </is>
      </c>
      <c r="H64" s="108" t="inlineStr">
        <is>
          <t>&gt; 42 cm</t>
        </is>
      </c>
      <c r="I64" s="111" t="inlineStr">
        <is>
          <t>180°</t>
        </is>
      </c>
      <c r="J64" s="111" t="n"/>
      <c r="K64" s="64" t="n"/>
      <c r="L64" s="64" t="n"/>
      <c r="M64" s="64" t="n"/>
      <c r="N64" s="64" t="n">
        <v>0</v>
      </c>
      <c r="O64" s="64" t="n"/>
      <c r="P64" s="64" t="n"/>
      <c r="Q64" s="64" t="n"/>
      <c r="R64" s="64" t="n"/>
      <c r="T64" s="78" t="inlineStr">
        <is>
          <t>39x51</t>
        </is>
      </c>
      <c r="X64" s="78" t="inlineStr">
        <is>
          <t>HL</t>
        </is>
      </c>
      <c r="AA64" s="78" t="inlineStr">
        <is>
          <t>h/E</t>
        </is>
      </c>
      <c r="AG64" s="78" t="inlineStr">
        <is>
          <t>Pa</t>
        </is>
      </c>
      <c r="AP64" s="78" t="inlineStr">
        <is>
          <t>x</t>
        </is>
      </c>
      <c r="AU64" s="78" t="n">
        <v>110</v>
      </c>
      <c r="BA64" s="80" t="inlineStr">
        <is>
          <t>n</t>
        </is>
      </c>
      <c r="BB64" s="73">
        <f>#REF!+#REF!</f>
        <v/>
      </c>
      <c r="BD64" s="78" t="inlineStr">
        <is>
          <t>Wellpappe</t>
        </is>
      </c>
      <c r="BM64" s="75" t="inlineStr">
        <is>
          <t>x</t>
        </is>
      </c>
      <c r="BN64" s="75" t="inlineStr">
        <is>
          <t>x</t>
        </is>
      </c>
    </row>
    <row r="65">
      <c r="A65" s="64" t="n">
        <v>65</v>
      </c>
      <c r="B65" s="64" t="inlineStr">
        <is>
          <t>L-1789-171306473</t>
        </is>
      </c>
      <c r="C65" s="64" t="inlineStr">
        <is>
          <t>100087186X</t>
        </is>
      </c>
      <c r="D65" s="66">
        <f>HYPERLINK(CONCATENATE("https://portal.dnb.de/opac.htm?method=simpleSearch&amp;cqlMode=true&amp;query=idn%3D",C65))</f>
        <v/>
      </c>
      <c r="E65" s="64" t="inlineStr">
        <is>
          <t>Bö B I 451/2°</t>
        </is>
      </c>
      <c r="F65" s="64" t="inlineStr">
        <is>
          <t>X</t>
        </is>
      </c>
      <c r="G65" s="111" t="inlineStr">
        <is>
          <t>Halbgewebeband</t>
        </is>
      </c>
      <c r="H65" s="108" t="inlineStr">
        <is>
          <t>bis 42 cm</t>
        </is>
      </c>
      <c r="I65" s="111" t="inlineStr">
        <is>
          <t>80° bis 110°, einseitig digitalisierbar?</t>
        </is>
      </c>
      <c r="J65" s="111" t="n"/>
      <c r="K65" s="64" t="n"/>
      <c r="L65" s="64" t="n"/>
      <c r="M65" s="64" t="n"/>
      <c r="N65" s="64" t="n">
        <v>0</v>
      </c>
      <c r="O65" s="64" t="n"/>
      <c r="P65" s="64" t="n"/>
      <c r="Q65" s="64" t="n"/>
      <c r="R65" s="64" t="n"/>
      <c r="X65" s="78" t="inlineStr">
        <is>
          <t>HPg</t>
        </is>
      </c>
      <c r="AA65" s="78" t="inlineStr">
        <is>
          <t>h/E</t>
        </is>
      </c>
      <c r="AG65" s="78" t="inlineStr">
        <is>
          <t>Pa</t>
        </is>
      </c>
      <c r="AP65" s="78" t="inlineStr">
        <is>
          <t>x</t>
        </is>
      </c>
      <c r="AU65" s="78" t="n">
        <v>110</v>
      </c>
      <c r="BA65" s="80" t="inlineStr">
        <is>
          <t>n</t>
        </is>
      </c>
      <c r="BB65" s="73">
        <f>#REF!+#REF!</f>
        <v/>
      </c>
      <c r="BD65" s="78" t="inlineStr">
        <is>
          <t>Wellpappe</t>
        </is>
      </c>
      <c r="BM65" s="75" t="inlineStr">
        <is>
          <t>x</t>
        </is>
      </c>
      <c r="BN65" s="75" t="inlineStr">
        <is>
          <t>x</t>
        </is>
      </c>
    </row>
    <row r="66">
      <c r="A66" s="64" t="n">
        <v>66</v>
      </c>
      <c r="B66" s="64" t="inlineStr">
        <is>
          <t>L-9999-171306759</t>
        </is>
      </c>
      <c r="C66" s="64" t="n">
        <v>1000872114</v>
      </c>
      <c r="D66" s="66">
        <f>HYPERLINK(CONCATENATE("https://portal.dnb.de/opac.htm?method=simpleSearch&amp;cqlMode=true&amp;query=idn%3D",C66))</f>
        <v/>
      </c>
      <c r="E66" s="64" t="inlineStr">
        <is>
          <t>Bö B I 452/2°</t>
        </is>
      </c>
      <c r="F66" s="64" t="inlineStr">
        <is>
          <t>X</t>
        </is>
      </c>
      <c r="G66" s="111" t="inlineStr">
        <is>
          <t>Halbledereinband</t>
        </is>
      </c>
      <c r="H66" s="108" t="inlineStr">
        <is>
          <t>bis 42 cm</t>
        </is>
      </c>
      <c r="I66" s="111" t="inlineStr">
        <is>
          <t>80° bis 110°, einseitig digitalisierbar?</t>
        </is>
      </c>
      <c r="J66" s="111" t="n"/>
      <c r="K66" s="64" t="n"/>
      <c r="L66" s="64" t="inlineStr">
        <is>
          <t xml:space="preserve">Papierumschlag </t>
        </is>
      </c>
      <c r="M66" s="64" t="inlineStr">
        <is>
          <t>Ja</t>
        </is>
      </c>
      <c r="N66" s="64" t="n">
        <v>2</v>
      </c>
      <c r="O66" s="64" t="n"/>
      <c r="P66" s="64" t="n"/>
      <c r="Q66" s="64" t="n"/>
      <c r="R66" s="64" t="n"/>
      <c r="X66" s="78" t="inlineStr">
        <is>
          <t>HL</t>
        </is>
      </c>
      <c r="AA66" s="78" t="inlineStr">
        <is>
          <t>h/E</t>
        </is>
      </c>
      <c r="AG66" s="78" t="inlineStr">
        <is>
          <t>Pa</t>
        </is>
      </c>
      <c r="AP66" s="78" t="inlineStr">
        <is>
          <t>x</t>
        </is>
      </c>
      <c r="AU66" s="78" t="n">
        <v>110</v>
      </c>
      <c r="BA66" s="80" t="inlineStr">
        <is>
          <t>n</t>
        </is>
      </c>
      <c r="BB66" s="73">
        <f>#REF!+#REF!</f>
        <v/>
      </c>
      <c r="BD66" s="78" t="inlineStr">
        <is>
          <t>Wellpappe</t>
        </is>
      </c>
      <c r="BH66" s="78" t="inlineStr">
        <is>
          <t>x sauer</t>
        </is>
      </c>
      <c r="BI66" s="78" t="inlineStr">
        <is>
          <t>x</t>
        </is>
      </c>
      <c r="BN66" s="75" t="inlineStr">
        <is>
          <t>x</t>
        </is>
      </c>
    </row>
    <row r="67">
      <c r="A67" s="64" t="n">
        <v>67</v>
      </c>
      <c r="B67" s="64" t="inlineStr">
        <is>
          <t>L-1644-171709489</t>
        </is>
      </c>
      <c r="C67" s="64" t="n">
        <v>1000942589</v>
      </c>
      <c r="D67" s="66">
        <f>HYPERLINK(CONCATENATE("https://portal.dnb.de/opac.htm?method=simpleSearch&amp;cqlMode=true&amp;query=idn%3D",C67))</f>
        <v/>
      </c>
      <c r="E67" s="64" t="inlineStr">
        <is>
          <t>Bö B I 455</t>
        </is>
      </c>
      <c r="F67" s="64" t="inlineStr">
        <is>
          <t>X</t>
        </is>
      </c>
      <c r="G67" s="111" t="inlineStr">
        <is>
          <t>Pergamentband</t>
        </is>
      </c>
      <c r="H67" s="108" t="inlineStr">
        <is>
          <t>bis 25 cm</t>
        </is>
      </c>
      <c r="I67" s="111" t="inlineStr">
        <is>
          <t>180°</t>
        </is>
      </c>
      <c r="J67" s="111" t="inlineStr">
        <is>
          <t>hohler Rücken</t>
        </is>
      </c>
      <c r="K67" s="64" t="n"/>
      <c r="L67" s="64" t="inlineStr">
        <is>
          <t>Archivkarton</t>
        </is>
      </c>
      <c r="M67" s="64" t="inlineStr">
        <is>
          <t>Nein</t>
        </is>
      </c>
      <c r="N67" s="64" t="n">
        <v>0</v>
      </c>
      <c r="O67" s="64" t="n"/>
      <c r="P67" s="64" t="n"/>
      <c r="Q67" s="64" t="n"/>
      <c r="R67" s="64" t="n"/>
      <c r="BB67" s="73">
        <f>#REF!+#REF!</f>
        <v/>
      </c>
      <c r="BD67" s="78" t="inlineStr">
        <is>
          <t>Wellpappe</t>
        </is>
      </c>
      <c r="BM67" s="75" t="inlineStr">
        <is>
          <t>x</t>
        </is>
      </c>
      <c r="BN67" s="75" t="inlineStr">
        <is>
          <t>x</t>
        </is>
      </c>
    </row>
    <row r="68">
      <c r="A68" s="64" t="n">
        <v>68</v>
      </c>
      <c r="B68" s="64" t="inlineStr">
        <is>
          <t>L-1801-171820045</t>
        </is>
      </c>
      <c r="C68" s="64" t="n">
        <v>1000999831</v>
      </c>
      <c r="D68" s="66">
        <f>HYPERLINK(CONCATENATE("https://portal.dnb.de/opac.htm?method=simpleSearch&amp;cqlMode=true&amp;query=idn%3D",C68))</f>
        <v/>
      </c>
      <c r="E68" s="64" t="inlineStr">
        <is>
          <t>Bö B I 457/2°</t>
        </is>
      </c>
      <c r="F68" s="64" t="inlineStr">
        <is>
          <t>X</t>
        </is>
      </c>
      <c r="G68" s="111" t="inlineStr">
        <is>
          <t>Halbgewebeband</t>
        </is>
      </c>
      <c r="H68" s="108" t="inlineStr">
        <is>
          <t>&gt; 42 cm</t>
        </is>
      </c>
      <c r="I68" s="111" t="inlineStr">
        <is>
          <t>180°</t>
        </is>
      </c>
      <c r="J68" s="111" t="n"/>
      <c r="K68" s="64" t="n"/>
      <c r="L68" s="64" t="n"/>
      <c r="M68" s="64" t="n"/>
      <c r="N68" s="64" t="n">
        <v>1</v>
      </c>
      <c r="O68" s="64" t="n"/>
      <c r="P68" s="64" t="n"/>
      <c r="Q68" s="64" t="n"/>
      <c r="R68" s="64" t="n"/>
      <c r="T68" s="78" t="inlineStr">
        <is>
          <t>40x51</t>
        </is>
      </c>
      <c r="X68" s="78" t="inlineStr">
        <is>
          <t>HG</t>
        </is>
      </c>
      <c r="AA68" s="78" t="inlineStr">
        <is>
          <t>h/E</t>
        </is>
      </c>
      <c r="AG68" s="78" t="inlineStr">
        <is>
          <t>Pa</t>
        </is>
      </c>
      <c r="AP68" s="78" t="inlineStr">
        <is>
          <t>x</t>
        </is>
      </c>
      <c r="AU68" s="78" t="n">
        <v>110</v>
      </c>
      <c r="BA68" s="80" t="inlineStr">
        <is>
          <t>n</t>
        </is>
      </c>
      <c r="BB68" s="73">
        <f>#REF!+#REF!</f>
        <v/>
      </c>
      <c r="BD68" s="78" t="inlineStr">
        <is>
          <t>Wellpappe</t>
        </is>
      </c>
      <c r="BN68" s="75" t="inlineStr">
        <is>
          <t>x</t>
        </is>
      </c>
    </row>
    <row r="69">
      <c r="A69" s="64" t="n">
        <v>69</v>
      </c>
      <c r="B69" s="64" t="inlineStr">
        <is>
          <t>L-9999-174157363</t>
        </is>
      </c>
      <c r="C69" s="64" t="n">
        <v>1001315340</v>
      </c>
      <c r="D69" s="66">
        <f>HYPERLINK(CONCATENATE("https://portal.dnb.de/opac.htm?method=simpleSearch&amp;cqlMode=true&amp;query=idn%3D",C69))</f>
        <v/>
      </c>
      <c r="E69" s="64" t="inlineStr">
        <is>
          <t>Bö B I 461</t>
        </is>
      </c>
      <c r="F69" s="64" t="n"/>
      <c r="G69" s="111" t="n"/>
      <c r="H69" s="108" t="inlineStr">
        <is>
          <t>bis 25 cm</t>
        </is>
      </c>
      <c r="I69" s="111" t="n"/>
      <c r="J69" s="111" t="n"/>
      <c r="K69" s="64" t="n"/>
      <c r="L69" s="64" t="n"/>
      <c r="M69" s="64" t="n"/>
      <c r="N69" s="64" t="n"/>
      <c r="O69" s="64" t="n"/>
      <c r="P69" s="64" t="n"/>
      <c r="Q69" s="64" t="n"/>
      <c r="R69" s="64" t="n"/>
      <c r="U69" s="78" t="inlineStr">
        <is>
          <t>QF (22x17)</t>
        </is>
      </c>
      <c r="X69" s="78" t="inlineStr">
        <is>
          <t>Br</t>
        </is>
      </c>
      <c r="AA69" s="78" t="inlineStr">
        <is>
          <t>f</t>
        </is>
      </c>
      <c r="AG69" s="78" t="inlineStr">
        <is>
          <t>Pa</t>
        </is>
      </c>
      <c r="AJ69" s="78" t="inlineStr">
        <is>
          <t>x</t>
        </is>
      </c>
      <c r="AP69" s="78" t="inlineStr">
        <is>
          <t>x</t>
        </is>
      </c>
      <c r="AR69" s="78" t="inlineStr">
        <is>
          <t>x</t>
        </is>
      </c>
      <c r="AU69" s="78" t="n">
        <v>110</v>
      </c>
      <c r="BA69" s="80" t="inlineStr">
        <is>
          <t>n</t>
        </is>
      </c>
      <c r="BB69" s="73">
        <f>#REF!+#REF!</f>
        <v/>
      </c>
      <c r="BD69" s="78" t="inlineStr">
        <is>
          <t>Wellpappe</t>
        </is>
      </c>
      <c r="BG69" s="78" t="inlineStr">
        <is>
          <t>x</t>
        </is>
      </c>
      <c r="BM69" s="75" t="inlineStr">
        <is>
          <t>x</t>
        </is>
      </c>
      <c r="BN69" s="75" t="inlineStr">
        <is>
          <t>x</t>
        </is>
      </c>
    </row>
    <row r="70" ht="22.5" customHeight="1" s="58">
      <c r="A70" s="64" t="n">
        <v>70</v>
      </c>
      <c r="B70" s="64" t="inlineStr">
        <is>
          <t>L-1756-17495347X</t>
        </is>
      </c>
      <c r="C70" s="64" t="n">
        <v>1001471156</v>
      </c>
      <c r="D70" s="66">
        <f>HYPERLINK(CONCATENATE("https://portal.dnb.de/opac.htm?method=simpleSearch&amp;cqlMode=true&amp;query=idn%3D",C70))</f>
        <v/>
      </c>
      <c r="E70" s="64" t="inlineStr">
        <is>
          <t>Bö B I 462/2°</t>
        </is>
      </c>
      <c r="F70" s="64" t="inlineStr">
        <is>
          <t>X</t>
        </is>
      </c>
      <c r="G70" s="111" t="inlineStr">
        <is>
          <t>Ledereinband</t>
        </is>
      </c>
      <c r="H70" s="108" t="inlineStr">
        <is>
          <t>&gt; 42 cm</t>
        </is>
      </c>
      <c r="I70" s="111" t="inlineStr">
        <is>
          <t>80° bis 110°, einseitig digitalisierbar?</t>
        </is>
      </c>
      <c r="J70" s="111" t="inlineStr">
        <is>
          <t>fester Rücken mit Schmuckprägung</t>
        </is>
      </c>
      <c r="K70" s="64" t="n"/>
      <c r="L70" s="64" t="inlineStr">
        <is>
          <t xml:space="preserve">Papierumschlag </t>
        </is>
      </c>
      <c r="M70" s="64" t="inlineStr">
        <is>
          <t>Ja</t>
        </is>
      </c>
      <c r="N70" s="64" t="n">
        <v>1</v>
      </c>
      <c r="O70" s="64" t="n"/>
      <c r="P70" s="64" t="n"/>
      <c r="Q70" s="64" t="n"/>
      <c r="R70" s="64" t="n"/>
      <c r="X70" s="78" t="inlineStr">
        <is>
          <t>L</t>
        </is>
      </c>
      <c r="AA70" s="78" t="inlineStr">
        <is>
          <t>f</t>
        </is>
      </c>
      <c r="AG70" s="78" t="inlineStr">
        <is>
          <t>Pa</t>
        </is>
      </c>
      <c r="AN70" s="78" t="inlineStr">
        <is>
          <t>x</t>
        </is>
      </c>
      <c r="AO70" s="80" t="inlineStr">
        <is>
          <t>B: 33x46
F: 48x61</t>
        </is>
      </c>
      <c r="AP70" s="78" t="inlineStr">
        <is>
          <t>x</t>
        </is>
      </c>
      <c r="AU70" s="78" t="n">
        <v>110</v>
      </c>
      <c r="BA70" s="80" t="inlineStr">
        <is>
          <t>ja vor</t>
        </is>
      </c>
      <c r="BB70" s="73">
        <f>#REF!+#REF!</f>
        <v/>
      </c>
      <c r="BD70" s="78" t="inlineStr">
        <is>
          <t>Wellpappe</t>
        </is>
      </c>
      <c r="BH70" s="78" t="inlineStr">
        <is>
          <t>x sauer</t>
        </is>
      </c>
      <c r="BI70" s="78" t="inlineStr">
        <is>
          <t>x</t>
        </is>
      </c>
      <c r="BM70" s="75" t="inlineStr">
        <is>
          <t>x</t>
        </is>
      </c>
      <c r="BN70" s="75" t="inlineStr">
        <is>
          <t>x</t>
        </is>
      </c>
    </row>
    <row r="71">
      <c r="A71" s="64" t="n">
        <v>71</v>
      </c>
      <c r="B71" s="64" t="inlineStr">
        <is>
          <t>L-1669-175049025</t>
        </is>
      </c>
      <c r="C71" s="64" t="inlineStr">
        <is>
          <t>100152344X</t>
        </is>
      </c>
      <c r="D71" s="66">
        <f>HYPERLINK(CONCATENATE("https://portal.dnb.de/opac.htm?method=simpleSearch&amp;cqlMode=true&amp;query=idn%3D",C71))</f>
        <v/>
      </c>
      <c r="E71" s="64" t="inlineStr">
        <is>
          <t>Bö B I 469/2°</t>
        </is>
      </c>
      <c r="F71" s="64" t="inlineStr">
        <is>
          <t>X</t>
        </is>
      </c>
      <c r="G71" s="111" t="inlineStr">
        <is>
          <t>Halbpergamentband</t>
        </is>
      </c>
      <c r="H71" s="108" t="inlineStr">
        <is>
          <t>bis 42 cm</t>
        </is>
      </c>
      <c r="I71" s="111" t="inlineStr">
        <is>
          <t>80° bis 110°, einseitig digitalisierbar?</t>
        </is>
      </c>
      <c r="J71" s="111" t="n"/>
      <c r="K71" s="64" t="n"/>
      <c r="L71" s="64" t="n"/>
      <c r="M71" s="64" t="n"/>
      <c r="N71" s="64" t="n">
        <v>0</v>
      </c>
      <c r="O71" s="64" t="n"/>
      <c r="P71" s="64" t="n"/>
      <c r="Q71" s="64" t="n"/>
      <c r="R71" s="64" t="n"/>
      <c r="X71" s="78" t="inlineStr">
        <is>
          <t>HPg</t>
        </is>
      </c>
      <c r="AA71" s="78" t="inlineStr">
        <is>
          <t>h</t>
        </is>
      </c>
      <c r="AG71" s="78" t="inlineStr">
        <is>
          <t>Pa</t>
        </is>
      </c>
      <c r="AP71" s="78" t="inlineStr">
        <is>
          <t>x</t>
        </is>
      </c>
      <c r="AU71" s="78" t="n">
        <v>110</v>
      </c>
      <c r="BA71" s="80" t="inlineStr">
        <is>
          <t>n</t>
        </is>
      </c>
      <c r="BB71" s="73">
        <f>#REF!+#REF!</f>
        <v/>
      </c>
      <c r="BD71" s="78" t="inlineStr">
        <is>
          <t>Wellpappe</t>
        </is>
      </c>
      <c r="BM71" s="75" t="inlineStr">
        <is>
          <t>x</t>
        </is>
      </c>
      <c r="BN71" s="75" t="inlineStr">
        <is>
          <t>x</t>
        </is>
      </c>
    </row>
    <row r="72">
      <c r="A72" s="64" t="n">
        <v>72</v>
      </c>
      <c r="B72" s="64" t="inlineStr">
        <is>
          <t>L-1667-175049084</t>
        </is>
      </c>
      <c r="C72" s="64" t="n">
        <v>1001523482</v>
      </c>
      <c r="D72" s="66">
        <f>HYPERLINK(CONCATENATE("https://portal.dnb.de/opac.htm?method=simpleSearch&amp;cqlMode=true&amp;query=idn%3D",C72))</f>
        <v/>
      </c>
      <c r="E72" s="64" t="inlineStr">
        <is>
          <t>Bö B I 470/2°</t>
        </is>
      </c>
      <c r="F72" s="64" t="inlineStr">
        <is>
          <t>X</t>
        </is>
      </c>
      <c r="G72" s="111" t="inlineStr">
        <is>
          <t>Halbgewebeband</t>
        </is>
      </c>
      <c r="H72" s="108" t="inlineStr">
        <is>
          <t>bis 42 cm</t>
        </is>
      </c>
      <c r="I72" s="111" t="inlineStr">
        <is>
          <t>180°</t>
        </is>
      </c>
      <c r="J72" s="111" t="n"/>
      <c r="K72" s="64" t="n"/>
      <c r="L72" s="64" t="n"/>
      <c r="M72" s="64" t="n"/>
      <c r="N72" s="64" t="n">
        <v>2</v>
      </c>
      <c r="O72" s="64" t="n"/>
      <c r="P72" s="64" t="n"/>
      <c r="Q72" s="64" t="n"/>
      <c r="R72" s="64" t="n"/>
      <c r="X72" s="78" t="inlineStr">
        <is>
          <t>HG</t>
        </is>
      </c>
      <c r="AA72" s="78" t="inlineStr">
        <is>
          <t>h/E</t>
        </is>
      </c>
      <c r="AG72" s="78" t="inlineStr">
        <is>
          <t>Pa</t>
        </is>
      </c>
      <c r="AP72" s="78" t="inlineStr">
        <is>
          <t>x</t>
        </is>
      </c>
      <c r="AU72" s="78" t="n">
        <v>110</v>
      </c>
      <c r="BA72" s="80" t="inlineStr">
        <is>
          <t>ja nach</t>
        </is>
      </c>
      <c r="BB72" s="73">
        <f>#REF!+#REF!</f>
        <v/>
      </c>
      <c r="BD72" s="78" t="inlineStr">
        <is>
          <t>Wellpappe</t>
        </is>
      </c>
      <c r="BM72" s="75" t="inlineStr">
        <is>
          <t>x</t>
        </is>
      </c>
      <c r="BN72" s="75" t="inlineStr">
        <is>
          <t>x</t>
        </is>
      </c>
    </row>
    <row r="73">
      <c r="A73" s="64" t="n">
        <v>73</v>
      </c>
      <c r="B73" s="64" t="inlineStr">
        <is>
          <t>L-1789-175086788</t>
        </is>
      </c>
      <c r="C73" s="64" t="n">
        <v>1001552482</v>
      </c>
      <c r="D73" s="66">
        <f>HYPERLINK(CONCATENATE("https://portal.dnb.de/opac.htm?method=simpleSearch&amp;cqlMode=true&amp;query=idn%3D",C73))</f>
        <v/>
      </c>
      <c r="E73" s="64" t="inlineStr">
        <is>
          <t>Bö B I 472/2°</t>
        </is>
      </c>
      <c r="F73" s="64" t="inlineStr">
        <is>
          <t>X</t>
        </is>
      </c>
      <c r="G73" s="111" t="inlineStr">
        <is>
          <t>Ledereinband</t>
        </is>
      </c>
      <c r="H73" s="108" t="inlineStr">
        <is>
          <t>bis 42 cm</t>
        </is>
      </c>
      <c r="I73" s="111" t="inlineStr">
        <is>
          <t>80° bis 110°, einseitig digitalisierbar?</t>
        </is>
      </c>
      <c r="J73" s="111" t="inlineStr">
        <is>
          <t>hohler Rücken</t>
        </is>
      </c>
      <c r="K73" s="64" t="n"/>
      <c r="L73" s="64" t="inlineStr">
        <is>
          <t xml:space="preserve">Papierumschlag </t>
        </is>
      </c>
      <c r="M73" s="64" t="inlineStr">
        <is>
          <t>Ja</t>
        </is>
      </c>
      <c r="N73" s="64" t="n">
        <v>0</v>
      </c>
      <c r="O73" s="64" t="n"/>
      <c r="P73" s="64" t="n"/>
      <c r="Q73" s="64" t="n"/>
      <c r="R73" s="64" t="n"/>
      <c r="X73" s="78" t="inlineStr">
        <is>
          <t>HL</t>
        </is>
      </c>
      <c r="AA73" s="78" t="inlineStr">
        <is>
          <t>h/E</t>
        </is>
      </c>
      <c r="AG73" s="78" t="inlineStr">
        <is>
          <t>Pa</t>
        </is>
      </c>
      <c r="AP73" s="78" t="inlineStr">
        <is>
          <t>x</t>
        </is>
      </c>
      <c r="AU73" s="78" t="n">
        <v>110</v>
      </c>
      <c r="BA73" s="80" t="inlineStr">
        <is>
          <t>n</t>
        </is>
      </c>
      <c r="BB73" s="73">
        <f>#REF!+#REF!</f>
        <v/>
      </c>
      <c r="BD73" s="78" t="inlineStr">
        <is>
          <t>Wellpappe</t>
        </is>
      </c>
      <c r="BH73" s="78" t="inlineStr">
        <is>
          <t>x sauer</t>
        </is>
      </c>
      <c r="BI73" s="78" t="inlineStr">
        <is>
          <t>x</t>
        </is>
      </c>
      <c r="BM73" s="75" t="inlineStr">
        <is>
          <t>x</t>
        </is>
      </c>
      <c r="BN73" s="75" t="inlineStr">
        <is>
          <t>x</t>
        </is>
      </c>
    </row>
    <row r="74">
      <c r="A74" s="64" t="n">
        <v>74</v>
      </c>
      <c r="B74" s="64" t="inlineStr">
        <is>
          <t>L-1789-175087016</t>
        </is>
      </c>
      <c r="C74" s="64" t="n">
        <v>1001552733</v>
      </c>
      <c r="D74" s="66">
        <f>HYPERLINK(CONCATENATE("https://portal.dnb.de/opac.htm?method=simpleSearch&amp;cqlMode=true&amp;query=idn%3D",C74))</f>
        <v/>
      </c>
      <c r="E74" s="64" t="inlineStr">
        <is>
          <t>Bö B I 472/2° (angebunden)</t>
        </is>
      </c>
      <c r="F74" s="64" t="n"/>
      <c r="G74" s="111" t="n"/>
      <c r="H74" s="108" t="n"/>
      <c r="I74" s="111" t="n"/>
      <c r="J74" s="111" t="n"/>
      <c r="K74" s="64" t="n"/>
      <c r="L74" s="64" t="n"/>
      <c r="M74" s="64" t="n"/>
      <c r="N74" s="64" t="n"/>
      <c r="O74" s="64" t="n"/>
      <c r="P74" s="64" t="n"/>
      <c r="Q74" s="64" t="n"/>
      <c r="R74" s="64" t="n"/>
      <c r="BB74" s="73">
        <f>#REF!+#REF!</f>
        <v/>
      </c>
      <c r="BD74" s="78" t="inlineStr">
        <is>
          <t>Wellpappe</t>
        </is>
      </c>
      <c r="BM74" s="75" t="inlineStr">
        <is>
          <t>x</t>
        </is>
      </c>
      <c r="BN74" s="75" t="inlineStr">
        <is>
          <t>x</t>
        </is>
      </c>
    </row>
    <row r="75">
      <c r="A75" s="64" t="n">
        <v>75</v>
      </c>
      <c r="B75" s="64" t="inlineStr">
        <is>
          <t>L-1705-174985053</t>
        </is>
      </c>
      <c r="C75" s="64" t="n">
        <v>1001487680</v>
      </c>
      <c r="D75" s="66">
        <f>HYPERLINK(CONCATENATE("https://portal.dnb.de/opac.htm?method=simpleSearch&amp;cqlMode=true&amp;query=idn%3D",C75))</f>
        <v/>
      </c>
      <c r="E75" s="64" t="inlineStr">
        <is>
          <t>Bö B I 474/2°</t>
        </is>
      </c>
      <c r="F75" s="64" t="inlineStr">
        <is>
          <t>X</t>
        </is>
      </c>
      <c r="G75" s="111" t="inlineStr">
        <is>
          <t>Halbledereinband</t>
        </is>
      </c>
      <c r="H75" s="108" t="inlineStr">
        <is>
          <t>bis 42 cm</t>
        </is>
      </c>
      <c r="I75" s="111" t="inlineStr">
        <is>
          <t>80° bis 110°, einseitig digitalisierbar?</t>
        </is>
      </c>
      <c r="J75" s="111" t="n"/>
      <c r="K75" s="64" t="n"/>
      <c r="L75" s="64" t="n"/>
      <c r="M75" s="64" t="n"/>
      <c r="N75" s="64" t="n">
        <v>0</v>
      </c>
      <c r="O75" s="64" t="n"/>
      <c r="P75" s="64" t="n"/>
      <c r="Q75" s="64" t="n"/>
      <c r="R75" s="64" t="n"/>
      <c r="X75" s="78" t="inlineStr">
        <is>
          <t>HPg</t>
        </is>
      </c>
      <c r="AA75" s="78" t="inlineStr">
        <is>
          <t>h</t>
        </is>
      </c>
      <c r="AG75" s="78" t="inlineStr">
        <is>
          <t>Pa</t>
        </is>
      </c>
      <c r="AP75" s="78" t="inlineStr">
        <is>
          <t>x</t>
        </is>
      </c>
      <c r="AU75" s="78" t="n">
        <v>110</v>
      </c>
      <c r="BA75" s="80" t="inlineStr">
        <is>
          <t>n</t>
        </is>
      </c>
      <c r="BB75" s="73">
        <f>#REF!+#REF!</f>
        <v/>
      </c>
      <c r="BD75" s="78" t="inlineStr">
        <is>
          <t>Wellpappe</t>
        </is>
      </c>
      <c r="BM75" s="75" t="inlineStr">
        <is>
          <t>x</t>
        </is>
      </c>
      <c r="BN75" s="75" t="inlineStr">
        <is>
          <t>x</t>
        </is>
      </c>
    </row>
    <row r="76">
      <c r="A76" s="64" t="n">
        <v>76</v>
      </c>
      <c r="B76" s="64" t="inlineStr">
        <is>
          <t>L-1668-176918574</t>
        </is>
      </c>
      <c r="C76" s="64" t="inlineStr">
        <is>
          <t>100226667X</t>
        </is>
      </c>
      <c r="D76" s="66">
        <f>HYPERLINK(CONCATENATE("https://portal.dnb.de/opac.htm?method=simpleSearch&amp;cqlMode=true&amp;query=idn%3D",C76))</f>
        <v/>
      </c>
      <c r="E76" s="64" t="inlineStr">
        <is>
          <t>Bö B I 489</t>
        </is>
      </c>
      <c r="F76" s="64" t="inlineStr">
        <is>
          <t>X</t>
        </is>
      </c>
      <c r="G76" s="111" t="inlineStr">
        <is>
          <t>Halbledereinband</t>
        </is>
      </c>
      <c r="H76" s="108" t="inlineStr">
        <is>
          <t>bis 25 cm</t>
        </is>
      </c>
      <c r="I76" s="111" t="inlineStr">
        <is>
          <t>180°</t>
        </is>
      </c>
      <c r="J76" s="111" t="inlineStr">
        <is>
          <t>fester Rücken mit Schmuckprägung</t>
        </is>
      </c>
      <c r="K76" s="64" t="n"/>
      <c r="L76" s="64" t="inlineStr">
        <is>
          <t>Archivkarton</t>
        </is>
      </c>
      <c r="M76" s="64" t="inlineStr">
        <is>
          <t>Nein</t>
        </is>
      </c>
      <c r="N76" s="64" t="n">
        <v>0</v>
      </c>
      <c r="O76" s="64" t="n"/>
      <c r="P76" s="64" t="n"/>
      <c r="Q76" s="64" t="n"/>
      <c r="R76" s="64" t="n"/>
      <c r="BB76" s="73">
        <f>#REF!+#REF!</f>
        <v/>
      </c>
      <c r="BD76" s="78" t="inlineStr">
        <is>
          <t>Wellpappe</t>
        </is>
      </c>
      <c r="BM76" s="75" t="inlineStr">
        <is>
          <t>x</t>
        </is>
      </c>
      <c r="BN76" s="75" t="inlineStr">
        <is>
          <t>x</t>
        </is>
      </c>
    </row>
    <row r="77">
      <c r="A77" s="64" t="n">
        <v>77</v>
      </c>
      <c r="B77" s="64" t="inlineStr">
        <is>
          <t>L-1680-176918728</t>
        </is>
      </c>
      <c r="C77" s="64" t="n">
        <v>1002266858</v>
      </c>
      <c r="D77" s="66">
        <f>HYPERLINK(CONCATENATE("https://portal.dnb.de/opac.htm?method=simpleSearch&amp;cqlMode=true&amp;query=idn%3D",C77))</f>
        <v/>
      </c>
      <c r="E77" s="64" t="inlineStr">
        <is>
          <t>Bö B I 490</t>
        </is>
      </c>
      <c r="F77" s="64" t="inlineStr">
        <is>
          <t>X</t>
        </is>
      </c>
      <c r="G77" s="111" t="inlineStr">
        <is>
          <t>Halbpergamentband</t>
        </is>
      </c>
      <c r="H77" s="108" t="inlineStr">
        <is>
          <t>bis 25 cm</t>
        </is>
      </c>
      <c r="I77" s="111" t="inlineStr">
        <is>
          <t>180°</t>
        </is>
      </c>
      <c r="J77" s="111" t="n"/>
      <c r="K77" s="64" t="n"/>
      <c r="L77" s="64" t="inlineStr">
        <is>
          <t>Archivkarton</t>
        </is>
      </c>
      <c r="M77" s="64" t="inlineStr">
        <is>
          <t>Nein</t>
        </is>
      </c>
      <c r="N77" s="64" t="n">
        <v>0</v>
      </c>
      <c r="O77" s="64" t="n"/>
      <c r="P77" s="64" t="n"/>
      <c r="Q77" s="64" t="n"/>
      <c r="R77" s="64" t="n"/>
      <c r="BB77" s="73">
        <f>#REF!+#REF!</f>
        <v/>
      </c>
      <c r="BD77" s="78" t="inlineStr">
        <is>
          <t>Wellpappe</t>
        </is>
      </c>
      <c r="BM77" s="75" t="inlineStr">
        <is>
          <t>x</t>
        </is>
      </c>
      <c r="BN77" s="75" t="inlineStr">
        <is>
          <t>x</t>
        </is>
      </c>
    </row>
    <row r="78">
      <c r="A78" s="64" t="n">
        <v>78</v>
      </c>
      <c r="B78" s="64" t="inlineStr">
        <is>
          <t>L-1777-177418761</t>
        </is>
      </c>
      <c r="C78" s="64" t="n">
        <v>1002488575</v>
      </c>
      <c r="D78" s="66">
        <f>HYPERLINK(CONCATENATE("https://portal.dnb.de/opac.htm?method=simpleSearch&amp;cqlMode=true&amp;query=idn%3D",C78))</f>
        <v/>
      </c>
      <c r="E78" s="64" t="inlineStr">
        <is>
          <t>Bö B I 492/4°</t>
        </is>
      </c>
      <c r="F78" s="64" t="inlineStr">
        <is>
          <t>X</t>
        </is>
      </c>
      <c r="G78" s="111" t="inlineStr">
        <is>
          <t>Halbgewebeband</t>
        </is>
      </c>
      <c r="H78" s="108" t="inlineStr">
        <is>
          <t>bis 35 cm</t>
        </is>
      </c>
      <c r="I78" s="111" t="inlineStr">
        <is>
          <t>80° bis 110°, einseitig digitalisierbar?</t>
        </is>
      </c>
      <c r="J78" s="111" t="inlineStr">
        <is>
          <t>hohler Rücken</t>
        </is>
      </c>
      <c r="K78" s="64" t="n"/>
      <c r="L78" s="64" t="n"/>
      <c r="M78" s="64" t="n"/>
      <c r="N78" s="64" t="n">
        <v>1</v>
      </c>
      <c r="O78" s="64" t="n"/>
      <c r="P78" s="64" t="n"/>
      <c r="Q78" s="64" t="n"/>
      <c r="R78" s="64" t="n"/>
      <c r="U78" s="78" t="inlineStr">
        <is>
          <t>QF (44x29)</t>
        </is>
      </c>
      <c r="X78" s="78" t="inlineStr">
        <is>
          <t>HPg</t>
        </is>
      </c>
      <c r="AA78" s="78" t="inlineStr">
        <is>
          <t>h</t>
        </is>
      </c>
      <c r="AG78" s="78" t="inlineStr">
        <is>
          <t>Pa</t>
        </is>
      </c>
      <c r="AP78" s="78" t="inlineStr">
        <is>
          <t>x</t>
        </is>
      </c>
      <c r="AU78" s="78" t="n">
        <v>110</v>
      </c>
      <c r="BA78" s="80" t="inlineStr">
        <is>
          <t>n</t>
        </is>
      </c>
      <c r="BB78" s="73">
        <f>#REF!+#REF!</f>
        <v/>
      </c>
      <c r="BD78" s="78" t="inlineStr">
        <is>
          <t>Wellpappe</t>
        </is>
      </c>
      <c r="BM78" s="75" t="inlineStr">
        <is>
          <t>x</t>
        </is>
      </c>
      <c r="BN78" s="75" t="inlineStr">
        <is>
          <t>x</t>
        </is>
      </c>
    </row>
    <row r="79" ht="22.5" customHeight="1" s="58">
      <c r="A79" s="64" t="n">
        <v>79</v>
      </c>
      <c r="B79" s="64" t="inlineStr">
        <is>
          <t>L-1744-177387106</t>
        </is>
      </c>
      <c r="C79" s="64" t="n">
        <v>1002456193</v>
      </c>
      <c r="D79" s="66">
        <f>HYPERLINK(CONCATENATE("https://portal.dnb.de/opac.htm?method=simpleSearch&amp;cqlMode=true&amp;query=idn%3D",C79))</f>
        <v/>
      </c>
      <c r="E79" s="64" t="inlineStr">
        <is>
          <t>Bö B I 497 -1</t>
        </is>
      </c>
      <c r="F79" s="64" t="inlineStr">
        <is>
          <t>X</t>
        </is>
      </c>
      <c r="G79" s="111" t="inlineStr">
        <is>
          <t>Halbledereinband</t>
        </is>
      </c>
      <c r="H79" s="108" t="inlineStr">
        <is>
          <t>bis 25 cm</t>
        </is>
      </c>
      <c r="I79" s="111" t="inlineStr">
        <is>
          <t>180°</t>
        </is>
      </c>
      <c r="J79" s="111" t="inlineStr">
        <is>
          <t>Schrift bis in den Falz</t>
        </is>
      </c>
      <c r="K79" s="64" t="n"/>
      <c r="L79" s="64" t="inlineStr">
        <is>
          <t>Archivkarton</t>
        </is>
      </c>
      <c r="M79" s="64" t="inlineStr">
        <is>
          <t>Nein</t>
        </is>
      </c>
      <c r="N79" s="64" t="n">
        <v>0</v>
      </c>
      <c r="O79" s="64" t="n"/>
      <c r="P79" s="64" t="n"/>
      <c r="Q79" s="64" t="n"/>
      <c r="R79" s="64" t="n"/>
      <c r="U79" s="78" t="inlineStr">
        <is>
          <t>QF (23x18)</t>
        </is>
      </c>
      <c r="X79" s="78" t="inlineStr">
        <is>
          <t>HL</t>
        </is>
      </c>
      <c r="Z79" s="78" t="inlineStr">
        <is>
          <t>x</t>
        </is>
      </c>
      <c r="AA79" s="78" t="inlineStr">
        <is>
          <t>f</t>
        </is>
      </c>
      <c r="AG79" s="78" t="inlineStr">
        <is>
          <t>Pa</t>
        </is>
      </c>
      <c r="AN79" s="78" t="inlineStr">
        <is>
          <t>x</t>
        </is>
      </c>
      <c r="AO79" s="80" t="inlineStr">
        <is>
          <t>B: 23x18
F: 20x30</t>
        </is>
      </c>
      <c r="AP79" s="78" t="inlineStr">
        <is>
          <t>x</t>
        </is>
      </c>
      <c r="AU79" s="78" t="n">
        <v>110</v>
      </c>
      <c r="AZ79" s="78" t="inlineStr">
        <is>
          <t>x</t>
        </is>
      </c>
      <c r="BA79" s="80" t="inlineStr">
        <is>
          <t>n</t>
        </is>
      </c>
      <c r="BB79" s="73">
        <f>#REF!+#REF!</f>
        <v/>
      </c>
      <c r="BD79" s="78" t="inlineStr">
        <is>
          <t>Wellpappe</t>
        </is>
      </c>
      <c r="BM79" s="75" t="inlineStr">
        <is>
          <t>x</t>
        </is>
      </c>
      <c r="BN79" s="75" t="inlineStr">
        <is>
          <t>x</t>
        </is>
      </c>
    </row>
    <row r="80">
      <c r="A80" s="64" t="n">
        <v>80</v>
      </c>
      <c r="B80" s="64" t="inlineStr">
        <is>
          <t>L-1744-177387246</t>
        </is>
      </c>
      <c r="C80" s="64" t="n">
        <v>1002456312</v>
      </c>
      <c r="D80" s="66">
        <f>HYPERLINK(CONCATENATE("https://portal.dnb.de/opac.htm?method=simpleSearch&amp;cqlMode=true&amp;query=idn%3D",C80))</f>
        <v/>
      </c>
      <c r="E80" s="64" t="inlineStr">
        <is>
          <t>Bö B I 497 (angebunden)</t>
        </is>
      </c>
      <c r="F80" s="64" t="n"/>
      <c r="G80" s="111" t="n"/>
      <c r="H80" s="108" t="n"/>
      <c r="I80" s="111" t="n"/>
      <c r="J80" s="111" t="n"/>
      <c r="K80" s="64" t="n"/>
      <c r="L80" s="64" t="n"/>
      <c r="M80" s="64" t="n"/>
      <c r="N80" s="64" t="n"/>
      <c r="O80" s="64" t="n"/>
      <c r="P80" s="64" t="n"/>
      <c r="Q80" s="64" t="n"/>
      <c r="R80" s="64" t="n"/>
      <c r="BB80" s="73">
        <f>#REF!+#REF!</f>
        <v/>
      </c>
      <c r="BD80" s="78" t="inlineStr">
        <is>
          <t>Wellpappe</t>
        </is>
      </c>
      <c r="BM80" s="75" t="inlineStr">
        <is>
          <t>x</t>
        </is>
      </c>
      <c r="BN80" s="75" t="inlineStr">
        <is>
          <t>x</t>
        </is>
      </c>
    </row>
    <row r="81">
      <c r="A81" s="64" t="n">
        <v>81</v>
      </c>
      <c r="B81" s="64" t="inlineStr">
        <is>
          <t>L-1744-177387912</t>
        </is>
      </c>
      <c r="C81" s="64" t="n">
        <v>1002457009</v>
      </c>
      <c r="D81" s="66">
        <f>HYPERLINK(CONCATENATE("https://portal.dnb.de/opac.htm?method=simpleSearch&amp;cqlMode=true&amp;query=idn%3D",C81))</f>
        <v/>
      </c>
      <c r="E81" s="64" t="inlineStr">
        <is>
          <t>Bö B I 497 (angebunden)</t>
        </is>
      </c>
      <c r="F81" s="64" t="n"/>
      <c r="G81" s="111" t="n"/>
      <c r="H81" s="108" t="n"/>
      <c r="I81" s="111" t="n"/>
      <c r="J81" s="111" t="n"/>
      <c r="K81" s="64" t="n"/>
      <c r="L81" s="64" t="n"/>
      <c r="M81" s="64" t="n"/>
      <c r="N81" s="64" t="n"/>
      <c r="O81" s="64" t="n"/>
      <c r="P81" s="64" t="n"/>
      <c r="Q81" s="64" t="n"/>
      <c r="R81" s="64" t="n"/>
      <c r="BB81" s="73">
        <f>#REF!+#REF!</f>
        <v/>
      </c>
      <c r="BD81" s="78" t="inlineStr">
        <is>
          <t>Wellpappe</t>
        </is>
      </c>
      <c r="BM81" s="75" t="inlineStr">
        <is>
          <t>x</t>
        </is>
      </c>
      <c r="BN81" s="75" t="inlineStr">
        <is>
          <t>x</t>
        </is>
      </c>
    </row>
    <row r="82">
      <c r="A82" s="64" t="n">
        <v>82</v>
      </c>
      <c r="B82" s="64" t="inlineStr">
        <is>
          <t>L-1747-177388404</t>
        </is>
      </c>
      <c r="C82" s="64" t="n">
        <v>1002457513</v>
      </c>
      <c r="D82" s="66">
        <f>HYPERLINK(CONCATENATE("https://portal.dnb.de/opac.htm?method=simpleSearch&amp;cqlMode=true&amp;query=idn%3D",C82))</f>
        <v/>
      </c>
      <c r="E82" s="64" t="inlineStr">
        <is>
          <t>Bö B I 497 (angebunden)</t>
        </is>
      </c>
      <c r="F82" s="64" t="n"/>
      <c r="G82" s="111" t="n"/>
      <c r="H82" s="108" t="n"/>
      <c r="I82" s="111" t="n"/>
      <c r="J82" s="111" t="n"/>
      <c r="K82" s="64" t="n"/>
      <c r="L82" s="64" t="n"/>
      <c r="M82" s="64" t="n"/>
      <c r="N82" s="64" t="n"/>
      <c r="O82" s="64" t="n"/>
      <c r="P82" s="64" t="n"/>
      <c r="Q82" s="64" t="n"/>
      <c r="R82" s="64" t="n"/>
      <c r="BB82" s="73">
        <f>#REF!+#REF!</f>
        <v/>
      </c>
      <c r="BD82" s="78" t="inlineStr">
        <is>
          <t>Wellpappe</t>
        </is>
      </c>
      <c r="BM82" s="75" t="inlineStr">
        <is>
          <t>x</t>
        </is>
      </c>
      <c r="BN82" s="75" t="inlineStr">
        <is>
          <t>x</t>
        </is>
      </c>
    </row>
    <row r="83">
      <c r="A83" s="64" t="n">
        <v>83</v>
      </c>
      <c r="B83" s="64" t="inlineStr">
        <is>
          <t>L-1621-17784387X</t>
        </is>
      </c>
      <c r="C83" s="64" t="n">
        <v>1002689872</v>
      </c>
      <c r="D83" s="66">
        <f>HYPERLINK(CONCATENATE("https://portal.dnb.de/opac.htm?method=simpleSearch&amp;cqlMode=true&amp;query=idn%3D",C83))</f>
        <v/>
      </c>
      <c r="E83" s="64" t="inlineStr">
        <is>
          <t>Bö B I 499/4°</t>
        </is>
      </c>
      <c r="F83" s="64" t="n"/>
      <c r="G83" s="111" t="n"/>
      <c r="H83" s="108" t="n"/>
      <c r="I83" s="111" t="n"/>
      <c r="J83" s="111" t="n"/>
      <c r="K83" s="64" t="n"/>
      <c r="L83" s="64" t="n"/>
      <c r="M83" s="64" t="n"/>
      <c r="N83" s="64" t="n"/>
      <c r="O83" s="64" t="n"/>
      <c r="P83" s="64" t="n"/>
      <c r="Q83" s="64" t="n"/>
      <c r="R83" s="64" t="n"/>
      <c r="BB83" s="73">
        <f>#REF!+#REF!</f>
        <v/>
      </c>
      <c r="BD83" s="78" t="inlineStr">
        <is>
          <t>Wellpappe</t>
        </is>
      </c>
      <c r="BM83" s="75" t="inlineStr">
        <is>
          <t>x</t>
        </is>
      </c>
      <c r="BN83" s="75" t="inlineStr">
        <is>
          <t>x</t>
        </is>
      </c>
    </row>
    <row r="84">
      <c r="A84" s="64" t="n">
        <v>84</v>
      </c>
      <c r="B84" s="64" t="inlineStr">
        <is>
          <t>L-1620-182914232</t>
        </is>
      </c>
      <c r="C84" s="64" t="n">
        <v>1004800959</v>
      </c>
      <c r="D84" s="66">
        <f>HYPERLINK(CONCATENATE("https://portal.dnb.de/opac.htm?method=simpleSearch&amp;cqlMode=true&amp;query=idn%3D",C84))</f>
        <v/>
      </c>
      <c r="E84" s="64" t="inlineStr">
        <is>
          <t>Bö B I 499/4°</t>
        </is>
      </c>
      <c r="F84" s="64" t="inlineStr">
        <is>
          <t>X</t>
        </is>
      </c>
      <c r="G84" s="111" t="inlineStr">
        <is>
          <t>Halbledereinband</t>
        </is>
      </c>
      <c r="H84" s="108" t="inlineStr">
        <is>
          <t>bis 35 cm</t>
        </is>
      </c>
      <c r="I84" s="111" t="inlineStr">
        <is>
          <t>80° bis 110°, einseitig digitalisierbar?</t>
        </is>
      </c>
      <c r="J84" s="111" t="inlineStr">
        <is>
          <t>fester Rücken mit Schmuckprägung</t>
        </is>
      </c>
      <c r="K84" s="64" t="n"/>
      <c r="L84" s="64" t="inlineStr">
        <is>
          <t>Archivkarton</t>
        </is>
      </c>
      <c r="M84" s="64" t="inlineStr">
        <is>
          <t>Nein</t>
        </is>
      </c>
      <c r="N84" s="64" t="n">
        <v>0</v>
      </c>
      <c r="O84" s="64" t="n"/>
      <c r="P84" s="64" t="n"/>
      <c r="Q84" s="64" t="n"/>
      <c r="R84" s="64" t="n"/>
      <c r="X84" s="78" t="inlineStr">
        <is>
          <t>HL</t>
        </is>
      </c>
      <c r="Z84" s="78" t="inlineStr">
        <is>
          <t>x</t>
        </is>
      </c>
      <c r="AA84" s="78" t="inlineStr">
        <is>
          <t>f</t>
        </is>
      </c>
      <c r="AG84" s="78" t="inlineStr">
        <is>
          <t>Pa</t>
        </is>
      </c>
      <c r="AP84" s="78" t="inlineStr">
        <is>
          <t>x</t>
        </is>
      </c>
      <c r="AR84" s="78" t="inlineStr">
        <is>
          <t>x</t>
        </is>
      </c>
      <c r="AU84" s="78" t="n">
        <v>110</v>
      </c>
      <c r="BA84" s="80" t="inlineStr">
        <is>
          <t>n</t>
        </is>
      </c>
      <c r="BB84" s="73">
        <f>#REF!+#REF!</f>
        <v/>
      </c>
      <c r="BD84" s="78" t="inlineStr">
        <is>
          <t>Wellpappe</t>
        </is>
      </c>
      <c r="BG84" s="78" t="inlineStr">
        <is>
          <t>x</t>
        </is>
      </c>
      <c r="BM84" s="75" t="inlineStr">
        <is>
          <t>x</t>
        </is>
      </c>
      <c r="BN84" s="75" t="inlineStr">
        <is>
          <t>x</t>
        </is>
      </c>
    </row>
    <row r="85">
      <c r="A85" s="64" t="n">
        <v>85</v>
      </c>
      <c r="B85" s="64" t="inlineStr">
        <is>
          <t>L-9999-184157013</t>
        </is>
      </c>
      <c r="C85" s="64" t="n">
        <v>1005264414</v>
      </c>
      <c r="D85" s="66">
        <f>HYPERLINK(CONCATENATE("https://portal.dnb.de/opac.htm?method=simpleSearch&amp;cqlMode=true&amp;query=idn%3D",C85))</f>
        <v/>
      </c>
      <c r="E85" s="64" t="inlineStr">
        <is>
          <t>Bö B I 499/4°</t>
        </is>
      </c>
      <c r="F85" s="64" t="n"/>
      <c r="G85" s="111" t="n"/>
      <c r="H85" s="108" t="n"/>
      <c r="I85" s="111" t="n"/>
      <c r="J85" s="111" t="n"/>
      <c r="K85" s="64" t="n"/>
      <c r="L85" s="64" t="n"/>
      <c r="M85" s="64" t="n"/>
      <c r="N85" s="64" t="n"/>
      <c r="O85" s="64" t="n"/>
      <c r="P85" s="64" t="n"/>
      <c r="Q85" s="64" t="n"/>
      <c r="R85" s="64" t="n"/>
      <c r="BB85" s="73">
        <f>#REF!+#REF!</f>
        <v/>
      </c>
      <c r="BD85" s="78" t="inlineStr">
        <is>
          <t>Wellpappe</t>
        </is>
      </c>
      <c r="BM85" s="75" t="inlineStr">
        <is>
          <t>x</t>
        </is>
      </c>
      <c r="BN85" s="75" t="inlineStr">
        <is>
          <t>x</t>
        </is>
      </c>
    </row>
    <row r="86">
      <c r="A86" s="64" t="n">
        <v>86</v>
      </c>
      <c r="B86" s="64" t="inlineStr">
        <is>
          <t>L-1830-31546836X</t>
        </is>
      </c>
      <c r="C86" s="64" t="n">
        <v>1066940584</v>
      </c>
      <c r="D86" s="66">
        <f>HYPERLINK(CONCATENATE("https://portal.dnb.de/opac.htm?method=simpleSearch&amp;cqlMode=true&amp;query=idn%3D",C86))</f>
        <v/>
      </c>
      <c r="E86" s="64" t="inlineStr">
        <is>
          <t>Bö B I 503</t>
        </is>
      </c>
      <c r="F86" s="64" t="inlineStr">
        <is>
          <t>X</t>
        </is>
      </c>
      <c r="G86" s="111" t="inlineStr">
        <is>
          <t>Halbgewebeband</t>
        </is>
      </c>
      <c r="H86" s="108" t="inlineStr">
        <is>
          <t>bis 25 cm</t>
        </is>
      </c>
      <c r="I86" s="111" t="inlineStr">
        <is>
          <t>180°</t>
        </is>
      </c>
      <c r="J86" s="111" t="n"/>
      <c r="K86" s="64" t="n"/>
      <c r="L86" s="64" t="inlineStr">
        <is>
          <t>Archivkarton</t>
        </is>
      </c>
      <c r="M86" s="64" t="inlineStr">
        <is>
          <t>Nein</t>
        </is>
      </c>
      <c r="N86" s="64" t="n">
        <v>0</v>
      </c>
      <c r="O86" s="64" t="n"/>
      <c r="P86" s="64" t="n"/>
      <c r="Q86" s="64" t="n"/>
      <c r="R86" s="64" t="n"/>
      <c r="BB86" s="73">
        <f>#REF!+#REF!</f>
        <v/>
      </c>
      <c r="BD86" s="78" t="inlineStr">
        <is>
          <t>Wellpappe</t>
        </is>
      </c>
      <c r="BM86" s="75" t="inlineStr">
        <is>
          <t>x</t>
        </is>
      </c>
      <c r="BN86" s="75" t="inlineStr">
        <is>
          <t>x</t>
        </is>
      </c>
    </row>
    <row r="87">
      <c r="A87" s="64" t="n">
        <v>87</v>
      </c>
      <c r="B87" s="64" t="inlineStr">
        <is>
          <t>L-1672-177815825</t>
        </is>
      </c>
      <c r="C87" s="64" t="n">
        <v>1002661714</v>
      </c>
      <c r="D87" s="66">
        <f>HYPERLINK(CONCATENATE("https://portal.dnb.de/opac.htm?method=simpleSearch&amp;cqlMode=true&amp;query=idn%3D",C87))</f>
        <v/>
      </c>
      <c r="E87" s="64" t="inlineStr">
        <is>
          <t>Bö B I 504</t>
        </is>
      </c>
      <c r="F87" s="64" t="inlineStr">
        <is>
          <t>X</t>
        </is>
      </c>
      <c r="G87" s="111" t="inlineStr">
        <is>
          <t>Pergamentband</t>
        </is>
      </c>
      <c r="H87" s="108" t="inlineStr">
        <is>
          <t>bis 25 cm</t>
        </is>
      </c>
      <c r="I87" s="111" t="inlineStr">
        <is>
          <t>80° bis 110°, einseitig digitalisierbar?</t>
        </is>
      </c>
      <c r="J87" s="111" t="inlineStr">
        <is>
          <t>hohler Rücken</t>
        </is>
      </c>
      <c r="K87" s="64" t="n"/>
      <c r="L87" s="64" t="inlineStr">
        <is>
          <t>Archivkarton</t>
        </is>
      </c>
      <c r="M87" s="64" t="inlineStr">
        <is>
          <t>Nein</t>
        </is>
      </c>
      <c r="N87" s="64" t="n">
        <v>2</v>
      </c>
      <c r="O87" s="64" t="n"/>
      <c r="P87" s="64" t="n"/>
      <c r="Q87" s="64" t="n"/>
      <c r="R87" s="64" t="n"/>
      <c r="BB87" s="73">
        <f>#REF!+#REF!</f>
        <v/>
      </c>
      <c r="BD87" s="78" t="inlineStr">
        <is>
          <t>Wellpappe</t>
        </is>
      </c>
      <c r="BM87" s="75" t="inlineStr">
        <is>
          <t>x</t>
        </is>
      </c>
      <c r="BN87" s="75" t="inlineStr">
        <is>
          <t>x</t>
        </is>
      </c>
    </row>
    <row r="88">
      <c r="A88" s="64" t="n">
        <v>88</v>
      </c>
      <c r="B88" s="64" t="inlineStr">
        <is>
          <t>L-1587-178175307</t>
        </is>
      </c>
      <c r="C88" s="64" t="n">
        <v>1002797225</v>
      </c>
      <c r="D88" s="66">
        <f>HYPERLINK(CONCATENATE("https://portal.dnb.de/opac.htm?method=simpleSearch&amp;cqlMode=true&amp;query=idn%3D",C88))</f>
        <v/>
      </c>
      <c r="E88" s="64" t="inlineStr">
        <is>
          <t>Bö B I 505</t>
        </is>
      </c>
      <c r="F88" s="64" t="inlineStr">
        <is>
          <t>X</t>
        </is>
      </c>
      <c r="G88" s="111" t="inlineStr">
        <is>
          <t>Halbpergamentband</t>
        </is>
      </c>
      <c r="H88" s="108" t="inlineStr">
        <is>
          <t>bis 25 cm</t>
        </is>
      </c>
      <c r="I88" s="111" t="inlineStr">
        <is>
          <t>80° bis 110°, einseitig digitalisierbar?</t>
        </is>
      </c>
      <c r="J88" s="111" t="n"/>
      <c r="K88" s="64" t="n"/>
      <c r="L88" s="64" t="inlineStr">
        <is>
          <t>Archivkarton</t>
        </is>
      </c>
      <c r="M88" s="64" t="inlineStr">
        <is>
          <t>Nein</t>
        </is>
      </c>
      <c r="N88" s="64" t="n">
        <v>0</v>
      </c>
      <c r="O88" s="64" t="n"/>
      <c r="P88" s="64" t="n"/>
      <c r="Q88" s="64" t="n"/>
      <c r="R88" s="64" t="n"/>
      <c r="BB88" s="73">
        <f>#REF!+#REF!</f>
        <v/>
      </c>
      <c r="BD88" s="78" t="inlineStr">
        <is>
          <t>Wellpappe</t>
        </is>
      </c>
      <c r="BM88" s="75" t="inlineStr">
        <is>
          <t>x</t>
        </is>
      </c>
      <c r="BN88" s="75" t="inlineStr">
        <is>
          <t>x</t>
        </is>
      </c>
    </row>
    <row r="89">
      <c r="A89" s="64" t="n">
        <v>89</v>
      </c>
      <c r="B89" s="64" t="inlineStr">
        <is>
          <t>L-1776-162843321</t>
        </is>
      </c>
      <c r="C89" s="64" t="n">
        <v>993908063</v>
      </c>
      <c r="D89" s="66">
        <f>HYPERLINK(CONCATENATE("https://portal.dnb.de/opac.htm?method=simpleSearch&amp;cqlMode=true&amp;query=idn%3D",C89))</f>
        <v/>
      </c>
      <c r="E89" s="64" t="inlineStr">
        <is>
          <t>Bö B I 506</t>
        </is>
      </c>
      <c r="F89" s="64" t="inlineStr">
        <is>
          <t>X</t>
        </is>
      </c>
      <c r="G89" s="111" t="inlineStr">
        <is>
          <t>Pergamentband</t>
        </is>
      </c>
      <c r="H89" s="108" t="inlineStr">
        <is>
          <t>bis 35 cm</t>
        </is>
      </c>
      <c r="I89" s="111" t="inlineStr">
        <is>
          <t>80° bis 110°, einseitig digitalisierbar?</t>
        </is>
      </c>
      <c r="J89" s="111" t="inlineStr">
        <is>
          <t>hohler Rücken</t>
        </is>
      </c>
      <c r="K89" s="64" t="n"/>
      <c r="L89" s="64" t="inlineStr">
        <is>
          <t>Archivkarton</t>
        </is>
      </c>
      <c r="M89" s="64" t="inlineStr">
        <is>
          <t>Nein</t>
        </is>
      </c>
      <c r="N89" s="64" t="n">
        <v>0</v>
      </c>
      <c r="O89" s="64" t="n"/>
      <c r="P89" s="64" t="n"/>
      <c r="Q89" s="64" t="n"/>
      <c r="R89" s="64" t="n"/>
      <c r="BB89" s="73">
        <f>#REF!+#REF!</f>
        <v/>
      </c>
      <c r="BD89" s="78" t="inlineStr">
        <is>
          <t>Wellpappe</t>
        </is>
      </c>
      <c r="BM89" s="75" t="inlineStr">
        <is>
          <t>x</t>
        </is>
      </c>
      <c r="BN89" s="75" t="inlineStr">
        <is>
          <t>x</t>
        </is>
      </c>
    </row>
    <row r="90">
      <c r="A90" s="64" t="n">
        <v>90</v>
      </c>
      <c r="B90" s="64" t="inlineStr">
        <is>
          <t>L-1794-170642828</t>
        </is>
      </c>
      <c r="C90" s="64" t="n">
        <v>1000444562</v>
      </c>
      <c r="D90" s="66">
        <f>HYPERLINK(CONCATENATE("https://portal.dnb.de/opac.htm?method=simpleSearch&amp;cqlMode=true&amp;query=idn%3D",C90))</f>
        <v/>
      </c>
      <c r="E90" s="64" t="inlineStr">
        <is>
          <t>Bö B I 507</t>
        </is>
      </c>
      <c r="F90" s="64" t="inlineStr">
        <is>
          <t>X</t>
        </is>
      </c>
      <c r="G90" s="111" t="inlineStr">
        <is>
          <t>Halbpergamentband</t>
        </is>
      </c>
      <c r="H90" s="108" t="inlineStr">
        <is>
          <t>bis 25 cm</t>
        </is>
      </c>
      <c r="I90" s="111" t="inlineStr">
        <is>
          <t>80° bis 110°, einseitig digitalisierbar?</t>
        </is>
      </c>
      <c r="J90" s="111" t="inlineStr">
        <is>
          <t>hohler Rücken</t>
        </is>
      </c>
      <c r="K90" s="64" t="n"/>
      <c r="L90" s="64" t="inlineStr">
        <is>
          <t>Archivkarton</t>
        </is>
      </c>
      <c r="M90" s="64" t="inlineStr">
        <is>
          <t>Nein</t>
        </is>
      </c>
      <c r="N90" s="64" t="n">
        <v>0</v>
      </c>
      <c r="O90" s="64" t="n"/>
      <c r="P90" s="64" t="n"/>
      <c r="Q90" s="64" t="n"/>
      <c r="R90" s="64" t="n"/>
      <c r="BB90" s="73">
        <f>#REF!+#REF!</f>
        <v/>
      </c>
      <c r="BD90" s="78" t="inlineStr">
        <is>
          <t>Wellpappe</t>
        </is>
      </c>
      <c r="BM90" s="75" t="inlineStr">
        <is>
          <t>x</t>
        </is>
      </c>
      <c r="BN90" s="75" t="inlineStr">
        <is>
          <t>x</t>
        </is>
      </c>
    </row>
    <row r="91">
      <c r="A91" s="64" t="n">
        <v>91</v>
      </c>
      <c r="B91" s="64" t="inlineStr">
        <is>
          <t>L-1522-178262609</t>
        </is>
      </c>
      <c r="C91" s="64" t="n">
        <v>1002859336</v>
      </c>
      <c r="D91" s="66">
        <f>HYPERLINK(CONCATENATE("https://portal.dnb.de/opac.htm?method=simpleSearch&amp;cqlMode=true&amp;query=idn%3D",C91))</f>
        <v/>
      </c>
      <c r="E91" s="64" t="inlineStr">
        <is>
          <t>Bö B I 508</t>
        </is>
      </c>
      <c r="F91" s="64" t="inlineStr">
        <is>
          <t>X</t>
        </is>
      </c>
      <c r="G91" s="111" t="inlineStr">
        <is>
          <t>Ledereinband</t>
        </is>
      </c>
      <c r="H91" s="108" t="inlineStr">
        <is>
          <t>bis 25 cm</t>
        </is>
      </c>
      <c r="I91" s="111" t="inlineStr">
        <is>
          <t>80° bis 110°, einseitig digitalisierbar?</t>
        </is>
      </c>
      <c r="J91" s="111" t="inlineStr">
        <is>
          <t>fester Rücken mit Schmuckprägung</t>
        </is>
      </c>
      <c r="K91" s="64" t="n"/>
      <c r="L91" s="64" t="inlineStr">
        <is>
          <t>Archivkarton</t>
        </is>
      </c>
      <c r="M91" s="64" t="inlineStr">
        <is>
          <t>Nein</t>
        </is>
      </c>
      <c r="N91" s="64" t="n">
        <v>0</v>
      </c>
      <c r="O91" s="64" t="n"/>
      <c r="P91" s="64" t="n"/>
      <c r="Q91" s="64" t="n"/>
      <c r="R91" s="64" t="n"/>
      <c r="BB91" s="73">
        <f>#REF!+#REF!</f>
        <v/>
      </c>
      <c r="BD91" s="78" t="inlineStr">
        <is>
          <t>Wellpappe</t>
        </is>
      </c>
      <c r="BM91" s="75" t="inlineStr">
        <is>
          <t>x</t>
        </is>
      </c>
      <c r="BN91" s="75" t="inlineStr">
        <is>
          <t>x</t>
        </is>
      </c>
    </row>
    <row r="92">
      <c r="A92" s="64" t="n">
        <v>92</v>
      </c>
      <c r="B92" s="64" t="inlineStr">
        <is>
          <t>L-1522-178397555</t>
        </is>
      </c>
      <c r="C92" s="64" t="n">
        <v>1002859336</v>
      </c>
      <c r="D92" s="66">
        <f>HYPERLINK(CONCATENATE("https://portal.dnb.de/opac.htm?method=simpleSearch&amp;cqlMode=true&amp;query=idn%3D",C92))</f>
        <v/>
      </c>
      <c r="E92" s="64" t="inlineStr">
        <is>
          <t>Bö B I 509</t>
        </is>
      </c>
      <c r="F92" s="64" t="inlineStr">
        <is>
          <t>X</t>
        </is>
      </c>
      <c r="G92" s="111" t="inlineStr">
        <is>
          <t>Halbpergamentband</t>
        </is>
      </c>
      <c r="H92" s="108" t="inlineStr">
        <is>
          <t>bis 25 cm</t>
        </is>
      </c>
      <c r="I92" s="111" t="inlineStr">
        <is>
          <t>80° bis 110°, einseitig digitalisierbar?</t>
        </is>
      </c>
      <c r="J92" s="111" t="n"/>
      <c r="K92" s="64" t="n"/>
      <c r="L92" s="64" t="inlineStr">
        <is>
          <t>Archivkarton</t>
        </is>
      </c>
      <c r="M92" s="64" t="inlineStr">
        <is>
          <t>Nein</t>
        </is>
      </c>
      <c r="N92" s="64" t="n">
        <v>2</v>
      </c>
      <c r="O92" s="64" t="n"/>
      <c r="P92" s="64" t="n"/>
      <c r="Q92" s="64" t="n"/>
      <c r="R92" s="64" t="n"/>
      <c r="BB92" s="73">
        <f>#REF!+#REF!</f>
        <v/>
      </c>
      <c r="BD92" s="78" t="inlineStr">
        <is>
          <t>Wellpappe</t>
        </is>
      </c>
      <c r="BM92" s="75" t="inlineStr">
        <is>
          <t>x</t>
        </is>
      </c>
      <c r="BN92" s="75" t="inlineStr">
        <is>
          <t>x</t>
        </is>
      </c>
    </row>
    <row r="93">
      <c r="A93" s="64" t="n">
        <v>93</v>
      </c>
      <c r="B93" s="64" t="inlineStr">
        <is>
          <t>L-1522-178397849</t>
        </is>
      </c>
      <c r="C93" s="64" t="n">
        <v>1002859336</v>
      </c>
      <c r="D93" s="66">
        <f>HYPERLINK(CONCATENATE("https://portal.dnb.de/opac.htm?method=simpleSearch&amp;cqlMode=true&amp;query=idn%3D",C93))</f>
        <v/>
      </c>
      <c r="E93" s="64" t="inlineStr">
        <is>
          <t>Bö B I 510</t>
        </is>
      </c>
      <c r="F93" s="64" t="inlineStr">
        <is>
          <t>X</t>
        </is>
      </c>
      <c r="G93" s="111" t="inlineStr">
        <is>
          <t>Halbgewebeband</t>
        </is>
      </c>
      <c r="H93" s="108" t="inlineStr">
        <is>
          <t>bis 25 cm</t>
        </is>
      </c>
      <c r="I93" s="111" t="inlineStr">
        <is>
          <t>180°</t>
        </is>
      </c>
      <c r="J93" s="111" t="n"/>
      <c r="K93" s="64" t="n"/>
      <c r="L93" s="64" t="inlineStr">
        <is>
          <t>Archivkarton</t>
        </is>
      </c>
      <c r="M93" s="64" t="inlineStr">
        <is>
          <t>Nein</t>
        </is>
      </c>
      <c r="N93" s="64" t="n">
        <v>1</v>
      </c>
      <c r="O93" s="64" t="n"/>
      <c r="P93" s="64" t="n"/>
      <c r="Q93" s="64" t="n"/>
      <c r="R93" s="64" t="n"/>
      <c r="BB93" s="73">
        <f>#REF!+#REF!</f>
        <v/>
      </c>
      <c r="BD93" s="78" t="inlineStr">
        <is>
          <t>Wellpappe</t>
        </is>
      </c>
      <c r="BM93" s="75" t="inlineStr">
        <is>
          <t>x</t>
        </is>
      </c>
      <c r="BN93" s="75" t="inlineStr">
        <is>
          <t>x</t>
        </is>
      </c>
    </row>
    <row r="94">
      <c r="A94" s="64" t="n">
        <v>94</v>
      </c>
      <c r="B94" s="64" t="inlineStr">
        <is>
          <t>L-1523-178261874</t>
        </is>
      </c>
      <c r="C94" s="64" t="n">
        <v>1002858550</v>
      </c>
      <c r="D94" s="66">
        <f>HYPERLINK(CONCATENATE("https://portal.dnb.de/opac.htm?method=simpleSearch&amp;cqlMode=true&amp;query=idn%3D",C94))</f>
        <v/>
      </c>
      <c r="E94" s="64" t="inlineStr">
        <is>
          <t>Bö B I 511</t>
        </is>
      </c>
      <c r="F94" s="64" t="inlineStr">
        <is>
          <t>X</t>
        </is>
      </c>
      <c r="G94" s="111" t="inlineStr">
        <is>
          <t>Halbledereinband</t>
        </is>
      </c>
      <c r="H94" s="108" t="inlineStr">
        <is>
          <t>bis 25 cm</t>
        </is>
      </c>
      <c r="I94" s="111" t="inlineStr">
        <is>
          <t>180°</t>
        </is>
      </c>
      <c r="J94" s="111" t="n"/>
      <c r="K94" s="64" t="n"/>
      <c r="L94" s="64" t="inlineStr">
        <is>
          <t>Archivkarton</t>
        </is>
      </c>
      <c r="M94" s="64" t="inlineStr">
        <is>
          <t>Nein</t>
        </is>
      </c>
      <c r="N94" s="64" t="n">
        <v>0</v>
      </c>
      <c r="O94" s="64" t="n"/>
      <c r="P94" s="64" t="n"/>
      <c r="Q94" s="64" t="n"/>
      <c r="R94" s="64" t="n"/>
      <c r="BB94" s="73">
        <f>#REF!+#REF!</f>
        <v/>
      </c>
      <c r="BD94" s="78" t="inlineStr">
        <is>
          <t>Wellpappe</t>
        </is>
      </c>
      <c r="BM94" s="75" t="inlineStr">
        <is>
          <t>x</t>
        </is>
      </c>
      <c r="BN94" s="75" t="inlineStr">
        <is>
          <t>x</t>
        </is>
      </c>
    </row>
    <row r="95">
      <c r="A95" s="64" t="n">
        <v>95</v>
      </c>
      <c r="B95" s="64" t="inlineStr">
        <is>
          <t>L-1525-178399337</t>
        </is>
      </c>
      <c r="C95" s="64" t="n">
        <v>1002891205</v>
      </c>
      <c r="D95" s="66">
        <f>HYPERLINK(CONCATENATE("https://portal.dnb.de/opac.htm?method=simpleSearch&amp;cqlMode=true&amp;query=idn%3D",C95))</f>
        <v/>
      </c>
      <c r="E95" s="64" t="inlineStr">
        <is>
          <t>Bö B I 512</t>
        </is>
      </c>
      <c r="F95" s="64" t="inlineStr">
        <is>
          <t>X</t>
        </is>
      </c>
      <c r="G95" s="111" t="inlineStr">
        <is>
          <t>Halbpergamentband</t>
        </is>
      </c>
      <c r="H95" s="108" t="inlineStr">
        <is>
          <t>bis 25 cm</t>
        </is>
      </c>
      <c r="I95" s="111" t="inlineStr">
        <is>
          <t>80° bis 110°, einseitig digitalisierbar?</t>
        </is>
      </c>
      <c r="J95" s="111" t="inlineStr">
        <is>
          <t>hohler Rücken</t>
        </is>
      </c>
      <c r="K95" s="64" t="n"/>
      <c r="L95" s="64" t="inlineStr">
        <is>
          <t>Archivkarton</t>
        </is>
      </c>
      <c r="M95" s="64" t="inlineStr">
        <is>
          <t>Nein</t>
        </is>
      </c>
      <c r="N95" s="64" t="n">
        <v>1</v>
      </c>
      <c r="O95" s="64" t="n"/>
      <c r="P95" s="64" t="n"/>
      <c r="Q95" s="64" t="n"/>
      <c r="R95" s="64" t="n"/>
      <c r="BB95" s="73">
        <f>#REF!+#REF!</f>
        <v/>
      </c>
      <c r="BD95" s="78" t="inlineStr">
        <is>
          <t>Wellpappe</t>
        </is>
      </c>
      <c r="BM95" s="75" t="inlineStr">
        <is>
          <t>x</t>
        </is>
      </c>
      <c r="BN95" s="75" t="inlineStr">
        <is>
          <t>x</t>
        </is>
      </c>
    </row>
    <row r="96">
      <c r="A96" s="64" t="n">
        <v>96</v>
      </c>
      <c r="B96" s="64" t="inlineStr">
        <is>
          <t>L-1755-178402966</t>
        </is>
      </c>
      <c r="C96" s="64" t="n">
        <v>1002894832</v>
      </c>
      <c r="D96" s="66">
        <f>HYPERLINK(CONCATENATE("https://portal.dnb.de/opac.htm?method=simpleSearch&amp;cqlMode=true&amp;query=idn%3D",C96))</f>
        <v/>
      </c>
      <c r="E96" s="64" t="inlineStr">
        <is>
          <t>Bö B I 514</t>
        </is>
      </c>
      <c r="F96" s="64" t="inlineStr">
        <is>
          <t>X</t>
        </is>
      </c>
      <c r="G96" s="111" t="inlineStr">
        <is>
          <t>Halbgewebeband</t>
        </is>
      </c>
      <c r="H96" s="108" t="inlineStr">
        <is>
          <t>bis 25 cm</t>
        </is>
      </c>
      <c r="I96" s="111" t="inlineStr">
        <is>
          <t>180°</t>
        </is>
      </c>
      <c r="J96" s="111" t="inlineStr">
        <is>
          <t>hohler Rücken</t>
        </is>
      </c>
      <c r="K96" s="64" t="n"/>
      <c r="L96" s="64" t="inlineStr">
        <is>
          <t xml:space="preserve">Papierumschlag </t>
        </is>
      </c>
      <c r="M96" s="64" t="inlineStr">
        <is>
          <t>Nein</t>
        </is>
      </c>
      <c r="N96" s="64" t="n">
        <v>0</v>
      </c>
      <c r="O96" s="64" t="n"/>
      <c r="P96" s="64" t="n"/>
      <c r="Q96" s="64" t="n"/>
      <c r="R96" s="64" t="n"/>
      <c r="BB96" s="73">
        <f>#REF!+#REF!</f>
        <v/>
      </c>
      <c r="BD96" s="78" t="inlineStr">
        <is>
          <t>Wellpappe</t>
        </is>
      </c>
      <c r="BM96" s="75" t="inlineStr">
        <is>
          <t>x</t>
        </is>
      </c>
      <c r="BN96" s="75" t="inlineStr">
        <is>
          <t>x</t>
        </is>
      </c>
    </row>
    <row r="97">
      <c r="A97" s="64" t="n">
        <v>97</v>
      </c>
      <c r="B97" s="64" t="inlineStr">
        <is>
          <t>L-1700-179234773</t>
        </is>
      </c>
      <c r="C97" s="64" t="n">
        <v>1003200567</v>
      </c>
      <c r="D97" s="66">
        <f>HYPERLINK(CONCATENATE("https://portal.dnb.de/opac.htm?method=simpleSearch&amp;cqlMode=true&amp;query=idn%3D",C97))</f>
        <v/>
      </c>
      <c r="E97" s="64" t="inlineStr">
        <is>
          <t>Bö B I 517</t>
        </is>
      </c>
      <c r="F97" s="64" t="inlineStr">
        <is>
          <t>X</t>
        </is>
      </c>
      <c r="G97" s="111" t="inlineStr">
        <is>
          <t>Halbpergamentband</t>
        </is>
      </c>
      <c r="H97" s="108" t="inlineStr">
        <is>
          <t>bis 25 cm</t>
        </is>
      </c>
      <c r="I97" s="111" t="inlineStr">
        <is>
          <t>180°</t>
        </is>
      </c>
      <c r="J97" s="111" t="inlineStr">
        <is>
          <t>hohler Rücken</t>
        </is>
      </c>
      <c r="K97" s="64" t="n"/>
      <c r="L97" s="64" t="inlineStr">
        <is>
          <t>Archivkarton</t>
        </is>
      </c>
      <c r="M97" s="64" t="inlineStr">
        <is>
          <t>Nein</t>
        </is>
      </c>
      <c r="N97" s="64" t="n">
        <v>0</v>
      </c>
      <c r="O97" s="64" t="n"/>
      <c r="P97" s="64" t="n"/>
      <c r="Q97" s="64" t="n"/>
      <c r="R97" s="64" t="n"/>
      <c r="BB97" s="73">
        <f>#REF!+#REF!</f>
        <v/>
      </c>
      <c r="BD97" s="78" t="inlineStr">
        <is>
          <t>Wellpappe</t>
        </is>
      </c>
      <c r="BM97" s="75" t="inlineStr">
        <is>
          <t>x</t>
        </is>
      </c>
      <c r="BN97" s="75" t="inlineStr">
        <is>
          <t>x</t>
        </is>
      </c>
    </row>
    <row r="98">
      <c r="A98" s="64" t="n">
        <v>98</v>
      </c>
      <c r="B98" s="64" t="inlineStr">
        <is>
          <t>L-1780-178922358</t>
        </is>
      </c>
      <c r="C98" s="64" t="n">
        <v>1003171788</v>
      </c>
      <c r="D98" s="66">
        <f>HYPERLINK(CONCATENATE("https://portal.dnb.de/opac.htm?method=simpleSearch&amp;cqlMode=true&amp;query=idn%3D",C98))</f>
        <v/>
      </c>
      <c r="E98" s="64" t="inlineStr">
        <is>
          <t>Bö B I 519</t>
        </is>
      </c>
      <c r="F98" s="64" t="inlineStr">
        <is>
          <t>X</t>
        </is>
      </c>
      <c r="G98" s="111" t="inlineStr">
        <is>
          <t>Papier- oder Pappeinband</t>
        </is>
      </c>
      <c r="H98" s="108" t="inlineStr">
        <is>
          <t>bis 25 cm</t>
        </is>
      </c>
      <c r="I98" s="111" t="inlineStr">
        <is>
          <t>180°</t>
        </is>
      </c>
      <c r="J98" s="111" t="n"/>
      <c r="K98" s="64" t="n"/>
      <c r="L98" s="64" t="inlineStr">
        <is>
          <t>Archivkarton</t>
        </is>
      </c>
      <c r="M98" s="64" t="inlineStr">
        <is>
          <t>Nein</t>
        </is>
      </c>
      <c r="N98" s="64" t="n">
        <v>0</v>
      </c>
      <c r="O98" s="64" t="n"/>
      <c r="P98" s="64" t="n"/>
      <c r="Q98" s="64" t="n"/>
      <c r="R98" s="64" t="n"/>
      <c r="BB98" s="73">
        <f>#REF!+#REF!</f>
        <v/>
      </c>
      <c r="BD98" s="78" t="inlineStr">
        <is>
          <t>Wellpappe</t>
        </is>
      </c>
      <c r="BM98" s="75" t="inlineStr">
        <is>
          <t>x</t>
        </is>
      </c>
      <c r="BN98" s="75" t="inlineStr">
        <is>
          <t>x</t>
        </is>
      </c>
    </row>
    <row r="99" ht="22.5" customHeight="1" s="58">
      <c r="A99" s="64" t="n">
        <v>99</v>
      </c>
      <c r="B99" s="64" t="inlineStr">
        <is>
          <t>L-1780-182434990</t>
        </is>
      </c>
      <c r="C99" s="64" t="n">
        <v>1003171567</v>
      </c>
      <c r="D99" s="66">
        <f>HYPERLINK(CONCATENATE("https://portal.dnb.de/opac.htm?method=simpleSearch&amp;cqlMode=true&amp;query=idn%3D",C99))</f>
        <v/>
      </c>
      <c r="E99" s="64" t="inlineStr">
        <is>
          <t>Bö B I 520</t>
        </is>
      </c>
      <c r="F99" s="64" t="inlineStr">
        <is>
          <t>X</t>
        </is>
      </c>
      <c r="G99" s="111" t="inlineStr">
        <is>
          <t>Halbledereinband</t>
        </is>
      </c>
      <c r="H99" s="108" t="inlineStr">
        <is>
          <t>bis 25 cm</t>
        </is>
      </c>
      <c r="I99" s="111" t="inlineStr">
        <is>
          <t>180°</t>
        </is>
      </c>
      <c r="J99" s="111" t="inlineStr">
        <is>
          <t>gefaltete Blätter, Schrift bis in den Falz</t>
        </is>
      </c>
      <c r="K99" s="64" t="n"/>
      <c r="L99" s="64" t="inlineStr">
        <is>
          <t>Archivkarton</t>
        </is>
      </c>
      <c r="M99" s="64" t="inlineStr">
        <is>
          <t>Nein</t>
        </is>
      </c>
      <c r="N99" s="64" t="n">
        <v>1</v>
      </c>
      <c r="O99" s="64" t="n"/>
      <c r="P99" s="64" t="n"/>
      <c r="Q99" s="64" t="n"/>
      <c r="R99" s="64" t="n"/>
      <c r="BB99" s="73">
        <f>#REF!+#REF!</f>
        <v/>
      </c>
      <c r="BD99" s="78" t="inlineStr">
        <is>
          <t>Wellpappe</t>
        </is>
      </c>
      <c r="BM99" s="75" t="inlineStr">
        <is>
          <t>x</t>
        </is>
      </c>
      <c r="BN99" s="75" t="inlineStr">
        <is>
          <t>x</t>
        </is>
      </c>
    </row>
    <row r="100">
      <c r="A100" s="64" t="n">
        <v>100</v>
      </c>
      <c r="B100" s="64" t="inlineStr">
        <is>
          <t>L-1787-178818011</t>
        </is>
      </c>
      <c r="C100" s="64" t="n">
        <v>1003146600</v>
      </c>
      <c r="D100" s="66">
        <f>HYPERLINK(CONCATENATE("https://portal.dnb.de/opac.htm?method=simpleSearch&amp;cqlMode=true&amp;query=idn%3D",C100))</f>
        <v/>
      </c>
      <c r="E100" s="64" t="inlineStr">
        <is>
          <t>Bö B I 522</t>
        </is>
      </c>
      <c r="F100" s="64" t="inlineStr">
        <is>
          <t>X</t>
        </is>
      </c>
      <c r="G100" s="111" t="inlineStr">
        <is>
          <t>Broschur</t>
        </is>
      </c>
      <c r="H100" s="108" t="inlineStr">
        <is>
          <t>bis 25 cm</t>
        </is>
      </c>
      <c r="I100" s="111" t="inlineStr">
        <is>
          <t>80° bis 110°, einseitig digitalisierbar?</t>
        </is>
      </c>
      <c r="J100" s="111" t="n"/>
      <c r="K100" s="64" t="n"/>
      <c r="L100" s="64" t="inlineStr">
        <is>
          <t>Archivkarton</t>
        </is>
      </c>
      <c r="M100" s="64" t="inlineStr">
        <is>
          <t>Nein</t>
        </is>
      </c>
      <c r="N100" s="64" t="n">
        <v>0</v>
      </c>
      <c r="O100" s="64" t="n"/>
      <c r="P100" s="64" t="n"/>
      <c r="Q100" s="64" t="n"/>
      <c r="R100" s="64" t="n"/>
      <c r="BB100" s="73">
        <f>#REF!+#REF!</f>
        <v/>
      </c>
      <c r="BD100" s="78" t="inlineStr">
        <is>
          <t>Wellpappe</t>
        </is>
      </c>
      <c r="BM100" s="75" t="inlineStr">
        <is>
          <t>x</t>
        </is>
      </c>
      <c r="BN100" s="75" t="inlineStr">
        <is>
          <t>x</t>
        </is>
      </c>
    </row>
    <row r="101">
      <c r="A101" s="64" t="n">
        <v>101</v>
      </c>
      <c r="B101" s="64" t="inlineStr">
        <is>
          <t>L-1559-180351710</t>
        </is>
      </c>
      <c r="C101" s="64" t="n">
        <v>1003623514</v>
      </c>
      <c r="D101" s="66">
        <f>HYPERLINK(CONCATENATE("https://portal.dnb.de/opac.htm?method=simpleSearch&amp;cqlMode=true&amp;query=idn%3D",C101))</f>
        <v/>
      </c>
      <c r="E101" s="64" t="inlineStr">
        <is>
          <t>Bö B I 525</t>
        </is>
      </c>
      <c r="F101" s="64" t="inlineStr">
        <is>
          <t>X</t>
        </is>
      </c>
      <c r="G101" s="111" t="inlineStr">
        <is>
          <t>Halbledereinband</t>
        </is>
      </c>
      <c r="H101" s="108" t="inlineStr">
        <is>
          <t>bis 25 cm</t>
        </is>
      </c>
      <c r="I101" s="111" t="inlineStr">
        <is>
          <t>180°</t>
        </is>
      </c>
      <c r="J101" s="111" t="inlineStr">
        <is>
          <t>fester Rücken mit Schmuckprägung</t>
        </is>
      </c>
      <c r="K101" s="64" t="n"/>
      <c r="L101" s="64" t="inlineStr">
        <is>
          <t>Archivkarton</t>
        </is>
      </c>
      <c r="M101" s="64" t="inlineStr">
        <is>
          <t>Nein</t>
        </is>
      </c>
      <c r="N101" s="64" t="n">
        <v>0</v>
      </c>
      <c r="O101" s="64" t="n"/>
      <c r="P101" s="64" t="n"/>
      <c r="Q101" s="64" t="n"/>
      <c r="R101" s="64" t="n"/>
      <c r="BB101" s="73">
        <f>#REF!+#REF!</f>
        <v/>
      </c>
      <c r="BD101" s="78" t="inlineStr">
        <is>
          <t>Wellpappe</t>
        </is>
      </c>
      <c r="BM101" s="75" t="inlineStr">
        <is>
          <t>x</t>
        </is>
      </c>
      <c r="BN101" s="75" t="inlineStr">
        <is>
          <t>x</t>
        </is>
      </c>
    </row>
    <row r="102">
      <c r="A102" s="64" t="n">
        <v>102</v>
      </c>
      <c r="B102" s="64" t="inlineStr">
        <is>
          <t>L-1605-180389939</t>
        </is>
      </c>
      <c r="C102" s="64" t="n">
        <v>1003651798</v>
      </c>
      <c r="D102" s="66">
        <f>HYPERLINK(CONCATENATE("https://portal.dnb.de/opac.htm?method=simpleSearch&amp;cqlMode=true&amp;query=idn%3D",C102))</f>
        <v/>
      </c>
      <c r="E102" s="64" t="inlineStr">
        <is>
          <t>Bö B I 526</t>
        </is>
      </c>
      <c r="F102" s="64" t="inlineStr">
        <is>
          <t>X</t>
        </is>
      </c>
      <c r="G102" s="111" t="inlineStr">
        <is>
          <t>Halbledereinband</t>
        </is>
      </c>
      <c r="H102" s="108" t="inlineStr">
        <is>
          <t>bis 25 cm</t>
        </is>
      </c>
      <c r="I102" s="111" t="inlineStr">
        <is>
          <t>180°</t>
        </is>
      </c>
      <c r="J102" s="111" t="inlineStr">
        <is>
          <t>hohler Rücken</t>
        </is>
      </c>
      <c r="K102" s="64" t="n"/>
      <c r="L102" s="64" t="inlineStr">
        <is>
          <t>Archivkarton</t>
        </is>
      </c>
      <c r="M102" s="64" t="inlineStr">
        <is>
          <t>Nein</t>
        </is>
      </c>
      <c r="N102" s="64" t="n">
        <v>0</v>
      </c>
      <c r="O102" s="64" t="n"/>
      <c r="P102" s="64" t="n"/>
      <c r="Q102" s="64" t="n"/>
      <c r="R102" s="64" t="n"/>
      <c r="BB102" s="73">
        <f>#REF!+#REF!</f>
        <v/>
      </c>
      <c r="BD102" s="78" t="inlineStr">
        <is>
          <t>Wellpappe</t>
        </is>
      </c>
      <c r="BM102" s="75" t="inlineStr">
        <is>
          <t>x</t>
        </is>
      </c>
      <c r="BN102" s="75" t="inlineStr">
        <is>
          <t>x</t>
        </is>
      </c>
    </row>
    <row r="103">
      <c r="A103" s="64" t="n">
        <v>103</v>
      </c>
      <c r="B103" s="64" t="inlineStr">
        <is>
          <t>L-1781-165453893</t>
        </is>
      </c>
      <c r="C103" s="64" t="n">
        <v>998025399</v>
      </c>
      <c r="D103" s="66">
        <f>HYPERLINK(CONCATENATE("https://portal.dnb.de/opac.htm?method=simpleSearch&amp;cqlMode=true&amp;query=idn%3D",C103))</f>
        <v/>
      </c>
      <c r="E103" s="64" t="inlineStr">
        <is>
          <t>Bö B I 527</t>
        </is>
      </c>
      <c r="F103" s="64" t="inlineStr">
        <is>
          <t>X</t>
        </is>
      </c>
      <c r="G103" s="111" t="inlineStr">
        <is>
          <t>Pergamentband</t>
        </is>
      </c>
      <c r="H103" s="108" t="inlineStr">
        <is>
          <t>bis 25 cm</t>
        </is>
      </c>
      <c r="I103" s="111" t="inlineStr">
        <is>
          <t>180°</t>
        </is>
      </c>
      <c r="J103" s="111" t="inlineStr">
        <is>
          <t>hohler Rücken</t>
        </is>
      </c>
      <c r="K103" s="64" t="n"/>
      <c r="L103" s="64" t="inlineStr">
        <is>
          <t>Archivkarton</t>
        </is>
      </c>
      <c r="M103" s="64" t="inlineStr">
        <is>
          <t>Nein</t>
        </is>
      </c>
      <c r="N103" s="64" t="n">
        <v>0</v>
      </c>
      <c r="O103" s="64" t="n"/>
      <c r="P103" s="64" t="n"/>
      <c r="Q103" s="64" t="n"/>
      <c r="R103" s="64" t="n"/>
      <c r="BB103" s="73">
        <f>#REF!+#REF!</f>
        <v/>
      </c>
      <c r="BD103" s="78" t="inlineStr">
        <is>
          <t>Wellpappe</t>
        </is>
      </c>
      <c r="BM103" s="75" t="inlineStr">
        <is>
          <t>x</t>
        </is>
      </c>
      <c r="BN103" s="75" t="inlineStr">
        <is>
          <t>x</t>
        </is>
      </c>
    </row>
    <row r="104">
      <c r="A104" s="64" t="n">
        <v>104</v>
      </c>
      <c r="B104" s="64" t="inlineStr">
        <is>
          <t>L-1563-170015858</t>
        </is>
      </c>
      <c r="C104" s="64" t="n">
        <v>1000112233</v>
      </c>
      <c r="D104" s="66">
        <f>HYPERLINK(CONCATENATE("https://portal.dnb.de/opac.htm?method=simpleSearch&amp;cqlMode=true&amp;query=idn%3D",C104))</f>
        <v/>
      </c>
      <c r="E104" s="64" t="inlineStr">
        <is>
          <t>Bö B I 529</t>
        </is>
      </c>
      <c r="F104" s="64" t="inlineStr">
        <is>
          <t>X</t>
        </is>
      </c>
      <c r="G104" s="111" t="inlineStr">
        <is>
          <t>Pergamentband</t>
        </is>
      </c>
      <c r="H104" s="108" t="inlineStr">
        <is>
          <t>bis 25 cm</t>
        </is>
      </c>
      <c r="I104" s="111" t="inlineStr">
        <is>
          <t>180°</t>
        </is>
      </c>
      <c r="J104" s="111" t="inlineStr">
        <is>
          <t>hohler Rücken</t>
        </is>
      </c>
      <c r="K104" s="64" t="n"/>
      <c r="L104" s="64" t="inlineStr">
        <is>
          <t>Kassette</t>
        </is>
      </c>
      <c r="M104" s="64" t="inlineStr">
        <is>
          <t>Nein</t>
        </is>
      </c>
      <c r="N104" s="64" t="n">
        <v>1</v>
      </c>
      <c r="O104" s="64" t="n"/>
      <c r="P104" s="64" t="n"/>
      <c r="Q104" s="64" t="n"/>
      <c r="R104" s="64" t="n"/>
      <c r="BB104" s="73">
        <f>#REF!+#REF!</f>
        <v/>
      </c>
      <c r="BD104" s="78" t="inlineStr">
        <is>
          <t>Wellpappe</t>
        </is>
      </c>
      <c r="BM104" s="75" t="inlineStr">
        <is>
          <t>x</t>
        </is>
      </c>
      <c r="BN104" s="75" t="inlineStr">
        <is>
          <t>x</t>
        </is>
      </c>
    </row>
    <row r="105">
      <c r="A105" s="64" t="n">
        <v>105</v>
      </c>
      <c r="B105" s="64" t="inlineStr">
        <is>
          <t>L-1661-154496189</t>
        </is>
      </c>
      <c r="C105" s="64" t="inlineStr">
        <is>
          <t>99409051X</t>
        </is>
      </c>
      <c r="D105" s="66">
        <f>HYPERLINK(CONCATENATE("https://portal.dnb.de/opac.htm?method=simpleSearch&amp;cqlMode=true&amp;query=idn%3D",C105))</f>
        <v/>
      </c>
      <c r="E105" s="64" t="inlineStr">
        <is>
          <t>Bö B I 532</t>
        </is>
      </c>
      <c r="F105" s="64" t="inlineStr">
        <is>
          <t>X</t>
        </is>
      </c>
      <c r="G105" s="111" t="inlineStr">
        <is>
          <t>Halbledereinband</t>
        </is>
      </c>
      <c r="H105" s="108" t="inlineStr">
        <is>
          <t>bis 25 cm</t>
        </is>
      </c>
      <c r="I105" s="111" t="inlineStr">
        <is>
          <t>180°</t>
        </is>
      </c>
      <c r="J105" s="111" t="inlineStr">
        <is>
          <t>gefaltete Blätter, hohler Rücken</t>
        </is>
      </c>
      <c r="K105" s="64" t="n"/>
      <c r="L105" s="64" t="n"/>
      <c r="M105" s="64" t="n"/>
      <c r="N105" s="64" t="n">
        <v>0</v>
      </c>
      <c r="O105" s="64" t="n"/>
      <c r="P105" s="64" t="n"/>
      <c r="Q105" s="64" t="n"/>
      <c r="R105" s="64" t="n"/>
      <c r="BB105" s="73">
        <f>#REF!+#REF!</f>
        <v/>
      </c>
      <c r="BD105" s="78" t="inlineStr">
        <is>
          <t>Wellpappe</t>
        </is>
      </c>
      <c r="BM105" s="75" t="inlineStr">
        <is>
          <t>x</t>
        </is>
      </c>
      <c r="BN105" s="75" t="inlineStr">
        <is>
          <t>x</t>
        </is>
      </c>
    </row>
    <row r="106">
      <c r="A106" s="64" t="n">
        <v>106</v>
      </c>
      <c r="B106" s="64" t="inlineStr">
        <is>
          <t>L-1560-16023820X</t>
        </is>
      </c>
      <c r="C106" s="64" t="inlineStr">
        <is>
          <t>99558690X</t>
        </is>
      </c>
      <c r="D106" s="66">
        <f>HYPERLINK(CONCATENATE("https://portal.dnb.de/opac.htm?method=simpleSearch&amp;cqlMode=true&amp;query=idn%3D",C106))</f>
        <v/>
      </c>
      <c r="E106" s="64" t="inlineStr">
        <is>
          <t>Bö B I 537</t>
        </is>
      </c>
      <c r="F106" s="64" t="inlineStr">
        <is>
          <t>X</t>
        </is>
      </c>
      <c r="G106" s="111" t="inlineStr">
        <is>
          <t>Broschur</t>
        </is>
      </c>
      <c r="H106" s="108" t="inlineStr">
        <is>
          <t>bis 25 cm</t>
        </is>
      </c>
      <c r="I106" s="111" t="inlineStr">
        <is>
          <t>180°</t>
        </is>
      </c>
      <c r="J106" s="111" t="n"/>
      <c r="K106" s="64" t="n"/>
      <c r="L106" s="64" t="n"/>
      <c r="M106" s="64" t="n"/>
      <c r="N106" s="64" t="n">
        <v>0</v>
      </c>
      <c r="O106" s="64" t="n"/>
      <c r="P106" s="64" t="n"/>
      <c r="Q106" s="64" t="n"/>
      <c r="R106" s="64" t="n"/>
      <c r="BB106" s="73">
        <f>#REF!+#REF!</f>
        <v/>
      </c>
      <c r="BD106" s="78" t="inlineStr">
        <is>
          <t>Wellpappe</t>
        </is>
      </c>
      <c r="BM106" s="75" t="inlineStr">
        <is>
          <t>x</t>
        </is>
      </c>
      <c r="BN106" s="75" t="inlineStr">
        <is>
          <t>x</t>
        </is>
      </c>
    </row>
    <row r="107">
      <c r="A107" s="64" t="n">
        <v>107</v>
      </c>
      <c r="B107" s="64" t="inlineStr">
        <is>
          <t>L-1620-163679193</t>
        </is>
      </c>
      <c r="C107" s="64" t="n">
        <v>997334037</v>
      </c>
      <c r="D107" s="66">
        <f>HYPERLINK(CONCATENATE("https://portal.dnb.de/opac.htm?method=simpleSearch&amp;cqlMode=true&amp;query=idn%3D",C107))</f>
        <v/>
      </c>
      <c r="E107" s="64" t="inlineStr">
        <is>
          <t>Bö B I 543</t>
        </is>
      </c>
      <c r="F107" s="64" t="inlineStr">
        <is>
          <t>X</t>
        </is>
      </c>
      <c r="G107" s="111" t="inlineStr">
        <is>
          <t>Ledereinband</t>
        </is>
      </c>
      <c r="H107" s="108" t="inlineStr">
        <is>
          <t>bis 25 cm</t>
        </is>
      </c>
      <c r="I107" s="111" t="inlineStr">
        <is>
          <t>80° bis 110°, einseitig digitalisierbar?</t>
        </is>
      </c>
      <c r="J107" s="111" t="inlineStr">
        <is>
          <t>gefaltete Blätter</t>
        </is>
      </c>
      <c r="K107" s="64" t="n"/>
      <c r="L107" s="64" t="inlineStr">
        <is>
          <t>Kassette</t>
        </is>
      </c>
      <c r="M107" s="64" t="inlineStr">
        <is>
          <t>Nein</t>
        </is>
      </c>
      <c r="N107" s="64" t="n">
        <v>1</v>
      </c>
      <c r="O107" s="64" t="n"/>
      <c r="P107" s="64" t="inlineStr">
        <is>
          <t>gereinigt</t>
        </is>
      </c>
      <c r="Q107" s="64" t="n"/>
      <c r="R107" s="64" t="n"/>
      <c r="BB107" s="73">
        <f>#REF!+#REF!</f>
        <v/>
      </c>
      <c r="BD107" s="78" t="inlineStr">
        <is>
          <t>Wellpappe</t>
        </is>
      </c>
      <c r="BM107" s="75" t="inlineStr">
        <is>
          <t>x</t>
        </is>
      </c>
      <c r="BN107" s="75" t="inlineStr">
        <is>
          <t>x</t>
        </is>
      </c>
    </row>
    <row r="108">
      <c r="A108" s="64" t="n">
        <v>108</v>
      </c>
      <c r="B108" s="64" t="inlineStr">
        <is>
          <t>L-1797-169617831</t>
        </is>
      </c>
      <c r="C108" s="64" t="n">
        <v>999886444</v>
      </c>
      <c r="D108" s="66">
        <f>HYPERLINK(CONCATENATE("https://portal.dnb.de/opac.htm?method=simpleSearch&amp;cqlMode=true&amp;query=idn%3D",C108))</f>
        <v/>
      </c>
      <c r="E108" s="64" t="inlineStr">
        <is>
          <t>Bö B I 548</t>
        </is>
      </c>
      <c r="F108" s="64" t="inlineStr">
        <is>
          <t>X</t>
        </is>
      </c>
      <c r="G108" s="111" t="inlineStr">
        <is>
          <t>Halbledereinband</t>
        </is>
      </c>
      <c r="H108" s="108" t="inlineStr">
        <is>
          <t>bis 35 cm</t>
        </is>
      </c>
      <c r="I108" s="111" t="inlineStr">
        <is>
          <t>180°</t>
        </is>
      </c>
      <c r="J108" s="111" t="inlineStr">
        <is>
          <t>fester Rücken mit Schmuckprägung</t>
        </is>
      </c>
      <c r="K108" s="64" t="n"/>
      <c r="L108" s="64" t="n"/>
      <c r="M108" s="64" t="n"/>
      <c r="N108" s="64" t="n">
        <v>0</v>
      </c>
      <c r="O108" s="64" t="n"/>
      <c r="P108" s="64" t="n"/>
      <c r="Q108" s="64" t="n"/>
      <c r="R108" s="64" t="n"/>
      <c r="X108" s="78" t="inlineStr">
        <is>
          <t>HL</t>
        </is>
      </c>
      <c r="AA108" s="78" t="inlineStr">
        <is>
          <t>f</t>
        </is>
      </c>
      <c r="AG108" s="78" t="inlineStr">
        <is>
          <t>Pa</t>
        </is>
      </c>
      <c r="AU108" s="78" t="n">
        <v>80</v>
      </c>
      <c r="BA108" s="80" t="inlineStr">
        <is>
          <t>n</t>
        </is>
      </c>
      <c r="BB108" s="73">
        <f>#REF!+#REF!</f>
        <v/>
      </c>
      <c r="BD108" s="78" t="inlineStr">
        <is>
          <t>Wellpappe</t>
        </is>
      </c>
      <c r="BG108" s="78" t="inlineStr">
        <is>
          <t>x</t>
        </is>
      </c>
      <c r="BM108" s="75" t="inlineStr">
        <is>
          <t>x</t>
        </is>
      </c>
      <c r="BN108" s="75" t="inlineStr">
        <is>
          <t>x</t>
        </is>
      </c>
    </row>
    <row r="109">
      <c r="A109" s="64" t="n">
        <v>109</v>
      </c>
      <c r="B109" s="64" t="inlineStr">
        <is>
          <t>L-1979-169617874</t>
        </is>
      </c>
      <c r="C109" s="64" t="n">
        <v>999886479</v>
      </c>
      <c r="D109" s="66">
        <f>HYPERLINK(CONCATENATE("https://portal.dnb.de/opac.htm?method=simpleSearch&amp;cqlMode=true&amp;query=idn%3D",C109))</f>
        <v/>
      </c>
      <c r="E109" s="64" t="inlineStr">
        <is>
          <t>Bö B I 548 (angebunden)</t>
        </is>
      </c>
      <c r="F109" s="64" t="n"/>
      <c r="G109" s="111" t="n"/>
      <c r="H109" s="108" t="n"/>
      <c r="I109" s="111" t="n"/>
      <c r="J109" s="111" t="n"/>
      <c r="K109" s="64" t="n"/>
      <c r="L109" s="64" t="n"/>
      <c r="M109" s="64" t="n"/>
      <c r="N109" s="64" t="n"/>
      <c r="O109" s="64" t="n"/>
      <c r="P109" s="64" t="n"/>
      <c r="Q109" s="64" t="n"/>
      <c r="R109" s="64" t="n"/>
      <c r="BB109" s="73">
        <f>#REF!+#REF!</f>
        <v/>
      </c>
      <c r="BD109" s="78" t="inlineStr">
        <is>
          <t>Wellpappe</t>
        </is>
      </c>
      <c r="BM109" s="75" t="inlineStr">
        <is>
          <t>x</t>
        </is>
      </c>
      <c r="BN109" s="75" t="inlineStr">
        <is>
          <t>x</t>
        </is>
      </c>
    </row>
    <row r="110" ht="22.5" customHeight="1" s="58">
      <c r="A110" s="64" t="n">
        <v>110</v>
      </c>
      <c r="B110" s="64" t="inlineStr">
        <is>
          <t>L-1719-154309494</t>
        </is>
      </c>
      <c r="C110" s="64" t="n">
        <v>994029276</v>
      </c>
      <c r="D110" s="66">
        <f>HYPERLINK(CONCATENATE("https://portal.dnb.de/opac.htm?method=simpleSearch&amp;cqlMode=true&amp;query=idn%3D",C110))</f>
        <v/>
      </c>
      <c r="E110" s="64" t="inlineStr">
        <is>
          <t>Bö B III 143/4°</t>
        </is>
      </c>
      <c r="F110" s="64" t="inlineStr">
        <is>
          <t>X</t>
        </is>
      </c>
      <c r="G110" s="111" t="inlineStr">
        <is>
          <t>Halbledereinband</t>
        </is>
      </c>
      <c r="H110" s="108" t="inlineStr">
        <is>
          <t>bis 35 cm</t>
        </is>
      </c>
      <c r="I110" s="111" t="inlineStr">
        <is>
          <t>80° bis 110°, einseitig digitalisierbar?</t>
        </is>
      </c>
      <c r="J110" s="111" t="inlineStr">
        <is>
          <t>fester Rücken mit Schmuckprägung, gefaltete Blätter</t>
        </is>
      </c>
      <c r="K110" s="64" t="n"/>
      <c r="L110" s="64" t="n"/>
      <c r="M110" s="64" t="n"/>
      <c r="N110" s="64" t="n">
        <v>1</v>
      </c>
      <c r="O110" s="64" t="n"/>
      <c r="P110" s="64" t="n"/>
      <c r="Q110" s="64" t="n"/>
      <c r="R110" s="64" t="n"/>
      <c r="BB110" s="73">
        <f>#REF!+#REF!</f>
        <v/>
      </c>
      <c r="BD110" s="78" t="inlineStr">
        <is>
          <t>Wellpappe</t>
        </is>
      </c>
      <c r="BM110" s="75" t="inlineStr">
        <is>
          <t>x</t>
        </is>
      </c>
      <c r="BN110" s="75" t="inlineStr">
        <is>
          <t>x</t>
        </is>
      </c>
    </row>
    <row r="111" ht="45" customHeight="1" s="58">
      <c r="A111" s="64" t="n">
        <v>111</v>
      </c>
      <c r="B111" s="64" t="inlineStr">
        <is>
          <t>L-1679-174114281</t>
        </is>
      </c>
      <c r="C111" s="64" t="n">
        <v>1001306082</v>
      </c>
      <c r="D111" s="66">
        <f>HYPERLINK(CONCATENATE("https://portal.dnb.de/opac.htm?method=simpleSearch&amp;cqlMode=true&amp;query=idn%3D",C111))</f>
        <v/>
      </c>
      <c r="E111" s="64" t="inlineStr">
        <is>
          <t>Bö B III 144</t>
        </is>
      </c>
      <c r="F111" s="64" t="inlineStr">
        <is>
          <t>X</t>
        </is>
      </c>
      <c r="G111" s="111" t="inlineStr">
        <is>
          <t>Pergamentband</t>
        </is>
      </c>
      <c r="H111" s="108" t="inlineStr">
        <is>
          <t>bis 25 cm</t>
        </is>
      </c>
      <c r="I111" s="111" t="inlineStr">
        <is>
          <t>80° bis 110°, einseitig digitalisierbar?</t>
        </is>
      </c>
      <c r="J111" s="111" t="inlineStr">
        <is>
          <t>hohler Rücken, welliger Buchblock, gefaltete Blätter, Einband mit Schutz- oder Stoßkanten, Schrift bis in den Falz</t>
        </is>
      </c>
      <c r="K111" s="64" t="n"/>
      <c r="L111" s="64" t="n"/>
      <c r="M111" s="64" t="n"/>
      <c r="N111" s="64" t="n">
        <v>1</v>
      </c>
      <c r="O111" s="64" t="n"/>
      <c r="P111" s="64" t="n"/>
      <c r="Q111" s="64" t="n"/>
      <c r="R111" s="64" t="n"/>
      <c r="X111" s="78" t="inlineStr">
        <is>
          <t>Pg</t>
        </is>
      </c>
      <c r="AA111" s="78" t="inlineStr">
        <is>
          <t>h</t>
        </is>
      </c>
      <c r="AB111" s="78" t="inlineStr">
        <is>
          <t>x</t>
        </is>
      </c>
      <c r="AG111" s="78" t="inlineStr">
        <is>
          <t>Pa</t>
        </is>
      </c>
      <c r="AN111" s="78" t="inlineStr">
        <is>
          <t>x</t>
        </is>
      </c>
      <c r="AO111" s="80" t="inlineStr">
        <is>
          <t>B: 10x16
F: 33x42</t>
        </is>
      </c>
      <c r="AP111" s="78" t="inlineStr">
        <is>
          <t>x</t>
        </is>
      </c>
      <c r="AS111" s="78" t="n">
        <v>2</v>
      </c>
      <c r="AT111" s="78" t="inlineStr">
        <is>
          <t>x</t>
        </is>
      </c>
      <c r="AU111" s="78" t="n">
        <v>60</v>
      </c>
      <c r="BA111" s="80" t="inlineStr">
        <is>
          <t>n</t>
        </is>
      </c>
      <c r="BB111" s="73">
        <f>#REF!+#REF!</f>
        <v/>
      </c>
      <c r="BD111" s="78" t="inlineStr">
        <is>
          <t>Wellpappe</t>
        </is>
      </c>
      <c r="BM111" s="75" t="inlineStr">
        <is>
          <t>x</t>
        </is>
      </c>
      <c r="BN111" s="75" t="inlineStr">
        <is>
          <t>x</t>
        </is>
      </c>
    </row>
    <row r="112">
      <c r="A112" s="64" t="n">
        <v>112</v>
      </c>
      <c r="B112" s="64" t="inlineStr">
        <is>
          <t>L-1535-177605987</t>
        </is>
      </c>
      <c r="C112" s="64" t="n">
        <v>1002571642</v>
      </c>
      <c r="D112" s="66">
        <f>HYPERLINK(CONCATENATE("https://portal.dnb.de/opac.htm?method=simpleSearch&amp;cqlMode=true&amp;query=idn%3D",C112))</f>
        <v/>
      </c>
      <c r="E112" s="64" t="inlineStr">
        <is>
          <t>Bö B III 152</t>
        </is>
      </c>
      <c r="F112" s="64" t="inlineStr">
        <is>
          <t>X</t>
        </is>
      </c>
      <c r="G112" s="111" t="inlineStr">
        <is>
          <t>Ledereinband</t>
        </is>
      </c>
      <c r="H112" s="108" t="inlineStr">
        <is>
          <t>bis 25 cm</t>
        </is>
      </c>
      <c r="I112" s="111" t="inlineStr">
        <is>
          <t>180°</t>
        </is>
      </c>
      <c r="J112" s="111" t="n"/>
      <c r="K112" s="64" t="n"/>
      <c r="L112" s="64" t="inlineStr">
        <is>
          <t xml:space="preserve">Papierumschlag </t>
        </is>
      </c>
      <c r="M112" s="64" t="inlineStr">
        <is>
          <t>Ja</t>
        </is>
      </c>
      <c r="N112" s="64" t="n">
        <v>2</v>
      </c>
      <c r="O112" s="64" t="n"/>
      <c r="P112" s="64" t="n"/>
      <c r="Q112" s="64" t="n"/>
      <c r="R112" s="64" t="n"/>
      <c r="BB112" s="73">
        <f>#REF!+#REF!</f>
        <v/>
      </c>
      <c r="BD112" s="78" t="inlineStr">
        <is>
          <t>Wellpappe</t>
        </is>
      </c>
      <c r="BM112" s="75" t="inlineStr">
        <is>
          <t>x</t>
        </is>
      </c>
      <c r="BN112" s="75" t="inlineStr">
        <is>
          <t>x</t>
        </is>
      </c>
    </row>
    <row r="113">
      <c r="A113" s="64" t="n">
        <v>113</v>
      </c>
      <c r="B113" s="64" t="inlineStr">
        <is>
          <t>L-1538-16858381X</t>
        </is>
      </c>
      <c r="C113" s="64" t="n">
        <v>999592254</v>
      </c>
      <c r="D113" s="66">
        <f>HYPERLINK(CONCATENATE("https://portal.dnb.de/opac.htm?method=simpleSearch&amp;cqlMode=true&amp;query=idn%3D",C113))</f>
        <v/>
      </c>
      <c r="E113" s="64" t="inlineStr">
        <is>
          <t>Bö H 146</t>
        </is>
      </c>
      <c r="F113" s="64" t="n"/>
      <c r="G113" s="111" t="n"/>
      <c r="H113" s="108" t="n"/>
      <c r="I113" s="111" t="n"/>
      <c r="J113" s="111" t="n"/>
      <c r="K113" s="64" t="n"/>
      <c r="L113" s="64" t="n"/>
      <c r="M113" s="64" t="n"/>
      <c r="N113" s="64" t="n"/>
      <c r="O113" s="64" t="n"/>
      <c r="P113" s="64" t="n"/>
      <c r="Q113" s="64" t="n"/>
      <c r="R113" s="64" t="n"/>
      <c r="BB113" s="73">
        <f>#REF!+#REF!</f>
        <v/>
      </c>
      <c r="BD113" s="78" t="inlineStr">
        <is>
          <t>Wellpappe</t>
        </is>
      </c>
      <c r="BM113" s="75" t="inlineStr">
        <is>
          <t>x</t>
        </is>
      </c>
    </row>
    <row r="114">
      <c r="A114" s="64" t="n">
        <v>114</v>
      </c>
      <c r="B114" s="64" t="inlineStr">
        <is>
          <t>L-2020-302133</t>
        </is>
      </c>
      <c r="C114" s="64" t="n">
        <v>1205037268</v>
      </c>
      <c r="D114" s="66">
        <f>HYPERLINK(CONCATENATE("https://portal.dnb.de/opac.htm?method=simpleSearch&amp;cqlMode=true&amp;query=idn%3D",C114))</f>
        <v/>
      </c>
      <c r="E114" s="64" t="inlineStr">
        <is>
          <t>Caa 564</t>
        </is>
      </c>
      <c r="F114" s="64" t="n"/>
      <c r="G114" s="111" t="n"/>
      <c r="H114" s="108" t="inlineStr">
        <is>
          <t>bis 25 cm</t>
        </is>
      </c>
      <c r="I114" s="111" t="n"/>
      <c r="J114" s="111" t="n"/>
      <c r="K114" s="64" t="n"/>
      <c r="L114" s="64" t="n"/>
      <c r="M114" s="64" t="n"/>
      <c r="N114" s="64" t="n"/>
      <c r="O114" s="64" t="n"/>
      <c r="P114" s="64" t="n"/>
      <c r="Q114" s="64" t="n"/>
      <c r="R114" s="64" t="n"/>
      <c r="X114" s="78" t="inlineStr">
        <is>
          <t>Pg</t>
        </is>
      </c>
      <c r="AA114" s="78" t="inlineStr">
        <is>
          <t>h</t>
        </is>
      </c>
      <c r="AG114" s="78" t="inlineStr">
        <is>
          <t>Pa</t>
        </is>
      </c>
      <c r="AN114" s="78" t="inlineStr">
        <is>
          <t>x</t>
        </is>
      </c>
      <c r="AO114" s="78" t="n"/>
      <c r="AU114" s="78" t="n">
        <v>110</v>
      </c>
      <c r="BA114" s="80" t="inlineStr">
        <is>
          <t>n</t>
        </is>
      </c>
      <c r="BB114" s="74">
        <f>#REF!+#REF!</f>
        <v/>
      </c>
      <c r="BD114" s="78" t="inlineStr">
        <is>
          <t>Wellpappe</t>
        </is>
      </c>
      <c r="BM114" s="75" t="inlineStr">
        <is>
          <t>x</t>
        </is>
      </c>
      <c r="BN114" s="75" t="inlineStr">
        <is>
          <t>x</t>
        </is>
      </c>
    </row>
    <row r="115">
      <c r="A115" s="64" t="n">
        <v>115</v>
      </c>
      <c r="B115" s="64" t="inlineStr">
        <is>
          <t>L-2007-324966</t>
        </is>
      </c>
      <c r="C115" s="64" t="n">
        <v>986026832</v>
      </c>
      <c r="D115" s="66" t="inlineStr">
        <is>
          <t>https://portal.dnb.de/opac.htm?method=simpleSearch&amp;cqlMode=true&amp;query=idn%3D986026832</t>
        </is>
      </c>
      <c r="E115" s="64" t="inlineStr">
        <is>
          <t>Cb 1</t>
        </is>
      </c>
      <c r="F115" s="64" t="inlineStr">
        <is>
          <t>X</t>
        </is>
      </c>
      <c r="G115" s="111" t="inlineStr">
        <is>
          <t>Halbgewebeband</t>
        </is>
      </c>
      <c r="H115" s="108" t="inlineStr">
        <is>
          <t>bis 25 cm</t>
        </is>
      </c>
      <c r="I115" s="111" t="inlineStr">
        <is>
          <t>80° bis 110°, einseitig digitalisierbar?</t>
        </is>
      </c>
      <c r="J115" s="111" t="inlineStr">
        <is>
          <t>hohler Rücken</t>
        </is>
      </c>
      <c r="K115" s="64" t="n"/>
      <c r="L115" s="64" t="inlineStr">
        <is>
          <t xml:space="preserve">Papierumschlag </t>
        </is>
      </c>
      <c r="M115" s="64" t="inlineStr">
        <is>
          <t>Ja</t>
        </is>
      </c>
      <c r="N115" s="64" t="n">
        <v>1</v>
      </c>
      <c r="O115" s="64" t="n"/>
      <c r="P115" s="64" t="n"/>
      <c r="Q115" s="64" t="n"/>
      <c r="R115" s="64" t="n"/>
      <c r="AO115" s="78" t="n"/>
      <c r="BB115" s="74">
        <f>#REF!+#REF!</f>
        <v/>
      </c>
      <c r="BM115" s="75" t="inlineStr">
        <is>
          <t>x</t>
        </is>
      </c>
      <c r="BN115" s="75" t="inlineStr">
        <is>
          <t>x</t>
        </is>
      </c>
    </row>
    <row r="116" ht="22.5" customHeight="1" s="58">
      <c r="A116" s="64" t="n">
        <v>116</v>
      </c>
      <c r="B116" s="64" t="n"/>
      <c r="C116" s="64" t="n"/>
      <c r="D116" s="66" t="n"/>
      <c r="E116" s="64" t="inlineStr">
        <is>
          <t>Cb 1</t>
        </is>
      </c>
      <c r="F116" s="64" t="inlineStr">
        <is>
          <t>X</t>
        </is>
      </c>
      <c r="G116" s="111" t="inlineStr">
        <is>
          <t>Halbledereinband</t>
        </is>
      </c>
      <c r="H116" s="108" t="inlineStr">
        <is>
          <t>bis 25 cm</t>
        </is>
      </c>
      <c r="I116" s="111" t="inlineStr">
        <is>
          <t>80° bis 110°, einseitig digitalisierbar?</t>
        </is>
      </c>
      <c r="J116" s="111" t="inlineStr">
        <is>
          <t>stark brüchiges Einbandmaterial, gefaltete Blätter</t>
        </is>
      </c>
      <c r="K116" s="64" t="n"/>
      <c r="L116" s="64" t="n"/>
      <c r="M116" s="64" t="n"/>
      <c r="N116" s="64" t="n">
        <v>3</v>
      </c>
      <c r="O116" s="64" t="n"/>
      <c r="P116" s="64" t="n"/>
      <c r="Q116" s="64" t="n"/>
      <c r="R116" s="64" t="n"/>
      <c r="AO116" s="78" t="n"/>
      <c r="BB116" s="74">
        <f>#REF!+#REF!</f>
        <v/>
      </c>
      <c r="BN116" s="75" t="inlineStr">
        <is>
          <t>x</t>
        </is>
      </c>
    </row>
    <row r="117">
      <c r="A117" s="64" t="n">
        <v>117</v>
      </c>
      <c r="B117" s="64" t="inlineStr">
        <is>
          <t>L-1748-315461861</t>
        </is>
      </c>
      <c r="C117" s="64" t="n">
        <v>1066933804</v>
      </c>
      <c r="D117" s="66" t="inlineStr">
        <is>
          <t>https://portal.dnb.de/opac.htm?method=simpleSearch&amp;cqlMode=true&amp;query=idn%3D1066933804</t>
        </is>
      </c>
      <c r="E117" s="64" t="inlineStr">
        <is>
          <t>Cb 2</t>
        </is>
      </c>
      <c r="F117" s="64" t="inlineStr">
        <is>
          <t>X</t>
        </is>
      </c>
      <c r="G117" s="111" t="inlineStr">
        <is>
          <t>Papier- oder Pappeinband</t>
        </is>
      </c>
      <c r="H117" s="108" t="inlineStr">
        <is>
          <t>bis 25 cm</t>
        </is>
      </c>
      <c r="I117" s="111" t="inlineStr">
        <is>
          <t>80° bis 110°, einseitig digitalisierbar?</t>
        </is>
      </c>
      <c r="J117" s="111" t="inlineStr">
        <is>
          <t>hohler Rücken, gefaltete Blätter</t>
        </is>
      </c>
      <c r="K117" s="64" t="n"/>
      <c r="L117" s="64" t="inlineStr">
        <is>
          <t xml:space="preserve">Papierumschlag </t>
        </is>
      </c>
      <c r="M117" s="64" t="inlineStr">
        <is>
          <t>Ja</t>
        </is>
      </c>
      <c r="N117" s="64" t="n">
        <v>0</v>
      </c>
      <c r="O117" s="64" t="n"/>
      <c r="P117" s="64" t="n"/>
      <c r="Q117" s="64" t="n"/>
      <c r="R117" s="64" t="n"/>
      <c r="AO117" s="78" t="n"/>
      <c r="BB117" s="74">
        <f>#REF!+#REF!</f>
        <v/>
      </c>
      <c r="BM117" s="75" t="inlineStr">
        <is>
          <t>x</t>
        </is>
      </c>
      <c r="BN117" s="75" t="inlineStr">
        <is>
          <t>x</t>
        </is>
      </c>
    </row>
    <row r="118">
      <c r="A118" s="64" t="n">
        <v>118</v>
      </c>
      <c r="B118" s="64" t="inlineStr">
        <is>
          <t>L-1649-167930168</t>
        </is>
      </c>
      <c r="C118" s="64" t="n">
        <v>999332031</v>
      </c>
      <c r="D118" s="66" t="inlineStr">
        <is>
          <t>https://portal.dnb.de/opac.htm?method=simpleSearch&amp;cqlMode=true&amp;query=idn%3D999332031</t>
        </is>
      </c>
      <c r="E118" s="64" t="inlineStr">
        <is>
          <t>Cb 3</t>
        </is>
      </c>
      <c r="F118" s="64" t="inlineStr">
        <is>
          <t>X</t>
        </is>
      </c>
      <c r="G118" s="111" t="inlineStr">
        <is>
          <t>Pergamentband</t>
        </is>
      </c>
      <c r="H118" s="108" t="inlineStr">
        <is>
          <t>bis 25 cm</t>
        </is>
      </c>
      <c r="I118" s="111" t="inlineStr">
        <is>
          <t>80° bis 110°, einseitig digitalisierbar?</t>
        </is>
      </c>
      <c r="J118" s="111" t="inlineStr">
        <is>
          <t>hohler Rücken, welliger Buchblock</t>
        </is>
      </c>
      <c r="K118" s="64" t="n"/>
      <c r="L118" s="64" t="n"/>
      <c r="M118" s="64" t="n"/>
      <c r="N118" s="64" t="n">
        <v>1</v>
      </c>
      <c r="O118" s="64" t="n"/>
      <c r="P118" s="64" t="n"/>
      <c r="Q118" s="64" t="n"/>
      <c r="R118" s="64" t="n"/>
      <c r="AO118" s="78" t="n"/>
      <c r="BB118" s="74">
        <f>#REF!+#REF!</f>
        <v/>
      </c>
      <c r="BM118" s="75" t="inlineStr">
        <is>
          <t>x</t>
        </is>
      </c>
      <c r="BN118" s="75" t="inlineStr">
        <is>
          <t>x</t>
        </is>
      </c>
    </row>
    <row r="119">
      <c r="A119" s="64" t="n">
        <v>119</v>
      </c>
      <c r="B119" s="64" t="inlineStr">
        <is>
          <t>L-1649-167930222</t>
        </is>
      </c>
      <c r="C119" s="64" t="n">
        <v>999332104</v>
      </c>
      <c r="D119" s="66" t="inlineStr">
        <is>
          <t>https://portal.dnb.de/opac.htm?method=simpleSearch&amp;cqlMode=true&amp;query=idn%3D999332104</t>
        </is>
      </c>
      <c r="E119" s="64" t="inlineStr">
        <is>
          <t>Cb 3</t>
        </is>
      </c>
      <c r="F119" s="64" t="n"/>
      <c r="G119" s="111" t="n"/>
      <c r="H119" s="108" t="n"/>
      <c r="I119" s="111" t="n"/>
      <c r="J119" s="111" t="n"/>
      <c r="K119" s="64" t="n"/>
      <c r="L119" s="64" t="n"/>
      <c r="M119" s="64" t="n"/>
      <c r="N119" s="64" t="n"/>
      <c r="O119" s="64" t="n"/>
      <c r="P119" s="64" t="n"/>
      <c r="Q119" s="64" t="n"/>
      <c r="R119" s="64" t="n"/>
      <c r="AO119" s="78" t="n"/>
      <c r="BB119" s="74">
        <f>#REF!+#REF!</f>
        <v/>
      </c>
      <c r="BM119" s="75" t="inlineStr">
        <is>
          <t>x</t>
        </is>
      </c>
      <c r="BN119" s="75" t="inlineStr">
        <is>
          <t>x</t>
        </is>
      </c>
    </row>
    <row r="120">
      <c r="A120" s="64" t="n">
        <v>120</v>
      </c>
      <c r="B120" s="64" t="inlineStr">
        <is>
          <t>L-1649-167930303</t>
        </is>
      </c>
      <c r="C120" s="64" t="n">
        <v>999332171</v>
      </c>
      <c r="D120" s="66" t="inlineStr">
        <is>
          <t>https://portal.dnb.de/opac.htm?method=simpleSearch&amp;cqlMode=true&amp;query=idn%3D999332171</t>
        </is>
      </c>
      <c r="E120" s="64" t="inlineStr">
        <is>
          <t>Cb 3</t>
        </is>
      </c>
      <c r="F120" s="64" t="n"/>
      <c r="G120" s="111" t="n"/>
      <c r="H120" s="108" t="n"/>
      <c r="I120" s="111" t="n"/>
      <c r="J120" s="111" t="n"/>
      <c r="K120" s="64" t="n"/>
      <c r="L120" s="64" t="n"/>
      <c r="M120" s="64" t="n"/>
      <c r="N120" s="64" t="n"/>
      <c r="O120" s="64" t="n"/>
      <c r="P120" s="64" t="n"/>
      <c r="Q120" s="64" t="n"/>
      <c r="R120" s="64" t="n"/>
      <c r="AO120" s="78" t="n"/>
      <c r="BB120" s="74">
        <f>#REF!+#REF!</f>
        <v/>
      </c>
      <c r="BM120" s="75" t="inlineStr">
        <is>
          <t>x</t>
        </is>
      </c>
      <c r="BN120" s="75" t="inlineStr">
        <is>
          <t>x</t>
        </is>
      </c>
    </row>
    <row r="121" ht="22.5" customHeight="1" s="58">
      <c r="A121" s="64" t="n">
        <v>121</v>
      </c>
      <c r="B121" s="64" t="inlineStr">
        <is>
          <t>L-1553-160866332</t>
        </is>
      </c>
      <c r="C121" s="64" t="n">
        <v>995812764</v>
      </c>
      <c r="D121" s="66" t="inlineStr">
        <is>
          <t>https://portal.dnb.de/opac.htm?method=simpleSearch&amp;cqlMode=true&amp;query=idn%3D995812764</t>
        </is>
      </c>
      <c r="E121" s="64" t="inlineStr">
        <is>
          <t>Cb 5</t>
        </is>
      </c>
      <c r="F121" s="64" t="n"/>
      <c r="G121" s="111" t="inlineStr">
        <is>
          <t>Pergamentband, Schließen, erhabene Buchbeschläge</t>
        </is>
      </c>
      <c r="H121" s="108" t="inlineStr">
        <is>
          <t>bis 25 cm</t>
        </is>
      </c>
      <c r="I121" s="111" t="inlineStr">
        <is>
          <t>80° bis 110°, einseitig digitalisierbar?</t>
        </is>
      </c>
      <c r="J121" s="111" t="inlineStr">
        <is>
          <t>hohler Rücken</t>
        </is>
      </c>
      <c r="K121" s="64" t="n"/>
      <c r="L121" s="64" t="inlineStr">
        <is>
          <t>Kassette</t>
        </is>
      </c>
      <c r="M121" s="64" t="inlineStr">
        <is>
          <t>Nein</t>
        </is>
      </c>
      <c r="N121" s="64" t="n">
        <v>0</v>
      </c>
      <c r="O121" s="64" t="n"/>
      <c r="P121" s="64" t="inlineStr">
        <is>
          <t>Originaleinband separat</t>
        </is>
      </c>
      <c r="Q121" s="64" t="n"/>
      <c r="R121" s="64" t="n"/>
      <c r="AO121" s="78" t="n"/>
      <c r="BB121" s="74">
        <f>#REF!+#REF!</f>
        <v/>
      </c>
      <c r="BM121" s="75" t="inlineStr">
        <is>
          <t>x</t>
        </is>
      </c>
      <c r="BN121" s="75" t="inlineStr">
        <is>
          <t>x</t>
        </is>
      </c>
    </row>
    <row r="122">
      <c r="A122" s="64" t="n">
        <v>122</v>
      </c>
      <c r="B122" s="64" t="inlineStr">
        <is>
          <t>L-1782-167732293</t>
        </is>
      </c>
      <c r="C122" s="64" t="n">
        <v>999212214</v>
      </c>
      <c r="D122" s="66" t="inlineStr">
        <is>
          <t>https://portal.dnb.de/opac.htm?method=simpleSearch&amp;cqlMode=true&amp;query=idn%3D999212214</t>
        </is>
      </c>
      <c r="E122" s="64" t="inlineStr">
        <is>
          <t>Cb 6 -1</t>
        </is>
      </c>
      <c r="F122" s="64" t="inlineStr">
        <is>
          <t>X</t>
        </is>
      </c>
      <c r="G122" s="111" t="inlineStr">
        <is>
          <t>Halbledereinband</t>
        </is>
      </c>
      <c r="H122" s="108" t="inlineStr">
        <is>
          <t>bis 35 cm</t>
        </is>
      </c>
      <c r="I122" s="111" t="inlineStr">
        <is>
          <t>80° bis 110°, einseitig digitalisierbar?</t>
        </is>
      </c>
      <c r="J122" s="111" t="n"/>
      <c r="K122" s="64" t="n"/>
      <c r="L122" s="64" t="inlineStr">
        <is>
          <t>Kassette</t>
        </is>
      </c>
      <c r="M122" s="64" t="inlineStr">
        <is>
          <t>Nein, Signaturfahne austauschen</t>
        </is>
      </c>
      <c r="N122" s="64" t="n">
        <v>2</v>
      </c>
      <c r="O122" s="64" t="n"/>
      <c r="P122" s="64" t="n"/>
      <c r="Q122" s="64" t="n"/>
      <c r="R122" s="64" t="n"/>
      <c r="AO122" s="78" t="n"/>
      <c r="BB122" s="74">
        <f>#REF!+#REF!</f>
        <v/>
      </c>
      <c r="BM122" s="75" t="inlineStr">
        <is>
          <t>x</t>
        </is>
      </c>
      <c r="BN122" s="75" t="inlineStr">
        <is>
          <t>x</t>
        </is>
      </c>
    </row>
    <row r="123">
      <c r="A123" s="64" t="n">
        <v>123</v>
      </c>
      <c r="B123" s="64" t="inlineStr">
        <is>
          <t>L-1785-167732366</t>
        </is>
      </c>
      <c r="C123" s="64" t="n">
        <v>999212273</v>
      </c>
      <c r="D123" s="66" t="inlineStr">
        <is>
          <t>https://portal.dnb.de/opac.htm?method=simpleSearch&amp;cqlMode=true&amp;query=idn%3D999212273</t>
        </is>
      </c>
      <c r="E123" s="64" t="inlineStr">
        <is>
          <t>Cb 6 -2</t>
        </is>
      </c>
      <c r="F123" s="64" t="inlineStr">
        <is>
          <t>X</t>
        </is>
      </c>
      <c r="G123" s="111" t="inlineStr">
        <is>
          <t>Halbledereinband</t>
        </is>
      </c>
      <c r="H123" s="108" t="inlineStr">
        <is>
          <t>bis 35 cm</t>
        </is>
      </c>
      <c r="I123" s="111" t="inlineStr">
        <is>
          <t>80° bis 110°, einseitig digitalisierbar?</t>
        </is>
      </c>
      <c r="J123" s="111" t="n"/>
      <c r="K123" s="64" t="n"/>
      <c r="L123" s="64" t="inlineStr">
        <is>
          <t>Kassette</t>
        </is>
      </c>
      <c r="M123" s="64" t="inlineStr">
        <is>
          <t>Nein, Signaturfahne austauschen</t>
        </is>
      </c>
      <c r="N123" s="64" t="n">
        <v>1</v>
      </c>
      <c r="O123" s="64" t="n"/>
      <c r="P123" s="64" t="n"/>
      <c r="Q123" s="64" t="n"/>
      <c r="R123" s="64" t="n"/>
      <c r="AO123" s="78" t="n"/>
      <c r="BB123" s="74">
        <f>#REF!+#REF!</f>
        <v/>
      </c>
      <c r="BM123" s="75" t="inlineStr">
        <is>
          <t>x</t>
        </is>
      </c>
      <c r="BN123" s="75" t="inlineStr">
        <is>
          <t>x</t>
        </is>
      </c>
    </row>
    <row r="124">
      <c r="A124" s="64" t="n">
        <v>124</v>
      </c>
      <c r="B124" s="64" t="inlineStr">
        <is>
          <t>L-1575-170980553</t>
        </is>
      </c>
      <c r="C124" s="64" t="n">
        <v>1000646203</v>
      </c>
      <c r="D124" s="66" t="inlineStr">
        <is>
          <t>https://portal.dnb.de/opac.htm?method=simpleSearch&amp;cqlMode=true&amp;query=idn%3D1000646203</t>
        </is>
      </c>
      <c r="E124" s="64" t="inlineStr">
        <is>
          <t>Cb 7</t>
        </is>
      </c>
      <c r="F124" s="64" t="n"/>
      <c r="G124" s="111" t="n"/>
      <c r="H124" s="108" t="n"/>
      <c r="I124" s="111" t="n"/>
      <c r="J124" s="111" t="n"/>
      <c r="K124" s="64" t="n"/>
      <c r="L124" s="64" t="n"/>
      <c r="M124" s="64" t="n"/>
      <c r="N124" s="64" t="n"/>
      <c r="O124" s="64" t="n"/>
      <c r="P124" s="64" t="n"/>
      <c r="Q124" s="64" t="n"/>
      <c r="R124" s="64" t="n"/>
      <c r="AO124" s="78" t="n"/>
      <c r="BB124" s="74">
        <f>#REF!+#REF!</f>
        <v/>
      </c>
      <c r="BM124" s="75" t="inlineStr">
        <is>
          <t>x</t>
        </is>
      </c>
      <c r="BN124" s="75" t="inlineStr">
        <is>
          <t>x</t>
        </is>
      </c>
    </row>
    <row r="125">
      <c r="A125" s="64" t="n">
        <v>125</v>
      </c>
      <c r="B125" s="64" t="inlineStr">
        <is>
          <t>L-1792-170112721</t>
        </is>
      </c>
      <c r="C125" s="64" t="n">
        <v>1000162397</v>
      </c>
      <c r="D125" s="66" t="inlineStr">
        <is>
          <t>https://portal.dnb.de/opac.htm?method=simpleSearch&amp;cqlMode=true&amp;query=idn%3D1000162397</t>
        </is>
      </c>
      <c r="E125" s="64" t="inlineStr">
        <is>
          <t>Cb 8</t>
        </is>
      </c>
      <c r="F125" s="64" t="n"/>
      <c r="G125" s="111" t="n"/>
      <c r="H125" s="108" t="n"/>
      <c r="I125" s="111" t="n"/>
      <c r="J125" s="111" t="n"/>
      <c r="K125" s="64" t="n"/>
      <c r="L125" s="64" t="n"/>
      <c r="M125" s="64" t="n"/>
      <c r="N125" s="64" t="n"/>
      <c r="O125" s="64" t="n"/>
      <c r="P125" s="64" t="n"/>
      <c r="Q125" s="64" t="n"/>
      <c r="R125" s="64" t="n"/>
      <c r="AO125" s="78" t="n"/>
      <c r="BB125" s="74">
        <f>#REF!+#REF!</f>
        <v/>
      </c>
      <c r="BM125" s="75" t="inlineStr">
        <is>
          <t>x</t>
        </is>
      </c>
      <c r="BN125" s="75" t="inlineStr">
        <is>
          <t>x</t>
        </is>
      </c>
    </row>
    <row r="126">
      <c r="A126" s="64" t="n">
        <v>126</v>
      </c>
      <c r="B126" s="64" t="inlineStr">
        <is>
          <t>L-1570-156875926</t>
        </is>
      </c>
      <c r="C126" s="64" t="n">
        <v>994578148</v>
      </c>
      <c r="D126" s="66" t="inlineStr">
        <is>
          <t>https://portal.dnb.de/opac.htm?method=simpleSearch&amp;cqlMode=true&amp;query=idn%3D994578148</t>
        </is>
      </c>
      <c r="E126" s="64" t="inlineStr">
        <is>
          <t>Cb 9</t>
        </is>
      </c>
      <c r="F126" s="64" t="n"/>
      <c r="G126" s="111" t="n"/>
      <c r="H126" s="108" t="n"/>
      <c r="I126" s="111" t="n"/>
      <c r="J126" s="111" t="n"/>
      <c r="K126" s="64" t="n"/>
      <c r="L126" s="64" t="n"/>
      <c r="M126" s="64" t="n"/>
      <c r="N126" s="64" t="n"/>
      <c r="O126" s="64" t="n"/>
      <c r="P126" s="64" t="n"/>
      <c r="Q126" s="64" t="n"/>
      <c r="R126" s="64" t="n"/>
      <c r="AO126" s="78" t="n"/>
      <c r="BB126" s="74">
        <f>#REF!+#REF!</f>
        <v/>
      </c>
      <c r="BM126" s="75" t="inlineStr">
        <is>
          <t>x</t>
        </is>
      </c>
      <c r="BN126" s="75" t="inlineStr">
        <is>
          <t>x</t>
        </is>
      </c>
    </row>
    <row r="127">
      <c r="A127" s="64" t="n">
        <v>127</v>
      </c>
      <c r="B127" s="64" t="inlineStr">
        <is>
          <t>L-1570-156875969</t>
        </is>
      </c>
      <c r="C127" s="64" t="n">
        <v>994578180</v>
      </c>
      <c r="D127" s="66" t="inlineStr">
        <is>
          <t>https://portal.dnb.de/opac.htm?method=simpleSearch&amp;cqlMode=true&amp;query=idn%3D994578180</t>
        </is>
      </c>
      <c r="E127" s="64" t="inlineStr">
        <is>
          <t>Cb 9</t>
        </is>
      </c>
      <c r="F127" s="64" t="n"/>
      <c r="G127" s="111" t="n"/>
      <c r="H127" s="108" t="n"/>
      <c r="I127" s="111" t="n"/>
      <c r="J127" s="111" t="n"/>
      <c r="K127" s="64" t="n"/>
      <c r="L127" s="64" t="n"/>
      <c r="M127" s="64" t="n"/>
      <c r="N127" s="64" t="n"/>
      <c r="O127" s="64" t="n"/>
      <c r="P127" s="64" t="n"/>
      <c r="Q127" s="64" t="n"/>
      <c r="R127" s="64" t="n"/>
      <c r="AO127" s="78" t="n"/>
      <c r="BB127" s="74">
        <f>#REF!+#REF!</f>
        <v/>
      </c>
      <c r="BM127" s="75" t="inlineStr">
        <is>
          <t>x</t>
        </is>
      </c>
      <c r="BN127" s="75" t="inlineStr">
        <is>
          <t>x</t>
        </is>
      </c>
    </row>
    <row r="128">
      <c r="A128" s="64" t="n">
        <v>128</v>
      </c>
      <c r="B128" s="64" t="inlineStr">
        <is>
          <t>L-1569-169766330</t>
        </is>
      </c>
      <c r="C128" s="64" t="n">
        <v>999953923</v>
      </c>
      <c r="D128" s="66" t="inlineStr">
        <is>
          <t>https://portal.dnb.de/opac.htm?method=simpleSearch&amp;cqlMode=true&amp;query=idn%3D999953923</t>
        </is>
      </c>
      <c r="E128" s="64" t="inlineStr">
        <is>
          <t>Cb 10</t>
        </is>
      </c>
      <c r="F128" s="64" t="n"/>
      <c r="G128" s="111" t="n"/>
      <c r="H128" s="108" t="n"/>
      <c r="I128" s="111" t="n"/>
      <c r="J128" s="111" t="n"/>
      <c r="K128" s="64" t="n"/>
      <c r="L128" s="64" t="n"/>
      <c r="M128" s="64" t="n"/>
      <c r="N128" s="64" t="n"/>
      <c r="O128" s="64" t="n"/>
      <c r="P128" s="64" t="n"/>
      <c r="Q128" s="64" t="n"/>
      <c r="R128" s="64" t="n"/>
      <c r="AO128" s="78" t="n"/>
      <c r="BB128" s="74">
        <f>#REF!+#REF!</f>
        <v/>
      </c>
      <c r="BM128" s="75" t="inlineStr">
        <is>
          <t>x</t>
        </is>
      </c>
      <c r="BN128" s="75" t="inlineStr">
        <is>
          <t>x</t>
        </is>
      </c>
    </row>
    <row r="129">
      <c r="A129" s="64" t="n">
        <v>129</v>
      </c>
      <c r="B129" s="64" t="inlineStr">
        <is>
          <t>L-1764-173913997</t>
        </is>
      </c>
      <c r="C129" s="64" t="inlineStr">
        <is>
          <t>100125600X</t>
        </is>
      </c>
      <c r="D129" s="66" t="inlineStr">
        <is>
          <t>https://portal.dnb.de/opac.htm?method=simpleSearch&amp;cqlMode=true&amp;query=idn%3D100125600X</t>
        </is>
      </c>
      <c r="E129" s="64" t="inlineStr">
        <is>
          <t>Cb 11</t>
        </is>
      </c>
      <c r="F129" s="64" t="n"/>
      <c r="G129" s="111" t="n"/>
      <c r="H129" s="108" t="n"/>
      <c r="I129" s="111" t="n"/>
      <c r="J129" s="111" t="n"/>
      <c r="K129" s="64" t="n"/>
      <c r="L129" s="64" t="n"/>
      <c r="M129" s="64" t="n"/>
      <c r="N129" s="64" t="n"/>
      <c r="O129" s="64" t="n"/>
      <c r="P129" s="64" t="n"/>
      <c r="Q129" s="64" t="n"/>
      <c r="R129" s="64" t="n"/>
      <c r="AO129" s="78" t="n"/>
      <c r="BB129" s="74">
        <f>#REF!+#REF!</f>
        <v/>
      </c>
      <c r="BM129" s="75" t="inlineStr">
        <is>
          <t>x</t>
        </is>
      </c>
      <c r="BN129" s="75" t="inlineStr">
        <is>
          <t>x</t>
        </is>
      </c>
    </row>
    <row r="130">
      <c r="A130" s="64" t="n">
        <v>130</v>
      </c>
      <c r="B130" s="64" t="inlineStr">
        <is>
          <t>L-1741-175756104</t>
        </is>
      </c>
      <c r="C130" s="64" t="n">
        <v>1001872924</v>
      </c>
      <c r="D130" s="66" t="inlineStr">
        <is>
          <t>https://portal.dnb.de/opac.htm?method=simpleSearch&amp;cqlMode=true&amp;query=idn%3D1001872924</t>
        </is>
      </c>
      <c r="E130" s="64" t="inlineStr">
        <is>
          <t>Cb 12</t>
        </is>
      </c>
      <c r="F130" s="64" t="n"/>
      <c r="G130" s="111" t="n"/>
      <c r="H130" s="108" t="n"/>
      <c r="I130" s="111" t="n"/>
      <c r="J130" s="111" t="n"/>
      <c r="K130" s="64" t="n"/>
      <c r="L130" s="64" t="n"/>
      <c r="M130" s="64" t="n"/>
      <c r="N130" s="64" t="n"/>
      <c r="O130" s="64" t="n"/>
      <c r="P130" s="64" t="n"/>
      <c r="Q130" s="64" t="n"/>
      <c r="R130" s="64" t="n"/>
      <c r="AO130" s="78" t="n"/>
      <c r="BB130" s="74">
        <f>#REF!+#REF!</f>
        <v/>
      </c>
      <c r="BM130" s="75" t="inlineStr">
        <is>
          <t>x</t>
        </is>
      </c>
      <c r="BN130" s="75" t="inlineStr">
        <is>
          <t>x</t>
        </is>
      </c>
    </row>
    <row r="131">
      <c r="A131" s="64" t="n">
        <v>131</v>
      </c>
      <c r="B131" s="64" t="inlineStr">
        <is>
          <t>L-1776-153970227</t>
        </is>
      </c>
      <c r="C131" s="64" t="n">
        <v>993908063</v>
      </c>
      <c r="D131" s="66" t="inlineStr">
        <is>
          <t>https://portal.dnb.de/opac.htm?method=simpleSearch&amp;cqlMode=true&amp;query=idn%3D993908063</t>
        </is>
      </c>
      <c r="E131" s="64" t="inlineStr">
        <is>
          <t>Cb 13</t>
        </is>
      </c>
      <c r="F131" s="64" t="n"/>
      <c r="G131" s="111" t="n"/>
      <c r="H131" s="108" t="n"/>
      <c r="I131" s="111" t="n"/>
      <c r="J131" s="111" t="n"/>
      <c r="K131" s="64" t="n"/>
      <c r="L131" s="64" t="n"/>
      <c r="M131" s="64" t="n"/>
      <c r="N131" s="64" t="n"/>
      <c r="O131" s="64" t="n"/>
      <c r="P131" s="64" t="n"/>
      <c r="Q131" s="64" t="n"/>
      <c r="R131" s="64" t="n"/>
      <c r="AO131" s="78" t="n"/>
      <c r="BB131" s="74">
        <f>#REF!+#REF!</f>
        <v/>
      </c>
      <c r="BM131" s="75" t="inlineStr">
        <is>
          <t>x</t>
        </is>
      </c>
      <c r="BN131" s="75" t="inlineStr">
        <is>
          <t>x</t>
        </is>
      </c>
    </row>
    <row r="132">
      <c r="A132" s="64" t="n">
        <v>132</v>
      </c>
      <c r="B132" s="64" t="inlineStr">
        <is>
          <t>L-1687-315465735</t>
        </is>
      </c>
      <c r="C132" s="64" t="n">
        <v>1066937931</v>
      </c>
      <c r="D132" s="66" t="inlineStr">
        <is>
          <t>https://portal.dnb.de/opac.htm?method=simpleSearch&amp;cqlMode=true&amp;query=idn%3D1066937931</t>
        </is>
      </c>
      <c r="E132" s="64" t="inlineStr">
        <is>
          <t>Cb 14</t>
        </is>
      </c>
      <c r="F132" s="64" t="n"/>
      <c r="G132" s="111" t="n"/>
      <c r="H132" s="108" t="n"/>
      <c r="I132" s="111" t="n"/>
      <c r="J132" s="111" t="n"/>
      <c r="K132" s="64" t="n"/>
      <c r="L132" s="64" t="n"/>
      <c r="M132" s="64" t="n"/>
      <c r="N132" s="64" t="n"/>
      <c r="O132" s="64" t="n"/>
      <c r="P132" s="64" t="n"/>
      <c r="Q132" s="64" t="n"/>
      <c r="R132" s="64" t="n"/>
      <c r="AO132" s="78" t="n"/>
      <c r="BB132" s="74">
        <f>#REF!+#REF!</f>
        <v/>
      </c>
      <c r="BM132" s="75" t="inlineStr">
        <is>
          <t>x</t>
        </is>
      </c>
      <c r="BN132" s="75" t="inlineStr">
        <is>
          <t>x</t>
        </is>
      </c>
    </row>
    <row r="133">
      <c r="A133" s="64" t="n">
        <v>133</v>
      </c>
      <c r="B133" s="64" t="inlineStr">
        <is>
          <t>L-1804-168402416</t>
        </is>
      </c>
      <c r="C133" s="64" t="n">
        <v>999459473</v>
      </c>
      <c r="D133" s="66" t="inlineStr">
        <is>
          <t>https://portal.dnb.de/opac.htm?method=simpleSearch&amp;cqlMode=true&amp;query=idn%3D999459473</t>
        </is>
      </c>
      <c r="E133" s="64" t="inlineStr">
        <is>
          <t>Cb 15</t>
        </is>
      </c>
      <c r="F133" s="64" t="n"/>
      <c r="G133" s="111" t="n"/>
      <c r="H133" s="108" t="n"/>
      <c r="I133" s="111" t="n"/>
      <c r="J133" s="111" t="n"/>
      <c r="K133" s="64" t="n"/>
      <c r="L133" s="64" t="n"/>
      <c r="M133" s="64" t="n"/>
      <c r="N133" s="64" t="n"/>
      <c r="O133" s="64" t="n"/>
      <c r="P133" s="64" t="n"/>
      <c r="Q133" s="64" t="n"/>
      <c r="R133" s="64" t="n"/>
      <c r="AO133" s="78" t="n"/>
      <c r="BB133" s="74">
        <f>#REF!+#REF!</f>
        <v/>
      </c>
      <c r="BN133" s="75" t="inlineStr">
        <is>
          <t>x</t>
        </is>
      </c>
    </row>
    <row r="134">
      <c r="A134" s="64" t="n">
        <v>134</v>
      </c>
      <c r="B134" s="64" t="inlineStr">
        <is>
          <t>L-1764-153970677</t>
        </is>
      </c>
      <c r="C134" s="64" t="n">
        <v>993908454</v>
      </c>
      <c r="D134" s="66" t="inlineStr">
        <is>
          <t>https://portal.dnb.de/opac.htm?method=simpleSearch&amp;cqlMode=true&amp;query=idn%3D993908454</t>
        </is>
      </c>
      <c r="E134" s="64" t="inlineStr">
        <is>
          <t>Cb 16</t>
        </is>
      </c>
      <c r="F134" s="64" t="n"/>
      <c r="G134" s="111" t="n"/>
      <c r="H134" s="108" t="n"/>
      <c r="I134" s="111" t="n"/>
      <c r="J134" s="111" t="n"/>
      <c r="K134" s="64" t="n"/>
      <c r="L134" s="64" t="n"/>
      <c r="M134" s="64" t="n"/>
      <c r="N134" s="64" t="n"/>
      <c r="O134" s="64" t="n"/>
      <c r="P134" s="64" t="n"/>
      <c r="Q134" s="64" t="n"/>
      <c r="R134" s="64" t="n"/>
      <c r="AO134" s="78" t="n"/>
      <c r="BB134" s="74">
        <f>#REF!+#REF!</f>
        <v/>
      </c>
      <c r="BM134" s="75" t="inlineStr">
        <is>
          <t>x</t>
        </is>
      </c>
      <c r="BN134" s="75" t="inlineStr">
        <is>
          <t>x</t>
        </is>
      </c>
    </row>
    <row r="135">
      <c r="A135" s="64" t="n">
        <v>135</v>
      </c>
      <c r="B135" s="64" t="inlineStr">
        <is>
          <t>L-1780-178922080</t>
        </is>
      </c>
      <c r="C135" s="64" t="n">
        <v>1003171567</v>
      </c>
      <c r="D135" s="66" t="inlineStr">
        <is>
          <t>https://portal.dnb.de/opac.htm?method=simpleSearch&amp;cqlMode=true&amp;query=idn%3D1003171567</t>
        </is>
      </c>
      <c r="E135" s="64" t="inlineStr">
        <is>
          <t>Cb 17</t>
        </is>
      </c>
      <c r="F135" s="64" t="n"/>
      <c r="G135" s="111" t="n"/>
      <c r="H135" s="108" t="n"/>
      <c r="I135" s="111" t="n"/>
      <c r="J135" s="111" t="n"/>
      <c r="K135" s="64" t="n"/>
      <c r="L135" s="64" t="n"/>
      <c r="M135" s="64" t="n"/>
      <c r="N135" s="64" t="n"/>
      <c r="O135" s="64" t="n"/>
      <c r="P135" s="64" t="n"/>
      <c r="Q135" s="64" t="n"/>
      <c r="R135" s="64" t="n"/>
      <c r="AO135" s="78" t="n"/>
      <c r="BB135" s="74">
        <f>#REF!+#REF!</f>
        <v/>
      </c>
      <c r="BM135" s="75" t="inlineStr">
        <is>
          <t>x</t>
        </is>
      </c>
      <c r="BN135" s="75" t="inlineStr">
        <is>
          <t>x</t>
        </is>
      </c>
    </row>
    <row r="136">
      <c r="A136" s="64" t="n">
        <v>136</v>
      </c>
      <c r="B136" s="64" t="inlineStr">
        <is>
          <t>L-1780-184489555</t>
        </is>
      </c>
      <c r="C136" s="64" t="n">
        <v>1003171788</v>
      </c>
      <c r="D136" s="66" t="inlineStr">
        <is>
          <t>https://portal.dnb.de/opac.htm?method=simpleSearch&amp;cqlMode=true&amp;query=idn%3D1003171788</t>
        </is>
      </c>
      <c r="E136" s="64" t="inlineStr">
        <is>
          <t>Cb 17</t>
        </is>
      </c>
      <c r="F136" s="64" t="n"/>
      <c r="G136" s="111" t="n"/>
      <c r="H136" s="108" t="n"/>
      <c r="I136" s="111" t="n"/>
      <c r="J136" s="111" t="n"/>
      <c r="K136" s="64" t="n"/>
      <c r="L136" s="64" t="n"/>
      <c r="M136" s="64" t="n"/>
      <c r="N136" s="64" t="n"/>
      <c r="O136" s="64" t="n"/>
      <c r="P136" s="64" t="n"/>
      <c r="Q136" s="64" t="n"/>
      <c r="R136" s="64" t="n"/>
      <c r="AO136" s="78" t="n"/>
      <c r="BB136" s="74">
        <f>#REF!+#REF!</f>
        <v/>
      </c>
      <c r="BM136" s="75" t="inlineStr">
        <is>
          <t>x</t>
        </is>
      </c>
      <c r="BN136" s="75" t="inlineStr">
        <is>
          <t>x</t>
        </is>
      </c>
    </row>
    <row r="137">
      <c r="A137" s="64" t="n">
        <v>137</v>
      </c>
      <c r="B137" s="64" t="inlineStr">
        <is>
          <t>L-1729-155561057</t>
        </is>
      </c>
      <c r="C137" s="64" t="n">
        <v>994377584</v>
      </c>
      <c r="D137" s="66" t="inlineStr">
        <is>
          <t>https://portal.dnb.de/opac.htm?method=simpleSearch&amp;cqlMode=true&amp;query=idn%3D994377584</t>
        </is>
      </c>
      <c r="E137" s="64" t="inlineStr">
        <is>
          <t>Cb 18</t>
        </is>
      </c>
      <c r="F137" s="64" t="n"/>
      <c r="G137" s="111" t="n"/>
      <c r="H137" s="108" t="n"/>
      <c r="I137" s="111" t="n"/>
      <c r="J137" s="111" t="n"/>
      <c r="K137" s="64" t="n"/>
      <c r="L137" s="64" t="n"/>
      <c r="M137" s="64" t="n"/>
      <c r="N137" s="64" t="n"/>
      <c r="O137" s="64" t="n"/>
      <c r="P137" s="64" t="n"/>
      <c r="Q137" s="64" t="n"/>
      <c r="R137" s="64" t="n"/>
      <c r="AO137" s="78" t="n"/>
      <c r="BB137" s="74">
        <f>#REF!+#REF!</f>
        <v/>
      </c>
      <c r="BM137" s="75" t="inlineStr">
        <is>
          <t>x</t>
        </is>
      </c>
      <c r="BN137" s="75" t="inlineStr">
        <is>
          <t>x</t>
        </is>
      </c>
    </row>
    <row r="138">
      <c r="A138" s="64" t="n">
        <v>138</v>
      </c>
      <c r="B138" s="64" t="inlineStr">
        <is>
          <t>L-1619-154526304</t>
        </is>
      </c>
      <c r="C138" s="64" t="n">
        <v>994118473</v>
      </c>
      <c r="D138" s="66" t="inlineStr">
        <is>
          <t>https://portal.dnb.de/opac.htm?method=simpleSearch&amp;cqlMode=true&amp;query=idn%3D994118473</t>
        </is>
      </c>
      <c r="E138" s="64" t="inlineStr">
        <is>
          <t>Cb 19</t>
        </is>
      </c>
      <c r="F138" s="64" t="n"/>
      <c r="G138" s="111" t="n"/>
      <c r="H138" s="108" t="n"/>
      <c r="I138" s="111" t="n"/>
      <c r="J138" s="111" t="n"/>
      <c r="K138" s="64" t="n"/>
      <c r="L138" s="64" t="n"/>
      <c r="M138" s="64" t="n"/>
      <c r="N138" s="64" t="n"/>
      <c r="O138" s="64" t="n"/>
      <c r="P138" s="64" t="n"/>
      <c r="Q138" s="64" t="n"/>
      <c r="R138" s="64" t="n"/>
      <c r="AO138" s="78" t="n"/>
      <c r="BB138" s="74">
        <f>#REF!+#REF!</f>
        <v/>
      </c>
      <c r="BM138" s="75" t="inlineStr">
        <is>
          <t>x</t>
        </is>
      </c>
      <c r="BN138" s="75" t="inlineStr">
        <is>
          <t>x</t>
        </is>
      </c>
    </row>
    <row r="139">
      <c r="A139" s="64" t="n">
        <v>139</v>
      </c>
      <c r="B139" s="64" t="inlineStr">
        <is>
          <t>L-9999-154003182</t>
        </is>
      </c>
      <c r="C139" s="64" t="n">
        <v>993914918</v>
      </c>
      <c r="D139" s="66" t="inlineStr">
        <is>
          <t>https://portal.dnb.de/opac.htm?method=simpleSearch&amp;cqlMode=true&amp;query=idn%3D993914918</t>
        </is>
      </c>
      <c r="E139" s="64" t="inlineStr">
        <is>
          <t>Cb 20</t>
        </is>
      </c>
      <c r="F139" s="64" t="n"/>
      <c r="G139" s="111" t="n"/>
      <c r="H139" s="108" t="n"/>
      <c r="I139" s="111" t="n"/>
      <c r="J139" s="111" t="n"/>
      <c r="K139" s="64" t="n"/>
      <c r="L139" s="64" t="n"/>
      <c r="M139" s="64" t="n"/>
      <c r="N139" s="64" t="n"/>
      <c r="O139" s="64" t="n"/>
      <c r="P139" s="64" t="n"/>
      <c r="Q139" s="64" t="n"/>
      <c r="R139" s="64" t="n"/>
      <c r="AO139" s="78" t="n"/>
      <c r="BB139" s="74">
        <f>#REF!+#REF!</f>
        <v/>
      </c>
      <c r="BM139" s="75" t="inlineStr">
        <is>
          <t>x</t>
        </is>
      </c>
      <c r="BN139" s="75" t="inlineStr">
        <is>
          <t>x</t>
        </is>
      </c>
    </row>
    <row r="140">
      <c r="A140" s="64" t="n">
        <v>140</v>
      </c>
      <c r="B140" s="64" t="inlineStr">
        <is>
          <t>L-1535-177606118</t>
        </is>
      </c>
      <c r="C140" s="64" t="n">
        <v>1002571642</v>
      </c>
      <c r="D140" s="66" t="inlineStr">
        <is>
          <t>https://portal.dnb.de/opac.htm?method=simpleSearch&amp;cqlMode=true&amp;query=idn%3D1002571642</t>
        </is>
      </c>
      <c r="E140" s="64" t="inlineStr">
        <is>
          <t>Cb 21</t>
        </is>
      </c>
      <c r="F140" s="64" t="n"/>
      <c r="G140" s="111" t="n"/>
      <c r="H140" s="108" t="n"/>
      <c r="I140" s="111" t="n"/>
      <c r="J140" s="111" t="n"/>
      <c r="K140" s="64" t="n"/>
      <c r="L140" s="64" t="n"/>
      <c r="M140" s="64" t="n"/>
      <c r="N140" s="64" t="n"/>
      <c r="O140" s="64" t="n"/>
      <c r="P140" s="64" t="n"/>
      <c r="Q140" s="64" t="n"/>
      <c r="R140" s="64" t="n"/>
      <c r="AO140" s="78" t="n"/>
      <c r="BB140" s="74">
        <f>#REF!+#REF!</f>
        <v/>
      </c>
      <c r="BM140" s="75" t="inlineStr">
        <is>
          <t>x</t>
        </is>
      </c>
      <c r="BN140" s="75" t="inlineStr">
        <is>
          <t>x</t>
        </is>
      </c>
    </row>
    <row r="141">
      <c r="A141" s="64" t="n">
        <v>141</v>
      </c>
      <c r="B141" s="64" t="inlineStr">
        <is>
          <t>L-1526-177933569</t>
        </is>
      </c>
      <c r="C141" s="64" t="n">
        <v>1002761042</v>
      </c>
      <c r="D141" s="66" t="inlineStr">
        <is>
          <t>https://portal.dnb.de/opac.htm?method=simpleSearch&amp;cqlMode=true&amp;query=idn%3D1002761042</t>
        </is>
      </c>
      <c r="E141" s="64" t="inlineStr">
        <is>
          <t>Cb 22</t>
        </is>
      </c>
      <c r="F141" s="64" t="n"/>
      <c r="G141" s="111" t="n"/>
      <c r="H141" s="108" t="n"/>
      <c r="I141" s="111" t="n"/>
      <c r="J141" s="111" t="n"/>
      <c r="K141" s="64" t="n"/>
      <c r="L141" s="64" t="n"/>
      <c r="M141" s="64" t="n"/>
      <c r="N141" s="64" t="n"/>
      <c r="O141" s="64" t="n"/>
      <c r="P141" s="64" t="n"/>
      <c r="Q141" s="64" t="n"/>
      <c r="R141" s="64" t="n"/>
      <c r="AO141" s="78" t="n"/>
      <c r="BB141" s="74">
        <f>#REF!+#REF!</f>
        <v/>
      </c>
      <c r="BM141" s="75" t="inlineStr">
        <is>
          <t>x</t>
        </is>
      </c>
      <c r="BN141" s="75" t="inlineStr">
        <is>
          <t>x</t>
        </is>
      </c>
    </row>
    <row r="142">
      <c r="A142" s="64" t="n">
        <v>142</v>
      </c>
      <c r="B142" s="64" t="inlineStr">
        <is>
          <t>L-1526-17793364X</t>
        </is>
      </c>
      <c r="C142" s="64" t="n">
        <v>1002761123</v>
      </c>
      <c r="D142" s="66" t="inlineStr">
        <is>
          <t>https://portal.dnb.de/opac.htm?method=simpleSearch&amp;cqlMode=true&amp;query=idn%3D1002761123</t>
        </is>
      </c>
      <c r="E142" s="64" t="inlineStr">
        <is>
          <t>Cb 22</t>
        </is>
      </c>
      <c r="F142" s="64" t="n"/>
      <c r="G142" s="111" t="n"/>
      <c r="H142" s="108" t="n"/>
      <c r="I142" s="111" t="n"/>
      <c r="J142" s="111" t="n"/>
      <c r="K142" s="64" t="n"/>
      <c r="L142" s="64" t="n"/>
      <c r="M142" s="64" t="n"/>
      <c r="N142" s="64" t="n"/>
      <c r="O142" s="64" t="n"/>
      <c r="P142" s="64" t="n"/>
      <c r="Q142" s="64" t="n"/>
      <c r="R142" s="64" t="n"/>
      <c r="AO142" s="78" t="n"/>
      <c r="BB142" s="74">
        <f>#REF!+#REF!</f>
        <v/>
      </c>
      <c r="BM142" s="75" t="inlineStr">
        <is>
          <t>x</t>
        </is>
      </c>
      <c r="BN142" s="75" t="inlineStr">
        <is>
          <t>x</t>
        </is>
      </c>
    </row>
    <row r="143">
      <c r="A143" s="64" t="n">
        <v>143</v>
      </c>
      <c r="B143" s="64" t="inlineStr">
        <is>
          <t>L-1526-177933682</t>
        </is>
      </c>
      <c r="C143" s="64" t="n">
        <v>1002761166</v>
      </c>
      <c r="D143" s="66" t="inlineStr">
        <is>
          <t>https://portal.dnb.de/opac.htm?method=simpleSearch&amp;cqlMode=true&amp;query=idn%3D1002761166</t>
        </is>
      </c>
      <c r="E143" s="64" t="inlineStr">
        <is>
          <t>Cb 22</t>
        </is>
      </c>
      <c r="F143" s="64" t="n"/>
      <c r="G143" s="111" t="n"/>
      <c r="H143" s="108" t="n"/>
      <c r="I143" s="111" t="n"/>
      <c r="J143" s="111" t="n"/>
      <c r="K143" s="64" t="n"/>
      <c r="L143" s="64" t="n"/>
      <c r="M143" s="64" t="n"/>
      <c r="N143" s="64" t="n"/>
      <c r="O143" s="64" t="n"/>
      <c r="P143" s="64" t="n"/>
      <c r="Q143" s="64" t="n"/>
      <c r="R143" s="64" t="n"/>
      <c r="AO143" s="78" t="n"/>
      <c r="BB143" s="74">
        <f>#REF!+#REF!</f>
        <v/>
      </c>
      <c r="BM143" s="75" t="inlineStr">
        <is>
          <t>x</t>
        </is>
      </c>
      <c r="BN143" s="75" t="inlineStr">
        <is>
          <t>x</t>
        </is>
      </c>
    </row>
    <row r="144">
      <c r="A144" s="64" t="n">
        <v>144</v>
      </c>
      <c r="B144" s="64" t="inlineStr">
        <is>
          <t>L-1526-177933720</t>
        </is>
      </c>
      <c r="C144" s="64" t="n">
        <v>1002761182</v>
      </c>
      <c r="D144" s="66" t="inlineStr">
        <is>
          <t>https://portal.dnb.de/opac.htm?method=simpleSearch&amp;cqlMode=true&amp;query=idn%3D1002761182</t>
        </is>
      </c>
      <c r="E144" s="64" t="inlineStr">
        <is>
          <t>Cb 22</t>
        </is>
      </c>
      <c r="F144" s="64" t="n"/>
      <c r="G144" s="111" t="n"/>
      <c r="H144" s="108" t="n"/>
      <c r="I144" s="111" t="n"/>
      <c r="J144" s="111" t="n"/>
      <c r="K144" s="64" t="n"/>
      <c r="L144" s="64" t="n"/>
      <c r="M144" s="64" t="n"/>
      <c r="N144" s="64" t="n"/>
      <c r="O144" s="64" t="n"/>
      <c r="P144" s="64" t="n"/>
      <c r="Q144" s="64" t="n"/>
      <c r="R144" s="64" t="n"/>
      <c r="AO144" s="78" t="n"/>
      <c r="BB144" s="74">
        <f>#REF!+#REF!</f>
        <v/>
      </c>
      <c r="BM144" s="75" t="inlineStr">
        <is>
          <t>x</t>
        </is>
      </c>
      <c r="BN144" s="75" t="inlineStr">
        <is>
          <t>x</t>
        </is>
      </c>
    </row>
    <row r="145">
      <c r="A145" s="64" t="n">
        <v>145</v>
      </c>
      <c r="B145" s="64" t="inlineStr">
        <is>
          <t>L-1545-169509885</t>
        </is>
      </c>
      <c r="C145" s="64" t="inlineStr">
        <is>
          <t>99982791X</t>
        </is>
      </c>
      <c r="D145" s="66" t="inlineStr">
        <is>
          <t>https://portal.dnb.de/opac.htm?method=simpleSearch&amp;cqlMode=true&amp;query=idn%3D99982791X</t>
        </is>
      </c>
      <c r="E145" s="64" t="inlineStr">
        <is>
          <t>Cb 23</t>
        </is>
      </c>
      <c r="F145" s="64" t="n"/>
      <c r="G145" s="111" t="n"/>
      <c r="H145" s="108" t="n"/>
      <c r="I145" s="111" t="n"/>
      <c r="J145" s="111" t="n"/>
      <c r="K145" s="64" t="n"/>
      <c r="L145" s="64" t="n"/>
      <c r="M145" s="64" t="n"/>
      <c r="N145" s="64" t="n"/>
      <c r="O145" s="64" t="n"/>
      <c r="P145" s="64" t="n"/>
      <c r="Q145" s="64" t="n"/>
      <c r="R145" s="64" t="n"/>
      <c r="AO145" s="78" t="n"/>
      <c r="BB145" s="74">
        <f>#REF!+#REF!</f>
        <v/>
      </c>
      <c r="BM145" s="75" t="inlineStr">
        <is>
          <t>x</t>
        </is>
      </c>
      <c r="BN145" s="75" t="inlineStr">
        <is>
          <t>x</t>
        </is>
      </c>
    </row>
    <row r="146">
      <c r="A146" s="64" t="n">
        <v>146</v>
      </c>
      <c r="B146" s="64" t="inlineStr">
        <is>
          <t>L-1820-171052188</t>
        </is>
      </c>
      <c r="C146" s="64" t="n">
        <v>1003598099</v>
      </c>
      <c r="D146" s="66" t="inlineStr">
        <is>
          <t>https://portal.dnb.de/opac.htm?method=simpleSearch&amp;cqlMode=true&amp;query=idn%3D1003598099</t>
        </is>
      </c>
      <c r="E146" s="64" t="inlineStr">
        <is>
          <t>Cb 25 - 1, Taf.</t>
        </is>
      </c>
      <c r="F146" s="64" t="n"/>
      <c r="G146" s="111" t="n"/>
      <c r="H146" s="108" t="inlineStr">
        <is>
          <t>bis 42 cm</t>
        </is>
      </c>
      <c r="I146" s="111" t="n"/>
      <c r="J146" s="111" t="n"/>
      <c r="K146" s="64" t="n"/>
      <c r="L146" s="64" t="n"/>
      <c r="M146" s="64" t="n"/>
      <c r="N146" s="64" t="n"/>
      <c r="O146" s="64" t="n"/>
      <c r="P146" s="64" t="n"/>
      <c r="Q146" s="64" t="n"/>
      <c r="R146" s="64" t="n"/>
      <c r="U146" s="78" t="inlineStr">
        <is>
          <t>QF (49x39)</t>
        </is>
      </c>
      <c r="X146" s="78" t="inlineStr">
        <is>
          <t>L</t>
        </is>
      </c>
      <c r="Z146" s="78" t="inlineStr">
        <is>
          <t>x</t>
        </is>
      </c>
      <c r="AA146" s="78" t="inlineStr">
        <is>
          <t>h/E</t>
        </is>
      </c>
      <c r="AG146" s="78" t="inlineStr">
        <is>
          <t>Pa</t>
        </is>
      </c>
      <c r="AO146" s="78" t="n"/>
      <c r="AP146" s="78" t="inlineStr">
        <is>
          <t>x</t>
        </is>
      </c>
      <c r="AU146" s="78" t="n">
        <v>110</v>
      </c>
      <c r="BA146" s="80" t="inlineStr">
        <is>
          <t>n</t>
        </is>
      </c>
      <c r="BB146" s="74">
        <f>#REF!+#REF!</f>
        <v/>
      </c>
      <c r="BD146" s="78" t="inlineStr">
        <is>
          <t>Gewebe</t>
        </is>
      </c>
      <c r="BJ146" s="110" t="inlineStr">
        <is>
          <t>bessere Planlage bei 110°</t>
        </is>
      </c>
      <c r="BM146" s="75" t="inlineStr">
        <is>
          <t>x</t>
        </is>
      </c>
      <c r="BN146" s="75" t="inlineStr">
        <is>
          <t>x</t>
        </is>
      </c>
    </row>
    <row r="147">
      <c r="A147" s="64" t="n"/>
      <c r="B147" s="64" t="inlineStr">
        <is>
          <t>L-1820-40801170X</t>
        </is>
      </c>
      <c r="C147" s="64" t="inlineStr">
        <is>
          <t>1133386563</t>
        </is>
      </c>
      <c r="D147" s="66" t="n"/>
      <c r="E147" s="64" t="inlineStr">
        <is>
          <t>Cb 25 - 1.2</t>
        </is>
      </c>
      <c r="F147" s="64" t="n"/>
      <c r="G147" s="111" t="n"/>
      <c r="H147" s="108" t="n"/>
      <c r="I147" s="111" t="n"/>
      <c r="J147" s="111" t="n"/>
      <c r="K147" s="64" t="n"/>
      <c r="L147" s="64" t="n"/>
      <c r="M147" s="64" t="n"/>
      <c r="N147" s="64" t="n"/>
      <c r="O147" s="64" t="n"/>
      <c r="P147" s="64" t="n"/>
      <c r="Q147" s="64" t="n"/>
      <c r="R147" s="64" t="n"/>
      <c r="AO147" s="78" t="n"/>
      <c r="BB147" s="74">
        <f>#REF!+#REF!</f>
        <v/>
      </c>
      <c r="BM147" s="75" t="inlineStr">
        <is>
          <t>x</t>
        </is>
      </c>
      <c r="BN147" s="75" t="inlineStr">
        <is>
          <t>x</t>
        </is>
      </c>
    </row>
    <row r="148">
      <c r="A148" s="64" t="n">
        <v>147</v>
      </c>
      <c r="B148" s="64" t="inlineStr">
        <is>
          <t>L-1806-171052218</t>
        </is>
      </c>
      <c r="C148" s="64" t="n">
        <v>1000711315</v>
      </c>
      <c r="D148" s="66" t="inlineStr">
        <is>
          <t>https://portal.dnb.de/opac.htm?method=simpleSearch&amp;cqlMode=true&amp;query=idn%3D1000711315</t>
        </is>
      </c>
      <c r="E148" s="64" t="inlineStr">
        <is>
          <t>Cb 25 - 2 (angebunden)</t>
        </is>
      </c>
      <c r="F148" s="64" t="n"/>
      <c r="G148" s="111" t="n"/>
      <c r="H148" s="108" t="n"/>
      <c r="I148" s="111" t="n"/>
      <c r="J148" s="111" t="n"/>
      <c r="K148" s="64" t="n"/>
      <c r="L148" s="64" t="n"/>
      <c r="M148" s="64" t="n"/>
      <c r="N148" s="64" t="n"/>
      <c r="O148" s="64" t="n"/>
      <c r="P148" s="64" t="n"/>
      <c r="Q148" s="64" t="n"/>
      <c r="R148" s="64" t="n"/>
      <c r="AO148" s="78" t="n"/>
      <c r="BB148" s="74">
        <f>#REF!+#REF!</f>
        <v/>
      </c>
      <c r="BN148" s="75" t="inlineStr">
        <is>
          <t>x</t>
        </is>
      </c>
    </row>
    <row r="149">
      <c r="A149" s="64" t="n">
        <v>148</v>
      </c>
      <c r="B149" s="64" t="inlineStr">
        <is>
          <t>L-1808-171052234</t>
        </is>
      </c>
      <c r="C149" s="64" t="n">
        <v>1000711331</v>
      </c>
      <c r="D149" s="66" t="inlineStr">
        <is>
          <t>https://portal.dnb.de/opac.htm?method=simpleSearch&amp;cqlMode=true&amp;query=idn%3D1000711331</t>
        </is>
      </c>
      <c r="E149" s="64" t="inlineStr">
        <is>
          <t>Cb 25 - 3</t>
        </is>
      </c>
      <c r="F149" s="64" t="n"/>
      <c r="G149" s="111" t="n"/>
      <c r="H149" s="108" t="n"/>
      <c r="I149" s="111" t="n"/>
      <c r="J149" s="111" t="n"/>
      <c r="K149" s="64" t="n"/>
      <c r="L149" s="64" t="n"/>
      <c r="M149" s="64" t="n"/>
      <c r="N149" s="64" t="n"/>
      <c r="O149" s="64" t="n"/>
      <c r="P149" s="64" t="n"/>
      <c r="Q149" s="64" t="n"/>
      <c r="R149" s="64" t="n"/>
      <c r="AO149" s="78" t="n"/>
      <c r="BB149" s="74">
        <f>#REF!+#REF!</f>
        <v/>
      </c>
      <c r="BN149" s="75" t="inlineStr">
        <is>
          <t>x</t>
        </is>
      </c>
    </row>
    <row r="150">
      <c r="A150" s="64" t="n">
        <v>149</v>
      </c>
      <c r="B150" s="64" t="inlineStr">
        <is>
          <t>L-1808-171055446</t>
        </is>
      </c>
      <c r="C150" s="64" t="n">
        <v>1003598323</v>
      </c>
      <c r="D150" s="66" t="inlineStr">
        <is>
          <t>https://portal.dnb.de/opac.htm?method=simpleSearch&amp;cqlMode=true&amp;query=idn%3D1003598323</t>
        </is>
      </c>
      <c r="E150" s="64" t="inlineStr">
        <is>
          <t>Cb 25 - Taf. (angebunden)</t>
        </is>
      </c>
      <c r="F150" s="64" t="n"/>
      <c r="G150" s="111" t="n"/>
      <c r="H150" s="108" t="n"/>
      <c r="I150" s="111" t="n"/>
      <c r="J150" s="111" t="n"/>
      <c r="K150" s="64" t="n"/>
      <c r="L150" s="64" t="n"/>
      <c r="M150" s="64" t="n"/>
      <c r="N150" s="64" t="n"/>
      <c r="O150" s="64" t="n"/>
      <c r="P150" s="64" t="n"/>
      <c r="Q150" s="64" t="n"/>
      <c r="R150" s="64" t="n"/>
      <c r="AO150" s="78" t="n"/>
      <c r="BB150" s="74">
        <f>#REF!+#REF!</f>
        <v/>
      </c>
      <c r="BN150" s="75" t="inlineStr">
        <is>
          <t>x</t>
        </is>
      </c>
    </row>
    <row r="151">
      <c r="A151" s="64" t="n">
        <v>150</v>
      </c>
      <c r="B151" s="64" t="inlineStr">
        <is>
          <t>L-1821-169618404</t>
        </is>
      </c>
      <c r="C151" s="64" t="n">
        <v>999886924</v>
      </c>
      <c r="D151" s="66" t="inlineStr">
        <is>
          <t>https://portal.dnb.de/opac.htm?method=simpleSearch&amp;cqlMode=true&amp;query=idn%3D999886924</t>
        </is>
      </c>
      <c r="E151" s="64" t="inlineStr">
        <is>
          <t>Cb 26</t>
        </is>
      </c>
      <c r="F151" s="64" t="n"/>
      <c r="G151" s="111" t="n"/>
      <c r="H151" s="108" t="n"/>
      <c r="I151" s="111" t="n"/>
      <c r="J151" s="111" t="n"/>
      <c r="K151" s="64" t="n"/>
      <c r="L151" s="64" t="n"/>
      <c r="M151" s="64" t="n"/>
      <c r="N151" s="64" t="n"/>
      <c r="O151" s="64" t="n"/>
      <c r="P151" s="64" t="n"/>
      <c r="Q151" s="64" t="n"/>
      <c r="R151" s="64" t="n"/>
      <c r="AO151" s="78" t="n"/>
      <c r="BB151" s="74">
        <f>#REF!+#REF!</f>
        <v/>
      </c>
      <c r="BM151" s="75" t="inlineStr">
        <is>
          <t>x</t>
        </is>
      </c>
      <c r="BN151" s="75" t="inlineStr">
        <is>
          <t>x</t>
        </is>
      </c>
    </row>
    <row r="152">
      <c r="A152" s="64" t="n">
        <v>151</v>
      </c>
      <c r="B152" s="64" t="inlineStr">
        <is>
          <t>L-1526-155961667</t>
        </is>
      </c>
      <c r="C152" s="64" t="n">
        <v>994457391</v>
      </c>
      <c r="D152" s="66" t="inlineStr">
        <is>
          <t>https://portal.dnb.de/opac.htm?method=simpleSearch&amp;cqlMode=true&amp;query=idn%3D994457391</t>
        </is>
      </c>
      <c r="E152" s="64" t="inlineStr">
        <is>
          <t>Cb 27</t>
        </is>
      </c>
      <c r="F152" s="64" t="n"/>
      <c r="G152" s="111" t="n"/>
      <c r="H152" s="108" t="n"/>
      <c r="I152" s="111" t="n"/>
      <c r="J152" s="111" t="n"/>
      <c r="K152" s="64" t="n"/>
      <c r="L152" s="64" t="n"/>
      <c r="M152" s="64" t="n"/>
      <c r="N152" s="64" t="n"/>
      <c r="O152" s="64" t="n"/>
      <c r="P152" s="64" t="n"/>
      <c r="Q152" s="64" t="n"/>
      <c r="R152" s="64" t="n"/>
      <c r="AO152" s="78" t="n"/>
      <c r="BB152" s="74">
        <f>#REF!+#REF!</f>
        <v/>
      </c>
      <c r="BM152" s="75" t="inlineStr">
        <is>
          <t>x</t>
        </is>
      </c>
      <c r="BN152" s="75" t="inlineStr">
        <is>
          <t>x</t>
        </is>
      </c>
    </row>
    <row r="153">
      <c r="A153" s="64" t="n">
        <v>152</v>
      </c>
      <c r="B153" s="64" t="inlineStr">
        <is>
          <t>L-1800-164033521</t>
        </is>
      </c>
      <c r="C153" s="64" t="n">
        <v>997496797</v>
      </c>
      <c r="D153" s="66" t="inlineStr">
        <is>
          <t>https://portal.dnb.de/opac.htm?method=simpleSearch&amp;cqlMode=true&amp;query=idn%3D997496797</t>
        </is>
      </c>
      <c r="E153" s="64" t="inlineStr">
        <is>
          <t>Cb 55</t>
        </is>
      </c>
      <c r="F153" s="64" t="n"/>
      <c r="G153" s="111" t="n"/>
      <c r="H153" s="108" t="n"/>
      <c r="I153" s="111" t="n"/>
      <c r="J153" s="111" t="n"/>
      <c r="K153" s="64" t="n"/>
      <c r="L153" s="64" t="n"/>
      <c r="M153" s="64" t="n"/>
      <c r="N153" s="64" t="n"/>
      <c r="O153" s="64" t="n"/>
      <c r="P153" s="64" t="n"/>
      <c r="Q153" s="64" t="n"/>
      <c r="R153" s="64" t="n"/>
      <c r="AO153" s="78" t="n"/>
      <c r="BB153" s="74">
        <f>#REF!+#REF!</f>
        <v/>
      </c>
      <c r="BN153" s="75" t="inlineStr">
        <is>
          <t>x</t>
        </is>
      </c>
    </row>
    <row r="154">
      <c r="A154" s="64" t="n">
        <v>153</v>
      </c>
      <c r="B154" s="64" t="inlineStr">
        <is>
          <t>L-1800-164033556</t>
        </is>
      </c>
      <c r="C154" s="64" t="n">
        <v>997496827</v>
      </c>
      <c r="D154" s="66" t="inlineStr">
        <is>
          <t>https://portal.dnb.de/opac.htm?method=simpleSearch&amp;cqlMode=true&amp;query=idn%3D997496827</t>
        </is>
      </c>
      <c r="E154" s="64" t="inlineStr">
        <is>
          <t>Cb 55</t>
        </is>
      </c>
      <c r="F154" s="64" t="n"/>
      <c r="G154" s="111" t="n"/>
      <c r="H154" s="108" t="n"/>
      <c r="I154" s="111" t="n"/>
      <c r="J154" s="111" t="n"/>
      <c r="K154" s="64" t="n"/>
      <c r="L154" s="64" t="n"/>
      <c r="M154" s="64" t="n"/>
      <c r="N154" s="64" t="n"/>
      <c r="O154" s="64" t="n"/>
      <c r="P154" s="64" t="n"/>
      <c r="Q154" s="64" t="n"/>
      <c r="R154" s="64" t="n"/>
      <c r="AO154" s="78" t="n"/>
      <c r="BB154" s="74">
        <f>#REF!+#REF!</f>
        <v/>
      </c>
      <c r="BN154" s="75" t="inlineStr">
        <is>
          <t>x</t>
        </is>
      </c>
    </row>
    <row r="155">
      <c r="A155" s="64" t="n">
        <v>154</v>
      </c>
      <c r="B155" s="64" t="inlineStr">
        <is>
          <t>L-1820-163500304</t>
        </is>
      </c>
      <c r="C155" s="64" t="n">
        <v>997213175</v>
      </c>
      <c r="D155" s="66" t="inlineStr">
        <is>
          <t>https://portal.dnb.de/opac.htm?method=simpleSearch&amp;cqlMode=true&amp;query=idn%3D997213175</t>
        </is>
      </c>
      <c r="E155" s="64" t="inlineStr">
        <is>
          <t>Cb 110</t>
        </is>
      </c>
      <c r="F155" s="64" t="n"/>
      <c r="G155" s="111" t="n"/>
      <c r="H155" s="108" t="n"/>
      <c r="I155" s="111" t="n"/>
      <c r="J155" s="111" t="n"/>
      <c r="K155" s="64" t="n"/>
      <c r="L155" s="64" t="n"/>
      <c r="M155" s="64" t="n"/>
      <c r="N155" s="64" t="n"/>
      <c r="O155" s="64" t="n"/>
      <c r="P155" s="64" t="n"/>
      <c r="Q155" s="64" t="n"/>
      <c r="R155" s="64" t="n"/>
      <c r="AO155" s="78" t="n"/>
      <c r="BB155" s="74">
        <f>#REF!+#REF!</f>
        <v/>
      </c>
      <c r="BM155" s="75" t="inlineStr">
        <is>
          <t>x</t>
        </is>
      </c>
      <c r="BN155" s="75" t="inlineStr">
        <is>
          <t>x</t>
        </is>
      </c>
    </row>
    <row r="156">
      <c r="A156" s="64" t="n">
        <v>155</v>
      </c>
      <c r="B156" s="64" t="inlineStr">
        <is>
          <t>L-1829-170515710</t>
        </is>
      </c>
      <c r="C156" s="64" t="n">
        <v>1000363562</v>
      </c>
      <c r="D156" s="66" t="inlineStr">
        <is>
          <t>https://portal.dnb.de/opac.htm?method=simpleSearch&amp;cqlMode=true&amp;query=idn%3D1000363562</t>
        </is>
      </c>
      <c r="E156" s="64" t="inlineStr">
        <is>
          <t>Cb 116</t>
        </is>
      </c>
      <c r="F156" s="64" t="n"/>
      <c r="G156" s="111" t="n"/>
      <c r="H156" s="108" t="n"/>
      <c r="I156" s="111" t="n"/>
      <c r="J156" s="111" t="n"/>
      <c r="K156" s="64" t="n"/>
      <c r="L156" s="64" t="n"/>
      <c r="M156" s="64" t="n"/>
      <c r="N156" s="64" t="n"/>
      <c r="O156" s="64" t="n"/>
      <c r="P156" s="64" t="n"/>
      <c r="Q156" s="64" t="n"/>
      <c r="R156" s="64" t="n"/>
      <c r="AO156" s="78" t="n"/>
      <c r="BB156" s="74">
        <f>#REF!+#REF!</f>
        <v/>
      </c>
      <c r="BM156" s="75" t="inlineStr">
        <is>
          <t>x</t>
        </is>
      </c>
      <c r="BN156" s="75" t="inlineStr">
        <is>
          <t>x</t>
        </is>
      </c>
    </row>
    <row r="157">
      <c r="A157" s="64" t="n">
        <v>156</v>
      </c>
      <c r="B157" s="64" t="inlineStr">
        <is>
          <t>L-1788-165136294</t>
        </is>
      </c>
      <c r="C157" s="64" t="n">
        <v>997870451</v>
      </c>
      <c r="D157" s="66" t="inlineStr">
        <is>
          <t>https://portal.dnb.de/opac.htm?method=simpleSearch&amp;cqlMode=true&amp;query=idn%3D997870451</t>
        </is>
      </c>
      <c r="E157" s="64" t="inlineStr">
        <is>
          <t>Cb 127</t>
        </is>
      </c>
      <c r="F157" s="64" t="n"/>
      <c r="G157" s="111" t="n"/>
      <c r="H157" s="108" t="n"/>
      <c r="I157" s="111" t="n"/>
      <c r="J157" s="111" t="n"/>
      <c r="K157" s="64" t="n"/>
      <c r="L157" s="64" t="n"/>
      <c r="M157" s="64" t="n"/>
      <c r="N157" s="64" t="n"/>
      <c r="O157" s="64" t="n"/>
      <c r="P157" s="64" t="n"/>
      <c r="Q157" s="64" t="n"/>
      <c r="R157" s="64" t="n"/>
      <c r="AO157" s="78" t="n"/>
      <c r="BB157" s="74">
        <f>#REF!+#REF!</f>
        <v/>
      </c>
      <c r="BM157" s="75" t="inlineStr">
        <is>
          <t>x</t>
        </is>
      </c>
      <c r="BN157" s="75" t="inlineStr">
        <is>
          <t>x</t>
        </is>
      </c>
    </row>
    <row r="158">
      <c r="A158" s="64" t="n">
        <v>157</v>
      </c>
      <c r="B158" s="64" t="inlineStr">
        <is>
          <t>L-1776-157763420</t>
        </is>
      </c>
      <c r="C158" s="64" t="n">
        <v>994739397</v>
      </c>
      <c r="D158" s="66" t="inlineStr">
        <is>
          <t>https://portal.dnb.de/opac.htm?method=simpleSearch&amp;cqlMode=true&amp;query=idn%3D994739397</t>
        </is>
      </c>
      <c r="E158" s="64" t="inlineStr">
        <is>
          <t>Cb 154</t>
        </is>
      </c>
      <c r="F158" s="64" t="n"/>
      <c r="G158" s="111" t="n"/>
      <c r="H158" s="108" t="n"/>
      <c r="I158" s="111" t="n"/>
      <c r="J158" s="111" t="n"/>
      <c r="K158" s="64" t="n"/>
      <c r="L158" s="64" t="n"/>
      <c r="M158" s="64" t="n"/>
      <c r="N158" s="64" t="n"/>
      <c r="O158" s="64" t="n"/>
      <c r="P158" s="64" t="n"/>
      <c r="Q158" s="64" t="n"/>
      <c r="R158" s="64" t="n"/>
      <c r="AO158" s="78" t="n"/>
      <c r="BB158" s="74">
        <f>#REF!+#REF!</f>
        <v/>
      </c>
      <c r="BM158" s="75" t="inlineStr">
        <is>
          <t>x</t>
        </is>
      </c>
      <c r="BN158" s="75" t="inlineStr">
        <is>
          <t>x</t>
        </is>
      </c>
    </row>
    <row r="159">
      <c r="A159" s="64" t="n">
        <v>158</v>
      </c>
      <c r="B159" s="64" t="inlineStr">
        <is>
          <t>L-1741-176001662</t>
        </is>
      </c>
      <c r="C159" s="64" t="n">
        <v>1002008700</v>
      </c>
      <c r="D159" s="66" t="inlineStr">
        <is>
          <t>https://portal.dnb.de/opac.htm?method=simpleSearch&amp;cqlMode=true&amp;query=idn%3D1002008700</t>
        </is>
      </c>
      <c r="E159" s="64" t="inlineStr">
        <is>
          <t>Cb 175</t>
        </is>
      </c>
      <c r="F159" s="64" t="n"/>
      <c r="G159" s="111" t="n"/>
      <c r="H159" s="108" t="n"/>
      <c r="I159" s="111" t="n"/>
      <c r="J159" s="111" t="n"/>
      <c r="K159" s="64" t="n"/>
      <c r="L159" s="64" t="n"/>
      <c r="M159" s="64" t="n"/>
      <c r="N159" s="64" t="n"/>
      <c r="O159" s="64" t="n"/>
      <c r="P159" s="64" t="n"/>
      <c r="Q159" s="64" t="n"/>
      <c r="R159" s="64" t="n"/>
      <c r="AO159" s="78" t="n"/>
      <c r="BB159" s="74">
        <f>#REF!+#REF!</f>
        <v/>
      </c>
      <c r="BM159" s="75" t="inlineStr">
        <is>
          <t>x</t>
        </is>
      </c>
      <c r="BN159" s="75" t="inlineStr">
        <is>
          <t>x</t>
        </is>
      </c>
    </row>
    <row r="160">
      <c r="A160" s="64" t="n">
        <v>159</v>
      </c>
      <c r="B160" s="64" t="inlineStr">
        <is>
          <t>L-1755-178405019</t>
        </is>
      </c>
      <c r="C160" s="64" t="inlineStr">
        <is>
          <t>100289672X</t>
        </is>
      </c>
      <c r="D160" s="66" t="inlineStr">
        <is>
          <t>https://portal.dnb.de/opac.htm?method=simpleSearch&amp;cqlMode=true&amp;query=idn%3D100289672X</t>
        </is>
      </c>
      <c r="E160" s="64" t="inlineStr">
        <is>
          <t>Cb 209</t>
        </is>
      </c>
      <c r="F160" s="64" t="n"/>
      <c r="G160" s="111" t="n"/>
      <c r="H160" s="108" t="n"/>
      <c r="I160" s="111" t="n"/>
      <c r="J160" s="111" t="n"/>
      <c r="K160" s="64" t="n"/>
      <c r="L160" s="64" t="n"/>
      <c r="M160" s="64" t="n"/>
      <c r="N160" s="64" t="n"/>
      <c r="O160" s="64" t="n"/>
      <c r="P160" s="64" t="n"/>
      <c r="Q160" s="64" t="n"/>
      <c r="R160" s="64" t="n"/>
      <c r="AO160" s="78" t="n"/>
      <c r="BB160" s="74">
        <f>#REF!+#REF!</f>
        <v/>
      </c>
      <c r="BM160" s="75" t="inlineStr">
        <is>
          <t>x</t>
        </is>
      </c>
      <c r="BN160" s="75" t="inlineStr">
        <is>
          <t>x</t>
        </is>
      </c>
    </row>
    <row r="161">
      <c r="A161" s="64" t="n">
        <v>160</v>
      </c>
      <c r="B161" s="64" t="inlineStr">
        <is>
          <t>L-1780-181054469</t>
        </is>
      </c>
      <c r="C161" s="64" t="n">
        <v>1003826709</v>
      </c>
      <c r="D161" s="66" t="inlineStr">
        <is>
          <t>https://portal.dnb.de/opac.htm?method=simpleSearch&amp;cqlMode=true&amp;query=idn%3D1003826709</t>
        </is>
      </c>
      <c r="E161" s="64" t="inlineStr">
        <is>
          <t>Cb 214</t>
        </is>
      </c>
      <c r="F161" s="64" t="n"/>
      <c r="G161" s="111" t="n"/>
      <c r="H161" s="108" t="n"/>
      <c r="I161" s="111" t="n"/>
      <c r="J161" s="111" t="n"/>
      <c r="K161" s="64" t="n"/>
      <c r="L161" s="64" t="n"/>
      <c r="M161" s="64" t="n"/>
      <c r="N161" s="64" t="n"/>
      <c r="O161" s="64" t="n"/>
      <c r="P161" s="64" t="n"/>
      <c r="Q161" s="64" t="n"/>
      <c r="R161" s="64" t="n"/>
      <c r="AO161" s="78" t="n"/>
      <c r="BB161" s="74">
        <f>#REF!+#REF!</f>
        <v/>
      </c>
      <c r="BM161" s="75" t="inlineStr">
        <is>
          <t>x</t>
        </is>
      </c>
      <c r="BN161" s="75" t="inlineStr">
        <is>
          <t>x</t>
        </is>
      </c>
    </row>
    <row r="162">
      <c r="A162" s="64" t="n">
        <v>161</v>
      </c>
      <c r="B162" s="64" t="inlineStr">
        <is>
          <t>L-1746-175756597</t>
        </is>
      </c>
      <c r="C162" s="64" t="n">
        <v>1001873335</v>
      </c>
      <c r="D162" s="66" t="inlineStr">
        <is>
          <t>https://portal.dnb.de/opac.htm?method=simpleSearch&amp;cqlMode=true&amp;query=idn%3D1001873335</t>
        </is>
      </c>
      <c r="E162" s="64" t="inlineStr">
        <is>
          <t>Cb 215</t>
        </is>
      </c>
      <c r="F162" s="64" t="n"/>
      <c r="G162" s="111" t="n"/>
      <c r="H162" s="108" t="n"/>
      <c r="I162" s="111" t="n"/>
      <c r="J162" s="111" t="n"/>
      <c r="K162" s="64" t="n"/>
      <c r="L162" s="64" t="n"/>
      <c r="M162" s="64" t="n"/>
      <c r="N162" s="64" t="n"/>
      <c r="O162" s="64" t="n"/>
      <c r="P162" s="64" t="n"/>
      <c r="Q162" s="64" t="n"/>
      <c r="R162" s="64" t="n"/>
      <c r="AO162" s="78" t="n"/>
      <c r="BB162" s="74">
        <f>#REF!+#REF!</f>
        <v/>
      </c>
      <c r="BM162" s="75" t="inlineStr">
        <is>
          <t>x</t>
        </is>
      </c>
      <c r="BN162" s="75" t="inlineStr">
        <is>
          <t>x</t>
        </is>
      </c>
    </row>
    <row r="163">
      <c r="A163" s="64" t="n">
        <v>162</v>
      </c>
      <c r="B163" s="64" t="inlineStr">
        <is>
          <t>L-9999-162082878</t>
        </is>
      </c>
      <c r="C163" s="64" t="n">
        <v>996390073</v>
      </c>
      <c r="D163" s="66" t="inlineStr">
        <is>
          <t>https://portal.dnb.de/opac.htm?method=simpleSearch&amp;cqlMode=true&amp;query=idn%3D996390073</t>
        </is>
      </c>
      <c r="E163" s="64" t="inlineStr">
        <is>
          <t>Cb 216</t>
        </is>
      </c>
      <c r="F163" s="64" t="n"/>
      <c r="G163" s="111" t="n"/>
      <c r="H163" s="108" t="n"/>
      <c r="I163" s="111" t="n"/>
      <c r="J163" s="111" t="n"/>
      <c r="K163" s="64" t="n"/>
      <c r="L163" s="64" t="n"/>
      <c r="M163" s="64" t="n"/>
      <c r="N163" s="64" t="n"/>
      <c r="O163" s="64" t="n"/>
      <c r="P163" s="64" t="n"/>
      <c r="Q163" s="64" t="n"/>
      <c r="R163" s="64" t="n"/>
      <c r="AO163" s="78" t="n"/>
      <c r="BB163" s="74">
        <f>#REF!+#REF!</f>
        <v/>
      </c>
      <c r="BM163" s="75" t="inlineStr">
        <is>
          <t>x</t>
        </is>
      </c>
      <c r="BN163" s="75" t="inlineStr">
        <is>
          <t>x</t>
        </is>
      </c>
    </row>
    <row r="164">
      <c r="A164" s="64" t="n">
        <v>163</v>
      </c>
      <c r="B164" s="64" t="inlineStr">
        <is>
          <t>L-1824-315053593</t>
        </is>
      </c>
      <c r="C164" s="64" t="n">
        <v>1066665133</v>
      </c>
      <c r="D164" s="66" t="inlineStr">
        <is>
          <t>https://portal.dnb.de/opac.htm?method=simpleSearch&amp;cqlMode=true&amp;query=idn%3D1066665133</t>
        </is>
      </c>
      <c r="E164" s="64" t="inlineStr">
        <is>
          <t>Cb 384</t>
        </is>
      </c>
      <c r="F164" s="64" t="n"/>
      <c r="G164" s="111" t="n"/>
      <c r="H164" s="108" t="n"/>
      <c r="I164" s="111" t="n"/>
      <c r="J164" s="111" t="n"/>
      <c r="K164" s="64" t="n"/>
      <c r="L164" s="64" t="n"/>
      <c r="M164" s="64" t="n"/>
      <c r="N164" s="64" t="n"/>
      <c r="O164" s="64" t="n"/>
      <c r="P164" s="64" t="n"/>
      <c r="Q164" s="64" t="n"/>
      <c r="R164" s="64" t="n"/>
      <c r="AO164" s="78" t="n"/>
      <c r="BB164" s="74">
        <f>#REF!+#REF!</f>
        <v/>
      </c>
      <c r="BM164" s="75" t="inlineStr">
        <is>
          <t>x</t>
        </is>
      </c>
      <c r="BN164" s="75" t="inlineStr">
        <is>
          <t>x</t>
        </is>
      </c>
    </row>
    <row r="165">
      <c r="A165" s="64" t="n">
        <v>164</v>
      </c>
      <c r="B165" s="64" t="inlineStr">
        <is>
          <t>L-1825-315187093</t>
        </is>
      </c>
      <c r="C165" s="64" t="n">
        <v>1066764433</v>
      </c>
      <c r="D165" s="66" t="inlineStr">
        <is>
          <t>https://portal.dnb.de/opac.htm?method=simpleSearch&amp;cqlMode=true&amp;query=idn%3D1066764433</t>
        </is>
      </c>
      <c r="E165" s="64" t="inlineStr">
        <is>
          <t>Cb 398</t>
        </is>
      </c>
      <c r="F165" s="64" t="n"/>
      <c r="G165" s="111" t="n"/>
      <c r="H165" s="108" t="n"/>
      <c r="I165" s="111" t="n"/>
      <c r="J165" s="111" t="n"/>
      <c r="K165" s="64" t="n"/>
      <c r="L165" s="64" t="n"/>
      <c r="M165" s="64" t="n"/>
      <c r="N165" s="64" t="n"/>
      <c r="O165" s="64" t="n"/>
      <c r="P165" s="64" t="n"/>
      <c r="Q165" s="64" t="n"/>
      <c r="R165" s="64" t="n"/>
      <c r="AO165" s="78" t="n"/>
      <c r="BB165" s="74">
        <f>#REF!+#REF!</f>
        <v/>
      </c>
      <c r="BN165" s="75" t="inlineStr">
        <is>
          <t>x</t>
        </is>
      </c>
    </row>
    <row r="166">
      <c r="A166" s="64" t="n">
        <v>165</v>
      </c>
      <c r="B166" s="64" t="inlineStr">
        <is>
          <t>L-2007-324961</t>
        </is>
      </c>
      <c r="C166" s="64" t="n">
        <v>986026689</v>
      </c>
      <c r="D166" s="66" t="inlineStr">
        <is>
          <t>https://portal.dnb.de/opac.htm?method=simpleSearch&amp;cqlMode=true&amp;query=idn%3D986026689</t>
        </is>
      </c>
      <c r="E166" s="64" t="inlineStr">
        <is>
          <t>Cb 498</t>
        </is>
      </c>
      <c r="F166" s="64" t="n"/>
      <c r="G166" s="111" t="n"/>
      <c r="H166" s="108" t="n"/>
      <c r="I166" s="111" t="n"/>
      <c r="J166" s="111" t="n"/>
      <c r="K166" s="64" t="n"/>
      <c r="L166" s="64" t="n"/>
      <c r="M166" s="64" t="n"/>
      <c r="N166" s="64" t="n"/>
      <c r="O166" s="64" t="n"/>
      <c r="P166" s="64" t="n"/>
      <c r="Q166" s="64" t="n"/>
      <c r="R166" s="64" t="n"/>
      <c r="AO166" s="78" t="n"/>
      <c r="BB166" s="74">
        <f>#REF!+#REF!</f>
        <v/>
      </c>
      <c r="BM166" s="75" t="inlineStr">
        <is>
          <t>x</t>
        </is>
      </c>
      <c r="BN166" s="75" t="inlineStr">
        <is>
          <t>x</t>
        </is>
      </c>
    </row>
    <row r="167">
      <c r="A167" s="64" t="n">
        <v>166</v>
      </c>
      <c r="B167" s="64" t="inlineStr">
        <is>
          <t>L-2007-320601</t>
        </is>
      </c>
      <c r="C167" s="64" t="n">
        <v>986026581</v>
      </c>
      <c r="D167" s="66" t="inlineStr">
        <is>
          <t>https://portal.dnb.de/opac.htm?method=simpleSearch&amp;cqlMode=true&amp;query=idn%3D986026581</t>
        </is>
      </c>
      <c r="E167" s="64" t="inlineStr">
        <is>
          <t>Cb 499</t>
        </is>
      </c>
      <c r="F167" s="64" t="n"/>
      <c r="G167" s="111" t="n"/>
      <c r="H167" s="108" t="inlineStr">
        <is>
          <t>&gt; 42 cm</t>
        </is>
      </c>
      <c r="I167" s="111" t="n"/>
      <c r="J167" s="111" t="n"/>
      <c r="K167" s="64" t="n"/>
      <c r="L167" s="64" t="n"/>
      <c r="M167" s="64" t="n"/>
      <c r="N167" s="64" t="n"/>
      <c r="O167" s="64" t="n"/>
      <c r="P167" s="64" t="n"/>
      <c r="Q167" s="64" t="n"/>
      <c r="R167" s="64" t="n"/>
      <c r="T167" s="78" t="inlineStr">
        <is>
          <t>35x53</t>
        </is>
      </c>
      <c r="X167" s="78" t="inlineStr">
        <is>
          <t>EB</t>
        </is>
      </c>
      <c r="AG167" s="78" t="inlineStr">
        <is>
          <t>Pa</t>
        </is>
      </c>
      <c r="AO167" s="78" t="n"/>
      <c r="AP167" s="78" t="inlineStr">
        <is>
          <t>x</t>
        </is>
      </c>
      <c r="AU167" s="78" t="n">
        <v>180</v>
      </c>
      <c r="BA167" s="80" t="inlineStr">
        <is>
          <t>n</t>
        </is>
      </c>
      <c r="BB167" s="74">
        <f>#REF!+#REF!</f>
        <v/>
      </c>
      <c r="BG167" s="78" t="inlineStr">
        <is>
          <t>x</t>
        </is>
      </c>
      <c r="BM167" s="75" t="inlineStr">
        <is>
          <t>x</t>
        </is>
      </c>
      <c r="BN167" s="75" t="inlineStr">
        <is>
          <t>x</t>
        </is>
      </c>
    </row>
    <row r="168">
      <c r="A168" s="64" t="n">
        <v>167</v>
      </c>
      <c r="B168" s="64" t="inlineStr">
        <is>
          <t>L-2008-303179</t>
        </is>
      </c>
      <c r="C168" s="64" t="n">
        <v>986959332</v>
      </c>
      <c r="D168" s="66" t="inlineStr">
        <is>
          <t>https://portal.dnb.de/opac.htm?method=simpleSearch&amp;cqlMode=true&amp;query=idn%3D986959332</t>
        </is>
      </c>
      <c r="E168" s="64" t="inlineStr">
        <is>
          <t>Cb 506</t>
        </is>
      </c>
      <c r="F168" s="64" t="n"/>
      <c r="G168" s="111" t="n"/>
      <c r="H168" s="108" t="n"/>
      <c r="I168" s="111" t="n"/>
      <c r="J168" s="111" t="n"/>
      <c r="K168" s="64" t="n"/>
      <c r="L168" s="64" t="n"/>
      <c r="M168" s="64" t="n"/>
      <c r="N168" s="64" t="n"/>
      <c r="O168" s="64" t="n"/>
      <c r="P168" s="64" t="n"/>
      <c r="Q168" s="64" t="n"/>
      <c r="R168" s="64" t="n"/>
      <c r="AO168" s="78" t="n"/>
      <c r="BB168" s="74">
        <f>#REF!+#REF!</f>
        <v/>
      </c>
      <c r="BM168" s="75" t="inlineStr">
        <is>
          <t>x</t>
        </is>
      </c>
      <c r="BN168" s="75" t="inlineStr">
        <is>
          <t>x</t>
        </is>
      </c>
    </row>
    <row r="169">
      <c r="A169" s="64" t="n">
        <v>168</v>
      </c>
      <c r="B169" s="64" t="inlineStr">
        <is>
          <t>L-2008-306765</t>
        </is>
      </c>
      <c r="C169" s="64" t="n">
        <v>988014165</v>
      </c>
      <c r="D169" s="66" t="inlineStr">
        <is>
          <t>https://portal.dnb.de/opac.htm?method=simpleSearch&amp;cqlMode=true&amp;query=idn%3D988014165</t>
        </is>
      </c>
      <c r="E169" s="64" t="inlineStr">
        <is>
          <t>Cb 513</t>
        </is>
      </c>
      <c r="F169" s="64" t="n"/>
      <c r="G169" s="111" t="n"/>
      <c r="H169" s="108" t="n"/>
      <c r="I169" s="111" t="n"/>
      <c r="J169" s="111" t="n"/>
      <c r="K169" s="64" t="n"/>
      <c r="L169" s="64" t="n"/>
      <c r="M169" s="64" t="n"/>
      <c r="N169" s="64" t="n"/>
      <c r="O169" s="64" t="n"/>
      <c r="P169" s="64" t="n"/>
      <c r="Q169" s="64" t="n"/>
      <c r="R169" s="64" t="n"/>
      <c r="AO169" s="78" t="n"/>
      <c r="BB169" s="74">
        <f>#REF!+#REF!</f>
        <v/>
      </c>
      <c r="BN169" s="75" t="inlineStr">
        <is>
          <t>x</t>
        </is>
      </c>
    </row>
    <row r="170">
      <c r="A170" s="64" t="n">
        <v>169</v>
      </c>
      <c r="B170" s="64" t="inlineStr">
        <is>
          <t>L-2010-309937</t>
        </is>
      </c>
      <c r="C170" s="64" t="n">
        <v>1003923283</v>
      </c>
      <c r="D170" s="66" t="inlineStr">
        <is>
          <t>https://portal.dnb.de/opac.htm?method=simpleSearch&amp;cqlMode=true&amp;query=idn%3D1003923283</t>
        </is>
      </c>
      <c r="E170" s="64" t="inlineStr">
        <is>
          <t>Cb 556</t>
        </is>
      </c>
      <c r="F170" s="64" t="n"/>
      <c r="G170" s="111" t="n"/>
      <c r="H170" s="108" t="n"/>
      <c r="I170" s="111" t="n"/>
      <c r="J170" s="111" t="n"/>
      <c r="K170" s="64" t="n"/>
      <c r="L170" s="64" t="n"/>
      <c r="M170" s="64" t="n"/>
      <c r="N170" s="64" t="n"/>
      <c r="O170" s="64" t="n"/>
      <c r="P170" s="64" t="n"/>
      <c r="Q170" s="64" t="n"/>
      <c r="R170" s="64" t="n"/>
      <c r="AO170" s="78" t="n"/>
      <c r="BB170" s="74">
        <f>#REF!+#REF!</f>
        <v/>
      </c>
      <c r="BM170" s="75" t="inlineStr">
        <is>
          <t>x</t>
        </is>
      </c>
      <c r="BN170" s="75" t="inlineStr">
        <is>
          <t>x</t>
        </is>
      </c>
    </row>
    <row r="171">
      <c r="A171" s="64" t="n">
        <v>170</v>
      </c>
      <c r="B171" s="64" t="inlineStr">
        <is>
          <t>L-2011-301613</t>
        </is>
      </c>
      <c r="C171" s="64" t="n">
        <v>1009878972</v>
      </c>
      <c r="D171" s="66" t="inlineStr">
        <is>
          <t>https://portal.dnb.de/opac.htm?method=simpleSearch&amp;cqlMode=true&amp;query=idn%3D1009878972</t>
        </is>
      </c>
      <c r="E171" s="64" t="inlineStr">
        <is>
          <t>Cb 579</t>
        </is>
      </c>
      <c r="F171" s="64" t="n"/>
      <c r="G171" s="111" t="n"/>
      <c r="H171" s="108" t="n"/>
      <c r="I171" s="111" t="n"/>
      <c r="J171" s="111" t="n"/>
      <c r="K171" s="64" t="n"/>
      <c r="L171" s="64" t="n"/>
      <c r="M171" s="64" t="n"/>
      <c r="N171" s="64" t="n"/>
      <c r="O171" s="64" t="n"/>
      <c r="P171" s="64" t="n"/>
      <c r="Q171" s="64" t="n"/>
      <c r="R171" s="64" t="n"/>
      <c r="AO171" s="78" t="n"/>
      <c r="BB171" s="74">
        <f>#REF!+#REF!</f>
        <v/>
      </c>
      <c r="BM171" s="75" t="inlineStr">
        <is>
          <t>x</t>
        </is>
      </c>
      <c r="BN171" s="75" t="inlineStr">
        <is>
          <t>x</t>
        </is>
      </c>
    </row>
    <row r="172">
      <c r="A172" s="64" t="n">
        <v>171</v>
      </c>
      <c r="B172" s="64" t="inlineStr">
        <is>
          <t>L-2011-324366</t>
        </is>
      </c>
      <c r="C172" s="64" t="n">
        <v>1017059594</v>
      </c>
      <c r="D172" s="66" t="inlineStr">
        <is>
          <t>https://portal.dnb.de/opac.htm?method=simpleSearch&amp;cqlMode=true&amp;query=idn%3D1017059594</t>
        </is>
      </c>
      <c r="E172" s="64" t="inlineStr">
        <is>
          <t>Cb 591</t>
        </is>
      </c>
      <c r="F172" s="64" t="n"/>
      <c r="G172" s="111" t="n"/>
      <c r="H172" s="108" t="n"/>
      <c r="I172" s="111" t="n"/>
      <c r="J172" s="111" t="n"/>
      <c r="K172" s="64" t="n"/>
      <c r="L172" s="64" t="n"/>
      <c r="M172" s="64" t="n"/>
      <c r="N172" s="64" t="n"/>
      <c r="O172" s="64" t="n"/>
      <c r="P172" s="64" t="n"/>
      <c r="Q172" s="64" t="n"/>
      <c r="R172" s="64" t="n"/>
      <c r="AO172" s="78" t="n"/>
      <c r="BB172" s="74">
        <f>#REF!+#REF!</f>
        <v/>
      </c>
      <c r="BM172" s="75" t="inlineStr">
        <is>
          <t>x</t>
        </is>
      </c>
      <c r="BN172" s="75" t="inlineStr">
        <is>
          <t>x</t>
        </is>
      </c>
    </row>
    <row r="173">
      <c r="A173" s="64" t="n">
        <v>172</v>
      </c>
      <c r="B173" s="64" t="inlineStr">
        <is>
          <t>L-2011-325542</t>
        </is>
      </c>
      <c r="C173" s="64" t="n">
        <v>1017209332</v>
      </c>
      <c r="D173" s="66" t="inlineStr">
        <is>
          <t>https://portal.dnb.de/opac.htm?method=simpleSearch&amp;cqlMode=true&amp;query=idn%3D1017209332</t>
        </is>
      </c>
      <c r="E173" s="64" t="inlineStr">
        <is>
          <t>Cb 592</t>
        </is>
      </c>
      <c r="F173" s="64" t="n"/>
      <c r="G173" s="111" t="n"/>
      <c r="H173" s="108" t="n"/>
      <c r="I173" s="111" t="n"/>
      <c r="J173" s="111" t="n"/>
      <c r="K173" s="64" t="n"/>
      <c r="L173" s="64" t="n"/>
      <c r="M173" s="64" t="n"/>
      <c r="N173" s="64" t="n"/>
      <c r="O173" s="64" t="n"/>
      <c r="P173" s="64" t="n"/>
      <c r="Q173" s="64" t="n"/>
      <c r="R173" s="64" t="n"/>
      <c r="AO173" s="78" t="n"/>
      <c r="BB173" s="74">
        <f>#REF!+#REF!</f>
        <v/>
      </c>
      <c r="BM173" s="75" t="inlineStr">
        <is>
          <t>x</t>
        </is>
      </c>
      <c r="BN173" s="75" t="inlineStr">
        <is>
          <t>x</t>
        </is>
      </c>
    </row>
    <row r="174">
      <c r="A174" s="64" t="n">
        <v>173</v>
      </c>
      <c r="B174" s="64" t="inlineStr">
        <is>
          <t>L-2011-325541</t>
        </is>
      </c>
      <c r="C174" s="64" t="n">
        <v>1017104387</v>
      </c>
      <c r="D174" s="66" t="inlineStr">
        <is>
          <t>https://portal.dnb.de/opac.htm?method=simpleSearch&amp;cqlMode=true&amp;query=idn%3D1017104387</t>
        </is>
      </c>
      <c r="E174" s="64" t="inlineStr">
        <is>
          <t>Cb 593</t>
        </is>
      </c>
      <c r="F174" s="64" t="n"/>
      <c r="G174" s="111" t="n"/>
      <c r="H174" s="108" t="inlineStr">
        <is>
          <t>bis 25 cm</t>
        </is>
      </c>
      <c r="I174" s="111" t="n"/>
      <c r="J174" s="111" t="n"/>
      <c r="K174" s="64" t="n"/>
      <c r="L174" s="64" t="n"/>
      <c r="M174" s="64" t="n"/>
      <c r="N174" s="64" t="n"/>
      <c r="O174" s="64" t="n"/>
      <c r="P174" s="64" t="n"/>
      <c r="Q174" s="64" t="n"/>
      <c r="R174" s="64" t="n"/>
      <c r="X174" s="78" t="inlineStr">
        <is>
          <t>L</t>
        </is>
      </c>
      <c r="AA174" s="78" t="inlineStr">
        <is>
          <t>f/V</t>
        </is>
      </c>
      <c r="AG174" s="78" t="inlineStr">
        <is>
          <t>Pa</t>
        </is>
      </c>
      <c r="AN174" s="78" t="inlineStr">
        <is>
          <t>x</t>
        </is>
      </c>
      <c r="AO174" s="78" t="n"/>
      <c r="AQ174" s="78" t="inlineStr">
        <is>
          <t>K</t>
        </is>
      </c>
      <c r="AR174" s="78" t="inlineStr">
        <is>
          <t>x</t>
        </is>
      </c>
      <c r="AU174" s="78" t="n">
        <v>0</v>
      </c>
      <c r="BA174" s="80" t="inlineStr">
        <is>
          <t>n</t>
        </is>
      </c>
      <c r="BB174" s="74">
        <f>#REF!+#REF!</f>
        <v/>
      </c>
      <c r="BH174" s="78" t="inlineStr">
        <is>
          <t>x sauer</t>
        </is>
      </c>
      <c r="BI174" s="78" t="inlineStr">
        <is>
          <t>x</t>
        </is>
      </c>
      <c r="BM174" s="75" t="inlineStr">
        <is>
          <t>x</t>
        </is>
      </c>
      <c r="BN174" s="75" t="inlineStr">
        <is>
          <t>x</t>
        </is>
      </c>
    </row>
    <row r="175">
      <c r="A175" s="64" t="n">
        <v>174</v>
      </c>
      <c r="B175" s="64" t="inlineStr">
        <is>
          <t>L-2012-303486</t>
        </is>
      </c>
      <c r="C175" s="64" t="n">
        <v>1020458550</v>
      </c>
      <c r="D175" s="66" t="inlineStr">
        <is>
          <t>https://portal.dnb.de/opac.htm?method=simpleSearch&amp;cqlMode=true&amp;query=idn%3D1020458550</t>
        </is>
      </c>
      <c r="E175" s="64" t="inlineStr">
        <is>
          <t>Cb 618</t>
        </is>
      </c>
      <c r="F175" s="64" t="n"/>
      <c r="G175" s="111" t="n"/>
      <c r="H175" s="108" t="n"/>
      <c r="I175" s="111" t="n"/>
      <c r="J175" s="111" t="n"/>
      <c r="K175" s="64" t="n"/>
      <c r="L175" s="64" t="n"/>
      <c r="M175" s="64" t="n"/>
      <c r="N175" s="64" t="n"/>
      <c r="O175" s="64" t="n"/>
      <c r="P175" s="64" t="n"/>
      <c r="Q175" s="64" t="n"/>
      <c r="R175" s="64" t="n"/>
      <c r="AO175" s="78" t="n"/>
      <c r="BB175" s="74">
        <f>#REF!+#REF!</f>
        <v/>
      </c>
      <c r="BN175" s="75" t="inlineStr">
        <is>
          <t>x</t>
        </is>
      </c>
    </row>
    <row r="176">
      <c r="A176" s="64" t="n">
        <v>175</v>
      </c>
      <c r="B176" s="64" t="inlineStr">
        <is>
          <t>L-2013-312824</t>
        </is>
      </c>
      <c r="C176" s="64" t="n">
        <v>1034751123</v>
      </c>
      <c r="D176" s="66" t="inlineStr">
        <is>
          <t>https://portal.dnb.de/opac.htm?method=simpleSearch&amp;cqlMode=true&amp;query=idn%3D1034751123</t>
        </is>
      </c>
      <c r="E176" s="64" t="inlineStr">
        <is>
          <t>Cb 642</t>
        </is>
      </c>
      <c r="F176" s="64" t="n"/>
      <c r="G176" s="111" t="n"/>
      <c r="H176" s="108" t="n"/>
      <c r="I176" s="111" t="n"/>
      <c r="J176" s="111" t="n"/>
      <c r="K176" s="64" t="n"/>
      <c r="L176" s="64" t="n"/>
      <c r="M176" s="64" t="n"/>
      <c r="N176" s="64" t="n"/>
      <c r="O176" s="64" t="n"/>
      <c r="P176" s="64" t="n"/>
      <c r="Q176" s="64" t="n"/>
      <c r="R176" s="64" t="n"/>
      <c r="AO176" s="78" t="n"/>
      <c r="BB176" s="74">
        <f>#REF!+#REF!</f>
        <v/>
      </c>
      <c r="BN176" s="75" t="inlineStr">
        <is>
          <t>x</t>
        </is>
      </c>
    </row>
    <row r="177">
      <c r="A177" s="64" t="n">
        <v>176</v>
      </c>
      <c r="B177" s="64" t="inlineStr">
        <is>
          <t>L-2013-312885</t>
        </is>
      </c>
      <c r="C177" s="64" t="n">
        <v>1035713691</v>
      </c>
      <c r="D177" s="66" t="inlineStr">
        <is>
          <t>https://portal.dnb.de/opac.htm?method=simpleSearch&amp;cqlMode=true&amp;query=idn%3D1035713691</t>
        </is>
      </c>
      <c r="E177" s="64" t="inlineStr">
        <is>
          <t>Cb 643</t>
        </is>
      </c>
      <c r="F177" s="64" t="n"/>
      <c r="G177" s="111" t="n"/>
      <c r="H177" s="108" t="n"/>
      <c r="I177" s="111" t="n"/>
      <c r="J177" s="111" t="n"/>
      <c r="K177" s="64" t="n"/>
      <c r="L177" s="64" t="n"/>
      <c r="M177" s="64" t="n"/>
      <c r="N177" s="64" t="n"/>
      <c r="O177" s="64" t="n"/>
      <c r="P177" s="64" t="n"/>
      <c r="Q177" s="64" t="n"/>
      <c r="R177" s="64" t="n"/>
      <c r="AO177" s="78" t="n"/>
      <c r="BB177" s="74">
        <f>#REF!+#REF!</f>
        <v/>
      </c>
      <c r="BM177" s="75" t="inlineStr">
        <is>
          <t>x</t>
        </is>
      </c>
      <c r="BN177" s="75" t="inlineStr">
        <is>
          <t>x</t>
        </is>
      </c>
    </row>
    <row r="178">
      <c r="A178" s="64" t="n">
        <v>177</v>
      </c>
      <c r="B178" s="64" t="inlineStr">
        <is>
          <t>L-2013-318322</t>
        </is>
      </c>
      <c r="C178" s="64" t="n">
        <v>1037333772</v>
      </c>
      <c r="D178" s="66" t="inlineStr">
        <is>
          <t>https://portal.dnb.de/opac.htm?method=simpleSearch&amp;cqlMode=true&amp;query=idn%3D1037333772</t>
        </is>
      </c>
      <c r="E178" s="64" t="inlineStr">
        <is>
          <t>Cb 645</t>
        </is>
      </c>
      <c r="F178" s="64" t="n"/>
      <c r="G178" s="111" t="n"/>
      <c r="H178" s="108" t="n"/>
      <c r="I178" s="111" t="n"/>
      <c r="J178" s="111" t="n"/>
      <c r="K178" s="64" t="n"/>
      <c r="L178" s="64" t="n"/>
      <c r="M178" s="64" t="n"/>
      <c r="N178" s="64" t="n"/>
      <c r="O178" s="64" t="n"/>
      <c r="P178" s="64" t="n"/>
      <c r="Q178" s="64" t="n"/>
      <c r="R178" s="64" t="n"/>
      <c r="AO178" s="78" t="n"/>
      <c r="BB178" s="74">
        <f>#REF!+#REF!</f>
        <v/>
      </c>
      <c r="BM178" s="75" t="inlineStr">
        <is>
          <t>x</t>
        </is>
      </c>
      <c r="BN178" s="75" t="inlineStr">
        <is>
          <t>x</t>
        </is>
      </c>
    </row>
    <row r="179">
      <c r="A179" s="64" t="n">
        <v>178</v>
      </c>
      <c r="B179" s="64" t="inlineStr">
        <is>
          <t>L-2013-328326</t>
        </is>
      </c>
      <c r="C179" s="64" t="n">
        <v>1044098473</v>
      </c>
      <c r="D179" s="66" t="inlineStr">
        <is>
          <t>https://portal.dnb.de/opac.htm?method=simpleSearch&amp;cqlMode=true&amp;query=idn%3D1044098473</t>
        </is>
      </c>
      <c r="E179" s="64" t="inlineStr">
        <is>
          <t>Cb 651</t>
        </is>
      </c>
      <c r="F179" s="64" t="n"/>
      <c r="G179" s="111" t="n"/>
      <c r="H179" s="108" t="inlineStr">
        <is>
          <t>bis 25 cm</t>
        </is>
      </c>
      <c r="I179" s="111" t="n"/>
      <c r="J179" s="111" t="n"/>
      <c r="K179" s="64" t="n"/>
      <c r="L179" s="64" t="n"/>
      <c r="M179" s="64" t="n"/>
      <c r="N179" s="64" t="n"/>
      <c r="O179" s="64" t="n"/>
      <c r="P179" s="64" t="n"/>
      <c r="Q179" s="64" t="n"/>
      <c r="R179" s="64" t="n"/>
      <c r="U179" s="78" t="inlineStr">
        <is>
          <t>QF (21x32)</t>
        </is>
      </c>
      <c r="X179" s="78" t="inlineStr">
        <is>
          <t>Br</t>
        </is>
      </c>
      <c r="AA179" s="78" t="inlineStr">
        <is>
          <t>h</t>
        </is>
      </c>
      <c r="AG179" s="78" t="inlineStr">
        <is>
          <t>Pa</t>
        </is>
      </c>
      <c r="AJ179" s="78" t="inlineStr">
        <is>
          <t>x</t>
        </is>
      </c>
      <c r="AO179" s="78" t="n"/>
      <c r="AP179" s="78" t="inlineStr">
        <is>
          <t>x</t>
        </is>
      </c>
      <c r="AU179" s="78" t="inlineStr">
        <is>
          <t>nur 110</t>
        </is>
      </c>
      <c r="BA179" s="80" t="inlineStr">
        <is>
          <t>ja vor</t>
        </is>
      </c>
      <c r="BB179" s="74">
        <f>#REF!+#REF!</f>
        <v/>
      </c>
      <c r="BG179" s="78" t="inlineStr">
        <is>
          <t>x</t>
        </is>
      </c>
      <c r="BM179" s="75" t="inlineStr">
        <is>
          <t>x</t>
        </is>
      </c>
      <c r="BN179" s="75" t="inlineStr">
        <is>
          <t>x</t>
        </is>
      </c>
    </row>
    <row r="180">
      <c r="A180" s="64" t="n">
        <v>179</v>
      </c>
      <c r="B180" s="64" t="inlineStr">
        <is>
          <t>L-1722-280645058</t>
        </is>
      </c>
      <c r="C180" s="64" t="n">
        <v>1046196235</v>
      </c>
      <c r="D180" s="66" t="inlineStr">
        <is>
          <t>https://portal.dnb.de/opac.htm?method=simpleSearch&amp;cqlMode=true&amp;query=idn%3D1046196235</t>
        </is>
      </c>
      <c r="E180" s="64" t="inlineStr">
        <is>
          <t>Cb 652</t>
        </is>
      </c>
      <c r="F180" s="64" t="n"/>
      <c r="G180" s="111" t="n"/>
      <c r="H180" s="108" t="n"/>
      <c r="I180" s="111" t="n"/>
      <c r="J180" s="111" t="n"/>
      <c r="K180" s="64" t="n"/>
      <c r="L180" s="64" t="n"/>
      <c r="M180" s="64" t="n"/>
      <c r="N180" s="64" t="n"/>
      <c r="O180" s="64" t="n"/>
      <c r="P180" s="64" t="n"/>
      <c r="Q180" s="64" t="n"/>
      <c r="R180" s="64" t="n"/>
      <c r="AO180" s="78" t="n"/>
      <c r="BB180" s="74">
        <f>#REF!+#REF!</f>
        <v/>
      </c>
      <c r="BM180" s="75" t="inlineStr">
        <is>
          <t>x</t>
        </is>
      </c>
      <c r="BN180" s="75" t="inlineStr">
        <is>
          <t>x</t>
        </is>
      </c>
    </row>
    <row r="181">
      <c r="A181" s="64" t="n">
        <v>180</v>
      </c>
      <c r="B181" s="64" t="inlineStr">
        <is>
          <t>L-2013-328325</t>
        </is>
      </c>
      <c r="C181" s="64" t="n">
        <v>1044098953</v>
      </c>
      <c r="D181" s="66" t="inlineStr">
        <is>
          <t>https://portal.dnb.de/opac.htm?method=simpleSearch&amp;cqlMode=true&amp;query=idn%3D1044098953</t>
        </is>
      </c>
      <c r="E181" s="64" t="inlineStr">
        <is>
          <t>Cb 652</t>
        </is>
      </c>
      <c r="F181" s="64" t="n"/>
      <c r="G181" s="111" t="n"/>
      <c r="H181" s="108" t="n"/>
      <c r="I181" s="111" t="n"/>
      <c r="J181" s="111" t="n"/>
      <c r="K181" s="64" t="n"/>
      <c r="L181" s="64" t="n"/>
      <c r="M181" s="64" t="n"/>
      <c r="N181" s="64" t="n"/>
      <c r="O181" s="64" t="n"/>
      <c r="P181" s="64" t="n"/>
      <c r="Q181" s="64" t="n"/>
      <c r="R181" s="64" t="n"/>
      <c r="AO181" s="78" t="n"/>
      <c r="BB181" s="74">
        <f>#REF!+#REF!</f>
        <v/>
      </c>
      <c r="BM181" s="75" t="inlineStr">
        <is>
          <t>x</t>
        </is>
      </c>
      <c r="BN181" s="75" t="inlineStr">
        <is>
          <t>x</t>
        </is>
      </c>
    </row>
    <row r="182">
      <c r="A182" s="64" t="n">
        <v>181</v>
      </c>
      <c r="B182" s="64" t="inlineStr">
        <is>
          <t>L-2014-311325</t>
        </is>
      </c>
      <c r="C182" s="64" t="n">
        <v>1050054741</v>
      </c>
      <c r="D182" s="66" t="inlineStr">
        <is>
          <t>https://portal.dnb.de/opac.htm?method=simpleSearch&amp;cqlMode=true&amp;query=idn%3D1050054741</t>
        </is>
      </c>
      <c r="E182" s="64" t="inlineStr">
        <is>
          <t>Cb 661</t>
        </is>
      </c>
      <c r="F182" s="64" t="n"/>
      <c r="G182" s="111" t="n"/>
      <c r="H182" s="108" t="n"/>
      <c r="I182" s="111" t="n"/>
      <c r="J182" s="111" t="n"/>
      <c r="K182" s="64" t="n"/>
      <c r="L182" s="64" t="n"/>
      <c r="M182" s="64" t="n"/>
      <c r="N182" s="64" t="n"/>
      <c r="O182" s="64" t="n"/>
      <c r="P182" s="64" t="n"/>
      <c r="Q182" s="64" t="n"/>
      <c r="R182" s="64" t="n"/>
      <c r="AO182" s="78" t="n"/>
      <c r="BB182" s="74">
        <f>#REF!+#REF!</f>
        <v/>
      </c>
      <c r="BM182" s="75" t="inlineStr">
        <is>
          <t>x</t>
        </is>
      </c>
      <c r="BN182" s="75" t="inlineStr">
        <is>
          <t>x</t>
        </is>
      </c>
    </row>
    <row r="183">
      <c r="A183" s="64" t="n">
        <v>182</v>
      </c>
      <c r="B183" s="64" t="inlineStr">
        <is>
          <t>L-2014-311364</t>
        </is>
      </c>
      <c r="C183" s="64" t="n">
        <v>1050418271</v>
      </c>
      <c r="D183" s="66" t="inlineStr">
        <is>
          <t>https://portal.dnb.de/opac.htm?method=simpleSearch&amp;cqlMode=true&amp;query=idn%3D1050418271</t>
        </is>
      </c>
      <c r="E183" s="64" t="inlineStr">
        <is>
          <t>Cb 662</t>
        </is>
      </c>
      <c r="F183" s="64" t="n"/>
      <c r="G183" s="111" t="n"/>
      <c r="H183" s="108" t="inlineStr">
        <is>
          <t>bis 42 cm</t>
        </is>
      </c>
      <c r="I183" s="111" t="n"/>
      <c r="J183" s="111" t="n"/>
      <c r="K183" s="64" t="n"/>
      <c r="L183" s="64" t="n"/>
      <c r="M183" s="64" t="n"/>
      <c r="N183" s="64" t="n"/>
      <c r="O183" s="64" t="n"/>
      <c r="P183" s="64" t="n"/>
      <c r="Q183" s="64" t="n"/>
      <c r="R183" s="64" t="n"/>
      <c r="U183" s="78" t="inlineStr">
        <is>
          <t>QF (53x36)</t>
        </is>
      </c>
      <c r="X183" s="78" t="inlineStr">
        <is>
          <t>HL</t>
        </is>
      </c>
      <c r="AA183" s="78" t="inlineStr">
        <is>
          <t>h/E</t>
        </is>
      </c>
      <c r="AG183" s="78" t="inlineStr">
        <is>
          <t>Pa</t>
        </is>
      </c>
      <c r="AO183" s="78" t="n"/>
      <c r="AP183" s="78" t="inlineStr">
        <is>
          <t>x</t>
        </is>
      </c>
      <c r="AU183" s="78" t="n">
        <v>110</v>
      </c>
      <c r="BA183" s="80" t="inlineStr">
        <is>
          <t>ja vor</t>
        </is>
      </c>
      <c r="BB183" s="74">
        <f>#REF!+#REF!</f>
        <v/>
      </c>
      <c r="BG183" s="78" t="inlineStr">
        <is>
          <t>x</t>
        </is>
      </c>
      <c r="BM183" s="75" t="inlineStr">
        <is>
          <t>x</t>
        </is>
      </c>
      <c r="BN183" s="75" t="inlineStr">
        <is>
          <t>x</t>
        </is>
      </c>
    </row>
    <row r="184">
      <c r="A184" s="64" t="n">
        <v>183</v>
      </c>
      <c r="B184" s="64" t="inlineStr">
        <is>
          <t>L-2014-331365</t>
        </is>
      </c>
      <c r="C184" s="64" t="n">
        <v>1060814544</v>
      </c>
      <c r="D184" s="66" t="inlineStr">
        <is>
          <t>https://portal.dnb.de/opac.htm?method=simpleSearch&amp;cqlMode=true&amp;query=idn%3D1060814544</t>
        </is>
      </c>
      <c r="E184" s="64" t="inlineStr">
        <is>
          <t>Cb 674</t>
        </is>
      </c>
      <c r="F184" s="64" t="n"/>
      <c r="G184" s="111" t="n"/>
      <c r="H184" s="108" t="n"/>
      <c r="I184" s="111" t="n"/>
      <c r="J184" s="111" t="n"/>
      <c r="K184" s="64" t="n"/>
      <c r="L184" s="64" t="n"/>
      <c r="M184" s="64" t="n"/>
      <c r="N184" s="64" t="n"/>
      <c r="O184" s="64" t="n"/>
      <c r="P184" s="64" t="n"/>
      <c r="Q184" s="64" t="n"/>
      <c r="R184" s="64" t="n"/>
      <c r="AO184" s="78" t="n"/>
      <c r="BB184" s="74">
        <f>#REF!+#REF!</f>
        <v/>
      </c>
      <c r="BM184" s="75" t="inlineStr">
        <is>
          <t>x</t>
        </is>
      </c>
      <c r="BN184" s="75" t="inlineStr">
        <is>
          <t>x</t>
        </is>
      </c>
    </row>
    <row r="185">
      <c r="A185" s="64" t="n">
        <v>184</v>
      </c>
      <c r="B185" s="64" t="inlineStr">
        <is>
          <t>L-2019-302113</t>
        </is>
      </c>
      <c r="C185" s="64" t="n">
        <v>1179218299</v>
      </c>
      <c r="D185" s="66" t="inlineStr">
        <is>
          <t>https://portal.dnb.de/opac.htm?method=simpleSearch&amp;cqlMode=true&amp;query=idn%3D1179218299</t>
        </is>
      </c>
      <c r="E185" s="64" t="inlineStr">
        <is>
          <t>Cb 724</t>
        </is>
      </c>
      <c r="F185" s="64" t="n"/>
      <c r="G185" s="111" t="n"/>
      <c r="H185" s="108" t="n"/>
      <c r="I185" s="111" t="n"/>
      <c r="J185" s="111" t="n"/>
      <c r="K185" s="64" t="n"/>
      <c r="L185" s="64" t="n"/>
      <c r="M185" s="64" t="n"/>
      <c r="N185" s="64" t="n"/>
      <c r="O185" s="64" t="n"/>
      <c r="P185" s="64" t="n"/>
      <c r="Q185" s="64" t="n"/>
      <c r="R185" s="64" t="n"/>
      <c r="AO185" s="78" t="n"/>
      <c r="BB185" s="74">
        <f>#REF!+#REF!</f>
        <v/>
      </c>
      <c r="BN185" s="75" t="inlineStr">
        <is>
          <t>x</t>
        </is>
      </c>
    </row>
    <row r="186">
      <c r="A186" s="64" t="n">
        <v>185</v>
      </c>
      <c r="B186" s="64" t="inlineStr">
        <is>
          <t>L-2019-302276</t>
        </is>
      </c>
      <c r="C186" s="64" t="n">
        <v>1166065464</v>
      </c>
      <c r="D186" s="66" t="inlineStr">
        <is>
          <t>https://portal.dnb.de/opac.htm?method=simpleSearch&amp;cqlMode=true&amp;query=idn%3D1166065464</t>
        </is>
      </c>
      <c r="E186" s="64" t="inlineStr">
        <is>
          <t>Cb 732</t>
        </is>
      </c>
      <c r="F186" s="64" t="n"/>
      <c r="G186" s="111" t="n"/>
      <c r="H186" s="108" t="n"/>
      <c r="I186" s="111" t="n"/>
      <c r="J186" s="111" t="n"/>
      <c r="K186" s="64" t="n"/>
      <c r="L186" s="64" t="n"/>
      <c r="M186" s="64" t="n"/>
      <c r="N186" s="64" t="n"/>
      <c r="O186" s="64" t="n"/>
      <c r="P186" s="64" t="n"/>
      <c r="Q186" s="64" t="n"/>
      <c r="R186" s="64" t="n"/>
      <c r="AO186" s="78" t="n"/>
      <c r="BB186" s="74">
        <f>#REF!+#REF!</f>
        <v/>
      </c>
      <c r="BM186" s="75" t="inlineStr">
        <is>
          <t>x</t>
        </is>
      </c>
      <c r="BN186" s="75" t="inlineStr">
        <is>
          <t>x</t>
        </is>
      </c>
    </row>
    <row r="187">
      <c r="A187" s="64" t="n">
        <v>186</v>
      </c>
      <c r="B187" s="64" t="inlineStr">
        <is>
          <t>L-2019-302303</t>
        </is>
      </c>
      <c r="C187" s="64" t="n">
        <v>1188896733</v>
      </c>
      <c r="D187" s="66" t="inlineStr">
        <is>
          <t>https://portal.dnb.de/opac.htm?method=simpleSearch&amp;cqlMode=true&amp;query=idn%3D1188896733</t>
        </is>
      </c>
      <c r="E187" s="64" t="inlineStr">
        <is>
          <t>Cb 733</t>
        </is>
      </c>
      <c r="F187" s="64" t="n"/>
      <c r="G187" s="111" t="n"/>
      <c r="H187" s="108" t="n"/>
      <c r="I187" s="111" t="n"/>
      <c r="J187" s="111" t="n"/>
      <c r="K187" s="64" t="n"/>
      <c r="L187" s="64" t="n"/>
      <c r="M187" s="64" t="n"/>
      <c r="N187" s="64" t="n"/>
      <c r="O187" s="64" t="n"/>
      <c r="P187" s="64" t="n"/>
      <c r="Q187" s="64" t="n"/>
      <c r="R187" s="64" t="n"/>
      <c r="AO187" s="78" t="n"/>
      <c r="BB187" s="74">
        <f>#REF!+#REF!</f>
        <v/>
      </c>
      <c r="BM187" s="75" t="inlineStr">
        <is>
          <t>x</t>
        </is>
      </c>
      <c r="BN187" s="75" t="inlineStr">
        <is>
          <t>x</t>
        </is>
      </c>
    </row>
    <row r="188">
      <c r="A188" s="64" t="n">
        <v>187</v>
      </c>
      <c r="B188" s="64" t="inlineStr">
        <is>
          <t>L-2019-323497</t>
        </is>
      </c>
      <c r="C188" s="64" t="n">
        <v>1197557121</v>
      </c>
      <c r="D188" s="66" t="inlineStr">
        <is>
          <t>https://portal.dnb.de/opac.htm?method=simpleSearch&amp;cqlMode=true&amp;query=idn%3D1197557121</t>
        </is>
      </c>
      <c r="E188" s="64" t="inlineStr">
        <is>
          <t>Cb 737</t>
        </is>
      </c>
      <c r="F188" s="64" t="n"/>
      <c r="G188" s="111" t="n"/>
      <c r="H188" s="108" t="n"/>
      <c r="I188" s="111" t="n"/>
      <c r="J188" s="111" t="n"/>
      <c r="K188" s="64" t="n"/>
      <c r="L188" s="64" t="n"/>
      <c r="M188" s="64" t="n"/>
      <c r="N188" s="64" t="n"/>
      <c r="O188" s="64" t="n"/>
      <c r="P188" s="64" t="n"/>
      <c r="Q188" s="64" t="n"/>
      <c r="R188" s="64" t="n"/>
      <c r="AO188" s="78" t="n"/>
      <c r="BB188" s="74">
        <f>#REF!+#REF!</f>
        <v/>
      </c>
      <c r="BM188" s="75" t="inlineStr">
        <is>
          <t>x</t>
        </is>
      </c>
      <c r="BN188" s="75" t="inlineStr">
        <is>
          <t>x</t>
        </is>
      </c>
    </row>
    <row r="189">
      <c r="A189" s="64" t="n">
        <v>188</v>
      </c>
      <c r="B189" s="64" t="inlineStr">
        <is>
          <t>L-2020-302130</t>
        </is>
      </c>
      <c r="C189" s="64" t="n">
        <v>1205028994</v>
      </c>
      <c r="D189" s="66" t="inlineStr">
        <is>
          <t>https://portal.dnb.de/opac.htm?method=simpleSearch&amp;cqlMode=true&amp;query=idn%3D1205028994</t>
        </is>
      </c>
      <c r="E189" s="64" t="inlineStr">
        <is>
          <t>Cb 747</t>
        </is>
      </c>
      <c r="F189" s="64" t="n"/>
      <c r="G189" s="111" t="n"/>
      <c r="H189" s="108" t="n"/>
      <c r="I189" s="111" t="n"/>
      <c r="J189" s="111" t="n"/>
      <c r="K189" s="64" t="n"/>
      <c r="L189" s="64" t="n"/>
      <c r="M189" s="64" t="n"/>
      <c r="N189" s="64" t="n"/>
      <c r="O189" s="64" t="n"/>
      <c r="P189" s="64" t="n"/>
      <c r="Q189" s="64" t="n"/>
      <c r="R189" s="64" t="n"/>
      <c r="AO189" s="78" t="n"/>
      <c r="BB189" s="74">
        <f>#REF!+#REF!</f>
        <v/>
      </c>
      <c r="BM189" s="75" t="inlineStr">
        <is>
          <t>x</t>
        </is>
      </c>
      <c r="BN189" s="75" t="inlineStr">
        <is>
          <t>x</t>
        </is>
      </c>
    </row>
    <row r="190">
      <c r="A190" s="64" t="n">
        <v>189</v>
      </c>
      <c r="B190" s="64" t="inlineStr">
        <is>
          <t>L-2020-302131</t>
        </is>
      </c>
      <c r="C190" s="64" t="n">
        <v>1205034501</v>
      </c>
      <c r="D190" s="66" t="inlineStr">
        <is>
          <t>https://portal.dnb.de/opac.htm?method=simpleSearch&amp;cqlMode=true&amp;query=idn%3D1205034501</t>
        </is>
      </c>
      <c r="E190" s="64" t="inlineStr">
        <is>
          <t>Cb 748</t>
        </is>
      </c>
      <c r="F190" s="64" t="n"/>
      <c r="G190" s="111" t="n"/>
      <c r="H190" s="108" t="n"/>
      <c r="I190" s="111" t="n"/>
      <c r="J190" s="111" t="n"/>
      <c r="K190" s="64" t="n"/>
      <c r="L190" s="64" t="n"/>
      <c r="M190" s="64" t="n"/>
      <c r="N190" s="64" t="n"/>
      <c r="O190" s="64" t="n"/>
      <c r="P190" s="64" t="n"/>
      <c r="Q190" s="64" t="n"/>
      <c r="R190" s="64" t="n"/>
      <c r="AO190" s="78" t="n"/>
      <c r="AV190" s="80" t="n"/>
      <c r="BB190" s="74">
        <f>#REF!+#REF!</f>
        <v/>
      </c>
      <c r="BM190" s="75" t="inlineStr">
        <is>
          <t>x</t>
        </is>
      </c>
      <c r="BN190" s="75" t="inlineStr">
        <is>
          <t>x</t>
        </is>
      </c>
    </row>
    <row r="191">
      <c r="A191" s="64" t="n">
        <v>190</v>
      </c>
      <c r="B191" s="64" t="inlineStr">
        <is>
          <t>L-2020-302132</t>
        </is>
      </c>
      <c r="C191" s="64" t="n">
        <v>1205036865</v>
      </c>
      <c r="D191" s="66" t="inlineStr">
        <is>
          <t>https://portal.dnb.de/opac.htm?method=simpleSearch&amp;cqlMode=true&amp;query=idn%3D1205036865</t>
        </is>
      </c>
      <c r="E191" s="64" t="inlineStr">
        <is>
          <t>Cb 749</t>
        </is>
      </c>
      <c r="F191" s="64" t="n"/>
      <c r="G191" s="111" t="n"/>
      <c r="H191" s="108" t="n"/>
      <c r="I191" s="111" t="n"/>
      <c r="J191" s="111" t="n"/>
      <c r="K191" s="64" t="n"/>
      <c r="L191" s="64" t="n"/>
      <c r="M191" s="64" t="n"/>
      <c r="N191" s="64" t="n"/>
      <c r="O191" s="64" t="n"/>
      <c r="P191" s="64" t="n"/>
      <c r="Q191" s="64" t="n"/>
      <c r="R191" s="64" t="n"/>
      <c r="AO191" s="78" t="n"/>
      <c r="BB191" s="74">
        <f>#REF!+#REF!</f>
        <v/>
      </c>
      <c r="BM191" s="75" t="inlineStr">
        <is>
          <t>x</t>
        </is>
      </c>
      <c r="BN191" s="75" t="inlineStr">
        <is>
          <t>x</t>
        </is>
      </c>
    </row>
    <row r="192">
      <c r="A192" s="64" t="n">
        <v>191</v>
      </c>
      <c r="B192" s="64" t="inlineStr">
        <is>
          <t>L-2020-302189</t>
        </is>
      </c>
      <c r="C192" s="64" t="n">
        <v>1210096447</v>
      </c>
      <c r="D192" s="66" t="inlineStr">
        <is>
          <t>https://portal.dnb.de/opac.htm?method=simpleSearch&amp;cqlMode=true&amp;query=idn%3D1210096447</t>
        </is>
      </c>
      <c r="E192" s="64" t="inlineStr">
        <is>
          <t>Cb 750</t>
        </is>
      </c>
      <c r="F192" s="64" t="n"/>
      <c r="G192" s="111" t="n"/>
      <c r="H192" s="108" t="n"/>
      <c r="I192" s="111" t="n"/>
      <c r="J192" s="111" t="n"/>
      <c r="K192" s="64" t="n"/>
      <c r="L192" s="64" t="n"/>
      <c r="M192" s="64" t="n"/>
      <c r="N192" s="64" t="n"/>
      <c r="O192" s="64" t="n"/>
      <c r="P192" s="64" t="n"/>
      <c r="Q192" s="64" t="n"/>
      <c r="R192" s="64" t="n"/>
      <c r="AO192" s="78" t="n"/>
      <c r="BB192" s="74">
        <f>#REF!+#REF!</f>
        <v/>
      </c>
      <c r="BM192" s="75" t="inlineStr">
        <is>
          <t>x</t>
        </is>
      </c>
      <c r="BN192" s="75" t="inlineStr">
        <is>
          <t>x</t>
        </is>
      </c>
    </row>
    <row r="193">
      <c r="A193" s="64" t="n"/>
      <c r="B193" s="64" t="n"/>
      <c r="C193" s="64" t="n"/>
      <c r="D193" s="66" t="n"/>
      <c r="E193" s="64" t="inlineStr">
        <is>
          <t>Cb 754</t>
        </is>
      </c>
      <c r="F193" s="64" t="n"/>
      <c r="G193" s="111" t="n"/>
      <c r="H193" s="108" t="n"/>
      <c r="I193" s="111" t="n"/>
      <c r="J193" s="111" t="n"/>
      <c r="K193" s="64" t="n"/>
      <c r="L193" s="64" t="n"/>
      <c r="M193" s="64" t="n"/>
      <c r="N193" s="64" t="n"/>
      <c r="O193" s="64" t="n"/>
      <c r="P193" s="64" t="n"/>
      <c r="Q193" s="64" t="n"/>
      <c r="R193" s="64" t="n"/>
      <c r="AO193" s="78" t="n"/>
      <c r="BB193" s="74">
        <f>#REF!+#REF!</f>
        <v/>
      </c>
      <c r="BM193" s="75" t="inlineStr">
        <is>
          <t>x</t>
        </is>
      </c>
      <c r="BN193" s="75" t="inlineStr">
        <is>
          <t>x</t>
        </is>
      </c>
    </row>
    <row r="194">
      <c r="A194" s="64" t="n">
        <v>192</v>
      </c>
      <c r="B194" s="64" t="inlineStr">
        <is>
          <t>L-2010-309938</t>
        </is>
      </c>
      <c r="C194" s="64" t="n">
        <v>994578180</v>
      </c>
      <c r="D194" s="66" t="inlineStr">
        <is>
          <t>https://portal.dnb.de/opac.htm?method=simpleSearch&amp;cqlMode=true&amp;query=idn%3D994578180</t>
        </is>
      </c>
      <c r="E194" s="64" t="inlineStr">
        <is>
          <t>Cb 9a</t>
        </is>
      </c>
      <c r="F194" s="64" t="n"/>
      <c r="G194" s="111" t="n"/>
      <c r="H194" s="109" t="n"/>
      <c r="I194" s="111" t="n"/>
      <c r="J194" s="111" t="n"/>
      <c r="K194" s="64" t="n"/>
      <c r="L194" s="64" t="n"/>
      <c r="M194" s="64" t="n"/>
      <c r="N194" s="64" t="n"/>
      <c r="O194" s="64" t="n"/>
      <c r="P194" s="64" t="n"/>
      <c r="Q194" s="64" t="n"/>
      <c r="R194" s="64" t="n"/>
      <c r="AO194" s="78" t="n"/>
      <c r="BB194" s="74">
        <f>#REF!+#REF!</f>
        <v/>
      </c>
      <c r="BM194" s="75" t="inlineStr">
        <is>
          <t>x</t>
        </is>
      </c>
    </row>
    <row r="195">
      <c r="A195" s="64" t="n">
        <v>193</v>
      </c>
      <c r="B195" s="64" t="inlineStr">
        <is>
          <t>L-1816-165786809</t>
        </is>
      </c>
      <c r="C195" s="64" t="inlineStr">
        <is>
          <t>99831000X</t>
        </is>
      </c>
      <c r="D195" s="66" t="inlineStr">
        <is>
          <t>https://portal.dnb.de/opac.htm?method=simpleSearch&amp;cqlMode=true&amp;query=idn%3D99831000X</t>
        </is>
      </c>
      <c r="E195" s="64" t="inlineStr">
        <is>
          <t>Cb 174</t>
        </is>
      </c>
      <c r="F195" s="64" t="n"/>
      <c r="G195" s="111" t="n"/>
      <c r="H195" s="109" t="n"/>
      <c r="I195" s="111" t="n"/>
      <c r="J195" s="111" t="n"/>
      <c r="K195" s="64" t="n"/>
      <c r="L195" s="64" t="n"/>
      <c r="M195" s="64" t="n"/>
      <c r="N195" s="64" t="n"/>
      <c r="O195" s="64" t="n"/>
      <c r="P195" s="64" t="n"/>
      <c r="Q195" s="64" t="n"/>
      <c r="R195" s="64" t="n"/>
      <c r="AO195" s="78" t="n"/>
      <c r="BB195" s="74">
        <f>#REF!+#REF!</f>
        <v/>
      </c>
      <c r="BM195" s="75" t="inlineStr">
        <is>
          <t>x</t>
        </is>
      </c>
    </row>
    <row r="196">
      <c r="A196" s="64" t="n">
        <v>194</v>
      </c>
      <c r="B196" s="64" t="inlineStr">
        <is>
          <t>L-1592-348638663</t>
        </is>
      </c>
      <c r="C196" s="64" t="n">
        <v>1081735546</v>
      </c>
      <c r="D196" s="66" t="inlineStr">
        <is>
          <t>https://portal.dnb.de/opac.htm?method=simpleSearch&amp;cqlMode=true&amp;query=idn%3D1081735546</t>
        </is>
      </c>
      <c r="E196" s="64" t="inlineStr">
        <is>
          <t>Cb 180</t>
        </is>
      </c>
      <c r="F196" s="64" t="n"/>
      <c r="G196" s="111" t="n"/>
      <c r="H196" s="109" t="n"/>
      <c r="I196" s="111" t="n"/>
      <c r="J196" s="111" t="n"/>
      <c r="K196" s="64" t="n"/>
      <c r="L196" s="64" t="n"/>
      <c r="M196" s="64" t="n"/>
      <c r="N196" s="64" t="n"/>
      <c r="O196" s="64" t="n"/>
      <c r="P196" s="64" t="n"/>
      <c r="Q196" s="64" t="n"/>
      <c r="R196" s="64" t="n"/>
      <c r="AO196" s="78" t="n"/>
      <c r="BB196" s="74">
        <f>#REF!+#REF!</f>
        <v/>
      </c>
      <c r="BM196" s="75" t="inlineStr">
        <is>
          <t>x</t>
        </is>
      </c>
    </row>
    <row r="197">
      <c r="A197" s="64" t="n">
        <v>195</v>
      </c>
      <c r="B197" s="64" t="inlineStr">
        <is>
          <t>L-1773-175758018</t>
        </is>
      </c>
      <c r="C197" s="64" t="n">
        <v>1001874102</v>
      </c>
      <c r="D197" s="66" t="inlineStr">
        <is>
          <t>https://portal.dnb.de/opac.htm?method=simpleSearch&amp;cqlMode=true&amp;query=idn%3D1001874102</t>
        </is>
      </c>
      <c r="E197" s="64" t="inlineStr">
        <is>
          <t>Cb 210</t>
        </is>
      </c>
      <c r="F197" s="64" t="n"/>
      <c r="G197" s="111" t="n"/>
      <c r="H197" s="109" t="n"/>
      <c r="I197" s="111" t="n"/>
      <c r="J197" s="111" t="n"/>
      <c r="K197" s="64" t="n"/>
      <c r="L197" s="64" t="n"/>
      <c r="M197" s="64" t="n"/>
      <c r="N197" s="64" t="n"/>
      <c r="O197" s="64" t="n"/>
      <c r="P197" s="64" t="n"/>
      <c r="Q197" s="64" t="n"/>
      <c r="R197" s="64" t="n"/>
      <c r="AO197" s="78" t="n"/>
      <c r="BB197" s="74">
        <f>#REF!+#REF!</f>
        <v/>
      </c>
      <c r="BM197" s="75" t="inlineStr">
        <is>
          <t>x</t>
        </is>
      </c>
    </row>
    <row r="198" ht="33.75" customHeight="1" s="58">
      <c r="A198" s="64" t="n">
        <v>196</v>
      </c>
      <c r="B198" s="64" t="inlineStr">
        <is>
          <t>L-1683-175049130</t>
        </is>
      </c>
      <c r="C198" s="64" t="n">
        <v>1001523539</v>
      </c>
      <c r="D198" s="66">
        <f>HYPERLINK(CONCATENATE("https://portal.dnb.de/opac.htm?method=simpleSearch&amp;cqlMode=true&amp;query=idn%3D",C198))</f>
        <v/>
      </c>
      <c r="E198" s="64" t="inlineStr">
        <is>
          <t>IV 291, 80</t>
        </is>
      </c>
      <c r="F198" s="64" t="n"/>
      <c r="G198" s="111" t="n"/>
      <c r="H198" s="108" t="inlineStr">
        <is>
          <t>bis 25 cm</t>
        </is>
      </c>
      <c r="I198" s="111" t="n"/>
      <c r="J198" s="111" t="n"/>
      <c r="K198" s="64" t="n"/>
      <c r="L198" s="64" t="n"/>
      <c r="M198" s="64" t="n"/>
      <c r="N198" s="64" t="n"/>
      <c r="O198" s="64" t="n"/>
      <c r="P198" s="64" t="n"/>
      <c r="Q198" s="64" t="n"/>
      <c r="R198" s="64" t="n"/>
      <c r="X198" s="78" t="inlineStr">
        <is>
          <t>L</t>
        </is>
      </c>
      <c r="AA198" s="78" t="inlineStr">
        <is>
          <t>f/V</t>
        </is>
      </c>
      <c r="AG198" s="78" t="inlineStr">
        <is>
          <t>Pa</t>
        </is>
      </c>
      <c r="AO198" s="78" t="n"/>
      <c r="AP198" s="78" t="inlineStr">
        <is>
          <t>x</t>
        </is>
      </c>
      <c r="AR198" s="78" t="inlineStr">
        <is>
          <t>x</t>
        </is>
      </c>
      <c r="AU198" s="78" t="inlineStr">
        <is>
          <t>max 110</t>
        </is>
      </c>
      <c r="BA198" s="80" t="inlineStr">
        <is>
          <t>n</t>
        </is>
      </c>
      <c r="BB198" s="74">
        <f>#REF!+#REF!</f>
        <v/>
      </c>
      <c r="BH198" s="78" t="inlineStr">
        <is>
          <t>x sauer</t>
        </is>
      </c>
      <c r="BI198" s="78" t="inlineStr">
        <is>
          <t>x</t>
        </is>
      </c>
      <c r="BL198" s="110" t="inlineStr">
        <is>
          <t>x Umschlag (bes. Einband)</t>
        </is>
      </c>
      <c r="BM198" s="75" t="inlineStr">
        <is>
          <t>x</t>
        </is>
      </c>
      <c r="BN198" s="75" t="inlineStr">
        <is>
          <t>x</t>
        </is>
      </c>
    </row>
    <row r="199">
      <c r="A199" s="64" t="n">
        <v>197</v>
      </c>
      <c r="B199" s="64" t="n"/>
      <c r="C199" s="64" t="n"/>
      <c r="D199" s="66" t="n"/>
      <c r="E199" s="64" t="inlineStr">
        <is>
          <t>I, 229</t>
        </is>
      </c>
      <c r="F199" s="64" t="n"/>
      <c r="G199" s="111" t="n"/>
      <c r="H199" s="64" t="n"/>
      <c r="I199" s="111" t="n"/>
      <c r="J199" s="111" t="n"/>
      <c r="K199" s="64" t="n"/>
      <c r="L199" s="64" t="n"/>
      <c r="M199" s="64" t="n"/>
      <c r="N199" s="64" t="n"/>
      <c r="O199" s="64" t="n"/>
      <c r="P199" s="64" t="n"/>
      <c r="Q199" s="64" t="n"/>
      <c r="R199" s="64" t="n"/>
      <c r="AO199" s="78" t="n"/>
      <c r="BB199" s="74">
        <f>#REF!+#REF!</f>
        <v/>
      </c>
      <c r="BM199" s="75" t="inlineStr">
        <is>
          <t>x</t>
        </is>
      </c>
    </row>
    <row r="200">
      <c r="A200" s="64" t="n">
        <v>198</v>
      </c>
      <c r="B200" s="64" t="n"/>
      <c r="C200" s="64" t="n"/>
      <c r="D200" s="66" t="n"/>
      <c r="E200" s="64" t="inlineStr">
        <is>
          <t>RGB L220; unsigniert</t>
        </is>
      </c>
      <c r="F200" s="64" t="n"/>
      <c r="G200" s="111" t="n"/>
      <c r="H200" s="64" t="n"/>
      <c r="I200" s="111" t="n"/>
      <c r="J200" s="111" t="n"/>
      <c r="K200" s="64" t="n"/>
      <c r="L200" s="64" t="n"/>
      <c r="M200" s="64" t="n"/>
      <c r="N200" s="64" t="n"/>
      <c r="O200" s="64" t="n"/>
      <c r="P200" s="64" t="n"/>
      <c r="Q200" s="64" t="n"/>
      <c r="R200" s="64" t="n"/>
      <c r="AO200" s="78" t="n"/>
      <c r="BB200" s="74">
        <f>#REF!+#REF!</f>
        <v/>
      </c>
      <c r="BM200" s="75" t="inlineStr">
        <is>
          <t>x</t>
        </is>
      </c>
    </row>
    <row r="201">
      <c r="D201" s="67" t="n"/>
      <c r="I201" s="76" t="n"/>
      <c r="J201" s="111" t="n"/>
      <c r="K201" s="64" t="n"/>
      <c r="L201" s="64" t="n"/>
      <c r="M201" s="64" t="n"/>
      <c r="N201" s="64" t="n"/>
      <c r="O201" s="64" t="n"/>
      <c r="P201" s="64" t="n"/>
      <c r="Q201" s="64" t="n"/>
      <c r="R201" s="64" t="n"/>
    </row>
    <row r="202">
      <c r="D202" s="68" t="n"/>
      <c r="E202" s="80">
        <f>COUNTIF(E2:E200,"&lt;&gt;")</f>
        <v/>
      </c>
      <c r="H202" s="80">
        <f>COUNTIF(H$2:H$200,"bis 25 cm")</f>
        <v/>
      </c>
      <c r="I202" s="76" t="n"/>
      <c r="J202" s="111" t="n"/>
      <c r="K202" s="64" t="n"/>
      <c r="L202" s="64" t="n"/>
      <c r="M202" s="64" t="n"/>
      <c r="N202" s="64" t="n"/>
      <c r="O202" s="64" t="n"/>
      <c r="P202" s="64" t="n"/>
      <c r="Q202" s="64" t="n"/>
      <c r="R202" s="64" t="n"/>
      <c r="S202" s="80">
        <f>COUNTIF(S2:S200,"*")</f>
        <v/>
      </c>
      <c r="T202" s="80">
        <f>COUNTIF(T2:T200,"&lt;&gt;")</f>
        <v/>
      </c>
      <c r="U202" s="80">
        <f>COUNTIF(U2:U200,"&lt;&gt;")</f>
        <v/>
      </c>
      <c r="V202" s="80">
        <f>COUNTIF(V2:V200,"&lt;&gt;")</f>
        <v/>
      </c>
      <c r="W202" s="80">
        <f>COUNTIF(W2:W200,"x")</f>
        <v/>
      </c>
      <c r="X202" s="80">
        <f>COUNTIF(X$2:X$200,"Pa")</f>
        <v/>
      </c>
      <c r="Y202" s="80">
        <f>COUNTIF(Y2:Y200,"x")</f>
        <v/>
      </c>
      <c r="Z202" s="80">
        <f>COUNTIF(Z2:Z200,"x")</f>
        <v/>
      </c>
      <c r="AA202" s="80">
        <f>COUNTIF(AA$2:AA$200,"f")</f>
        <v/>
      </c>
      <c r="AB202" s="80">
        <f>COUNTIF(AB2:AB200,"x")</f>
        <v/>
      </c>
      <c r="AC202" s="80">
        <f>COUNTIF(AC$2:AC$200,"x")</f>
        <v/>
      </c>
      <c r="AD202" s="80">
        <f>COUNTIF(AD2:AD200,"x")</f>
        <v/>
      </c>
      <c r="AE202" s="80">
        <f>COUNTIF(AE2:AE200,"x")</f>
        <v/>
      </c>
      <c r="AF202" s="80">
        <f>COUNTIF(AF2:AF200,"x")</f>
        <v/>
      </c>
      <c r="AG202" s="80">
        <f>COUNTIF(AG$2:AG$200,"Pa")</f>
        <v/>
      </c>
      <c r="AH202" s="80">
        <f>COUNTIF(AH2:AH200,"x")</f>
        <v/>
      </c>
      <c r="AI202" s="80">
        <f>COUNTIF(AI2:AI200,"x")</f>
        <v/>
      </c>
      <c r="AJ202" s="80">
        <f>COUNTIF(AJ2:AJ200,"x")</f>
        <v/>
      </c>
      <c r="AK202" s="80">
        <f>COUNTIF(AK$2:AK$200,"x")</f>
        <v/>
      </c>
      <c r="AL202" s="80">
        <f>COUNTIF(AL$2:AL$200,"x")</f>
        <v/>
      </c>
      <c r="AM202" s="80">
        <f>COUNTIF(AM2:AM200,"x")</f>
        <v/>
      </c>
      <c r="AN202" s="80">
        <f>COUNTIF(AN2:AN200,"x")</f>
        <v/>
      </c>
      <c r="AO202" s="80">
        <f>COUNTIF(AO2:AO200,"&lt;&gt;")</f>
        <v/>
      </c>
      <c r="AP202" s="80">
        <f>COUNTIF(AP2:AP200,"x")</f>
        <v/>
      </c>
      <c r="AQ202" s="80">
        <f>COUNTIF(AQ$2:AQ$200,"K")</f>
        <v/>
      </c>
      <c r="AR202" s="80">
        <f>COUNTIF(AR$2:AR$200,"x")</f>
        <v/>
      </c>
      <c r="AS202" s="80">
        <f>COUNTIF(AS$2:AS$200,"0")</f>
        <v/>
      </c>
      <c r="AT202" s="80">
        <f>COUNTIF(AT2:AT200,"x")</f>
        <v/>
      </c>
      <c r="AU202" s="80">
        <f>COUNTIF(AU$2:AU$200,"0")</f>
        <v/>
      </c>
      <c r="AV202" s="80">
        <f>COUNTIF(AV2:AV200,"&lt;&gt;")</f>
        <v/>
      </c>
      <c r="AW202" s="80">
        <f>COUNTIF(AW2:AW200,"x")</f>
        <v/>
      </c>
      <c r="AX202" s="80">
        <f>COUNTIF(AX2:AX200,"x")</f>
        <v/>
      </c>
      <c r="AY202" s="80">
        <f>COUNTIF(AY2:AY200,"x")</f>
        <v/>
      </c>
      <c r="AZ202" s="80">
        <f>COUNTIF(AZ2:AZ200,"x")</f>
        <v/>
      </c>
      <c r="BA202" s="80">
        <f>COUNTIF(BA$2:BA$200,"n")</f>
        <v/>
      </c>
      <c r="BB202" s="77" t="n"/>
      <c r="BC202" s="80">
        <f>COUNTIF(BC2:BC200,"x")</f>
        <v/>
      </c>
      <c r="BD202" s="80">
        <f>COUNTIF(BD$2:BD$200,"Gewebe")</f>
        <v/>
      </c>
      <c r="BE202" s="80">
        <f>COUNTIF(BE$2:BE$200,"x")</f>
        <v/>
      </c>
      <c r="BF202" s="80">
        <f>COUNTIF(BF2:BF200,"x")</f>
        <v/>
      </c>
      <c r="BG202" s="80">
        <f>COUNTIF(BG$2:BG$200,"x")</f>
        <v/>
      </c>
      <c r="BH202" s="80">
        <f>COUNTIF(BH$2:BH$200,"x")</f>
        <v/>
      </c>
      <c r="BI202" s="80">
        <f>COUNTIF(BI2:BI200,"x")</f>
        <v/>
      </c>
      <c r="BJ202" s="80">
        <f>COUNTIF(BJ2:BJ200,"&lt;&gt;")</f>
        <v/>
      </c>
      <c r="BK202" s="80">
        <f>COUNTIF(BK2:BK200,"x 45")</f>
        <v/>
      </c>
    </row>
    <row r="203">
      <c r="D203" s="68" t="n"/>
      <c r="H203" s="80">
        <f>COUNTIF(H$2:H$200,"bis 35 cm")</f>
        <v/>
      </c>
      <c r="I203" s="76" t="n"/>
      <c r="J203" s="111" t="n"/>
      <c r="K203" s="64" t="n"/>
      <c r="L203" s="64" t="n"/>
      <c r="M203" s="64" t="n"/>
      <c r="N203" s="64" t="n"/>
      <c r="O203" s="64" t="n"/>
      <c r="P203" s="64" t="n"/>
      <c r="Q203" s="64" t="n"/>
      <c r="R203" s="64" t="n"/>
      <c r="S203" s="80" t="n"/>
      <c r="T203" s="80" t="n"/>
      <c r="X203" s="80">
        <f>COUNTIF(X$2:X$200,"Br")</f>
        <v/>
      </c>
      <c r="Y203" s="79" t="n"/>
      <c r="Z203" s="79" t="n"/>
      <c r="AA203" s="80">
        <f>COUNTIF(AA$2:AA$200,"f/E")</f>
        <v/>
      </c>
      <c r="AB203" s="80" t="n"/>
      <c r="AC203" s="80">
        <f>COUNTIF(AC$2:AC$200,"xx")</f>
        <v/>
      </c>
      <c r="AD203" s="80" t="n"/>
      <c r="AE203" s="80" t="n"/>
      <c r="AF203" s="80" t="n"/>
      <c r="AG203" s="81">
        <f>COUNTIF(AG$2:AG$200,"Pg")</f>
        <v/>
      </c>
      <c r="AK203" s="80">
        <f>COUNTIF(AK$2:AK$200,"xx")</f>
        <v/>
      </c>
      <c r="AL203" s="80">
        <f>COUNTIF(AL$2:AL$200,"xx")</f>
        <v/>
      </c>
      <c r="AO203" s="78" t="n"/>
      <c r="AQ203" s="80">
        <f>COUNTIF(AQ$2:AQ$200,"B")</f>
        <v/>
      </c>
      <c r="AR203" s="80">
        <f>COUNTIF(AR$2:AR$200,"xx")</f>
        <v/>
      </c>
      <c r="AS203" s="80">
        <f>COUNTIF(AS$2:AS$200,"2")</f>
        <v/>
      </c>
      <c r="AT203" s="80" t="n"/>
      <c r="AU203" s="80">
        <f>COUNTIF(AU$2:AU$200,"45")</f>
        <v/>
      </c>
      <c r="BA203" s="80">
        <f>COUNTIF(BA$2:BA$200,"ja vor")</f>
        <v/>
      </c>
      <c r="BB203" s="82" t="n"/>
      <c r="BC203" s="79" t="n"/>
      <c r="BD203" s="80">
        <f>COUNTIF(BD$2:BD$200,"Wellpappe")</f>
        <v/>
      </c>
      <c r="BE203" s="80">
        <f>COUNTIF(BE$2:BE$200,"historisch")</f>
        <v/>
      </c>
      <c r="BG203" s="80">
        <f>COUNTIF(BG$2:BG$200,"x sauer")</f>
        <v/>
      </c>
      <c r="BH203" s="80">
        <f>COUNTIF(BH$2:BH$200,"x sauer")</f>
        <v/>
      </c>
      <c r="BK203" s="80">
        <f>COUNTIF(BK2:BK200,"x 60")</f>
        <v/>
      </c>
    </row>
    <row r="204">
      <c r="D204" s="68" t="n"/>
      <c r="H204" s="80">
        <f>COUNTIF(H$2:H$200,"bis 42 cm")</f>
        <v/>
      </c>
      <c r="I204" s="76" t="n"/>
      <c r="J204" s="111" t="n"/>
      <c r="K204" s="64" t="n"/>
      <c r="L204" s="64" t="n"/>
      <c r="M204" s="64" t="n"/>
      <c r="N204" s="64" t="n"/>
      <c r="O204" s="64" t="n"/>
      <c r="P204" s="64" t="n"/>
      <c r="Q204" s="64" t="n"/>
      <c r="R204" s="64" t="n"/>
      <c r="S204" s="80" t="n"/>
      <c r="T204" s="80" t="n"/>
      <c r="X204" s="80">
        <f>COUNTIF(X$2:X$200,"G")</f>
        <v/>
      </c>
      <c r="Y204" s="79" t="n"/>
      <c r="Z204" s="79" t="n"/>
      <c r="AA204" s="80">
        <f>COUNTIF(AA$2:AA$200,"f/V")</f>
        <v/>
      </c>
      <c r="AB204" s="80" t="n"/>
      <c r="AC204" s="80" t="n"/>
      <c r="AD204" s="80" t="n"/>
      <c r="AE204" s="80" t="n"/>
      <c r="AF204" s="80" t="n"/>
      <c r="AO204" s="78" t="n"/>
      <c r="AQ204" s="80">
        <f>COUNTIF(AQ$2:AQ$200,"I")</f>
        <v/>
      </c>
      <c r="AS204" s="80">
        <f>COUNTIF(AS$2:AS$200,"3")</f>
        <v/>
      </c>
      <c r="AT204" s="80" t="n"/>
      <c r="AU204" s="80">
        <f>COUNTIF(AU$2:AU$200,"max 45")</f>
        <v/>
      </c>
      <c r="AV204" s="80" t="n"/>
      <c r="BA204" s="80">
        <f>COUNTIF(BA$2:BA$200,"ja nach")</f>
        <v/>
      </c>
      <c r="BB204" s="82" t="n"/>
      <c r="BC204" s="79" t="n"/>
      <c r="BK204" s="80">
        <f>COUNTIF(BK2:BK200,"x 110")</f>
        <v/>
      </c>
    </row>
    <row r="205">
      <c r="D205" s="68" t="n"/>
      <c r="H205" s="80">
        <f>COUNTIF(H$2:H$200,"? 42 cm")</f>
        <v/>
      </c>
      <c r="I205" s="76" t="n"/>
      <c r="J205" s="111" t="n"/>
      <c r="K205" s="64" t="n"/>
      <c r="L205" s="64" t="n"/>
      <c r="M205" s="64" t="n"/>
      <c r="N205" s="64" t="n"/>
      <c r="O205" s="64" t="n"/>
      <c r="P205" s="64" t="n"/>
      <c r="Q205" s="64" t="n"/>
      <c r="R205" s="64" t="n"/>
      <c r="S205" s="80" t="n"/>
      <c r="T205" s="80" t="n"/>
      <c r="X205" s="80">
        <f>COUNTIF(X$2:X$200,"HG")</f>
        <v/>
      </c>
      <c r="Y205" s="79" t="n"/>
      <c r="Z205" s="79" t="n"/>
      <c r="AA205" s="80">
        <f>COUNTIF(AA$2:AA$200,"h")</f>
        <v/>
      </c>
      <c r="AB205" s="80" t="n"/>
      <c r="AC205" s="80" t="n"/>
      <c r="AD205" s="80" t="n"/>
      <c r="AE205" s="80" t="n"/>
      <c r="AF205" s="80" t="n"/>
      <c r="AO205" s="78" t="n"/>
      <c r="AQ205" s="80">
        <f>COUNTIF(AQ$2:AQ$200,"R")</f>
        <v/>
      </c>
      <c r="AS205" s="80">
        <f>COUNTIF(AS$2:AS$200,"4")</f>
        <v/>
      </c>
      <c r="AT205" s="80" t="n"/>
      <c r="AU205" s="80">
        <f>COUNTIF(AU$2:AU$200,"60")</f>
        <v/>
      </c>
      <c r="AV205" s="80" t="n"/>
      <c r="BA205" s="80">
        <f>COUNTIF(BA$2:BA$200,"ja vor und nach")</f>
        <v/>
      </c>
      <c r="BB205" s="82" t="n"/>
      <c r="BC205" s="79" t="n"/>
      <c r="BK205" s="80">
        <f>COUNTIF(BK2:BK200,"x nur 110")</f>
        <v/>
      </c>
    </row>
    <row r="206">
      <c r="D206" s="68" t="n"/>
      <c r="I206" s="76" t="n"/>
      <c r="J206" s="111" t="n"/>
      <c r="K206" s="64" t="n"/>
      <c r="L206" s="64" t="n"/>
      <c r="M206" s="64" t="n"/>
      <c r="N206" s="64" t="n"/>
      <c r="O206" s="64" t="n"/>
      <c r="P206" s="64" t="n"/>
      <c r="Q206" s="64" t="n"/>
      <c r="R206" s="64" t="n"/>
      <c r="S206" s="80" t="n"/>
      <c r="T206" s="80" t="n"/>
      <c r="X206" s="80">
        <f>COUNTIF(X$2:X$200,"HD")</f>
        <v/>
      </c>
      <c r="Y206" s="79" t="n"/>
      <c r="Z206" s="79" t="n"/>
      <c r="AA206" s="80">
        <f>COUNTIF(AA$2:AA$200,"h/E")</f>
        <v/>
      </c>
      <c r="AB206" s="80" t="n"/>
      <c r="AC206" s="80" t="n"/>
      <c r="AD206" s="80" t="n"/>
      <c r="AE206" s="80" t="n"/>
      <c r="AF206" s="80" t="n"/>
      <c r="AO206" s="78" t="n"/>
      <c r="AQ206" s="80">
        <f>COUNTIF(AQ$2:AQ$200,"K/I")</f>
        <v/>
      </c>
      <c r="AS206" s="80">
        <f>COUNTIF(AS$2:AS$200,"0-2")</f>
        <v/>
      </c>
      <c r="AT206" s="80" t="n"/>
      <c r="AU206" s="80">
        <f>COUNTIF(AU$2:AU$200,"max 60")</f>
        <v/>
      </c>
      <c r="AV206" s="80" t="n"/>
      <c r="BB206" s="82" t="n"/>
      <c r="BC206" s="79" t="n"/>
    </row>
    <row r="207">
      <c r="D207" s="68" t="n"/>
      <c r="I207" s="76" t="n"/>
      <c r="J207" s="111" t="n"/>
      <c r="K207" s="64" t="n"/>
      <c r="L207" s="64" t="n"/>
      <c r="M207" s="64" t="n"/>
      <c r="N207" s="64" t="n"/>
      <c r="O207" s="64" t="n"/>
      <c r="P207" s="64" t="n"/>
      <c r="Q207" s="64" t="n"/>
      <c r="R207" s="64" t="n"/>
      <c r="S207" s="80" t="n"/>
      <c r="T207" s="80" t="n"/>
      <c r="X207" s="80">
        <f>COUNTIF(X$2:X$200,"L")</f>
        <v/>
      </c>
      <c r="Y207" s="79" t="n"/>
      <c r="Z207" s="79" t="n"/>
      <c r="AA207" s="80" t="n"/>
      <c r="AB207" s="80" t="n"/>
      <c r="AC207" s="80" t="n"/>
      <c r="AD207" s="80" t="n"/>
      <c r="AE207" s="80" t="n"/>
      <c r="AF207" s="80" t="n"/>
      <c r="AO207" s="78" t="n"/>
      <c r="AQ207" s="80">
        <f>COUNTIF(AQ$2:AQ$200,"B/I/R")</f>
        <v/>
      </c>
      <c r="AS207" s="80" t="n"/>
      <c r="AT207" s="80" t="n"/>
      <c r="AU207" s="80">
        <f>COUNTIF(AU$2:AU$200,"80")</f>
        <v/>
      </c>
      <c r="AV207" s="80" t="n"/>
      <c r="BB207" s="82" t="n"/>
      <c r="BC207" s="79" t="n"/>
    </row>
    <row r="208">
      <c r="D208" s="68" t="n"/>
      <c r="I208" s="76" t="n"/>
      <c r="J208" s="111" t="n"/>
      <c r="K208" s="64" t="n"/>
      <c r="L208" s="64" t="n"/>
      <c r="M208" s="64" t="n"/>
      <c r="N208" s="64" t="n"/>
      <c r="O208" s="64" t="n"/>
      <c r="P208" s="64" t="n"/>
      <c r="Q208" s="64" t="n"/>
      <c r="R208" s="64" t="n"/>
      <c r="S208" s="80" t="n"/>
      <c r="T208" s="80" t="n"/>
      <c r="X208" s="80">
        <f>COUNTIF(X$2:X$200,"HL")</f>
        <v/>
      </c>
      <c r="Y208" s="79" t="n"/>
      <c r="Z208" s="79" t="n"/>
      <c r="AA208" s="80" t="n"/>
      <c r="AB208" s="80" t="n"/>
      <c r="AC208" s="80" t="n"/>
      <c r="AD208" s="80" t="n"/>
      <c r="AE208" s="80" t="n"/>
      <c r="AF208" s="80" t="n"/>
      <c r="AO208" s="78" t="n"/>
      <c r="AQ208" s="80">
        <f>COUNTIF(AQ$2:AQ$200,"I/R")</f>
        <v/>
      </c>
      <c r="AS208" s="80" t="n"/>
      <c r="AT208" s="80" t="n"/>
      <c r="AU208" s="80">
        <f>COUNTIF(AU$2:AU$200,"max 80")</f>
        <v/>
      </c>
      <c r="AV208" s="80" t="n"/>
      <c r="BB208" s="82" t="n"/>
      <c r="BC208" s="79" t="n"/>
    </row>
    <row r="209">
      <c r="D209" s="68" t="n"/>
      <c r="I209" s="76" t="n"/>
      <c r="J209" s="111" t="n"/>
      <c r="K209" s="64" t="n"/>
      <c r="L209" s="64" t="n"/>
      <c r="M209" s="64" t="n"/>
      <c r="N209" s="64" t="n"/>
      <c r="O209" s="64" t="n"/>
      <c r="P209" s="64" t="n"/>
      <c r="Q209" s="64" t="n"/>
      <c r="R209" s="64" t="n"/>
      <c r="S209" s="80" t="n"/>
      <c r="T209" s="80" t="n"/>
      <c r="X209" s="96">
        <f>COUNTIF(X$2:X$200,"Pg")</f>
        <v/>
      </c>
      <c r="Y209" s="79" t="n"/>
      <c r="Z209" s="79" t="n"/>
      <c r="AA209" s="80" t="n"/>
      <c r="AB209" s="80" t="n"/>
      <c r="AC209" s="80" t="n"/>
      <c r="AD209" s="80" t="n"/>
      <c r="AE209" s="80" t="n"/>
      <c r="AF209" s="80" t="n"/>
      <c r="AO209" s="78" t="n"/>
      <c r="AQ209" s="80">
        <f>COUNTIF(AQ$2:AQ$200,"x")</f>
        <v/>
      </c>
      <c r="AS209" s="80" t="n"/>
      <c r="AT209" s="80" t="n"/>
      <c r="AU209" s="80">
        <f>COUNTIF(AU$2:AU$200,"110")</f>
        <v/>
      </c>
      <c r="AV209" s="80" t="n"/>
      <c r="BB209" s="82" t="n"/>
      <c r="BC209" s="79" t="n"/>
    </row>
    <row r="210">
      <c r="D210" s="68" t="n"/>
      <c r="I210" s="76" t="n"/>
      <c r="J210" s="111" t="n"/>
      <c r="K210" s="64" t="n"/>
      <c r="L210" s="64" t="n"/>
      <c r="M210" s="64" t="n"/>
      <c r="N210" s="64" t="n"/>
      <c r="O210" s="64" t="n"/>
      <c r="P210" s="64" t="n"/>
      <c r="Q210" s="64" t="n"/>
      <c r="R210" s="64" t="n"/>
      <c r="S210" s="80" t="n"/>
      <c r="T210" s="80" t="n"/>
      <c r="X210" s="96">
        <f>COUNTIF(X$2:X$200,"HPg")</f>
        <v/>
      </c>
      <c r="Y210" s="79" t="n"/>
      <c r="Z210" s="79" t="n"/>
      <c r="AA210" s="80" t="n"/>
      <c r="AB210" s="80" t="n"/>
      <c r="AC210" s="80" t="n"/>
      <c r="AD210" s="80" t="n"/>
      <c r="AE210" s="80" t="n"/>
      <c r="AF210" s="80" t="n"/>
      <c r="AO210" s="78" t="n"/>
      <c r="AS210" s="80" t="n"/>
      <c r="AT210" s="80" t="n"/>
      <c r="AU210" s="80">
        <f>COUNTIF(AU$2:AU$200,"max 110")</f>
        <v/>
      </c>
      <c r="AV210" s="80" t="n"/>
      <c r="BB210" s="82" t="n"/>
      <c r="BC210" s="79" t="n"/>
    </row>
    <row r="211">
      <c r="D211" s="68" t="n"/>
      <c r="I211" s="76" t="n"/>
      <c r="J211" s="111" t="n"/>
      <c r="K211" s="64" t="n"/>
      <c r="L211" s="64" t="n"/>
      <c r="M211" s="64" t="n"/>
      <c r="N211" s="64" t="n"/>
      <c r="O211" s="64" t="n"/>
      <c r="P211" s="64" t="n"/>
      <c r="Q211" s="64" t="n"/>
      <c r="R211" s="64" t="n"/>
      <c r="S211" s="80" t="n"/>
      <c r="T211" s="80" t="n"/>
      <c r="X211" s="96">
        <f>COUNTIF(X$2:X$200,"Pg (Mak.)")</f>
        <v/>
      </c>
      <c r="Y211" s="79" t="n"/>
      <c r="Z211" s="79" t="n"/>
      <c r="AA211" s="80" t="n"/>
      <c r="AB211" s="80" t="n"/>
      <c r="AC211" s="80" t="n"/>
      <c r="AD211" s="80" t="n"/>
      <c r="AE211" s="80" t="n"/>
      <c r="AF211" s="80" t="n"/>
      <c r="AO211" s="78" t="n"/>
      <c r="AS211" s="80" t="n"/>
      <c r="AT211" s="80" t="n"/>
      <c r="AU211" s="80">
        <f>COUNTIF(AU$2:AU$200,"nur 110")</f>
        <v/>
      </c>
      <c r="AV211" s="80" t="n"/>
      <c r="BB211" s="82" t="n"/>
      <c r="BC211" s="79" t="n"/>
    </row>
    <row r="212">
      <c r="D212" s="68" t="n"/>
      <c r="I212" s="76" t="n"/>
      <c r="J212" s="111" t="n"/>
      <c r="K212" s="64" t="n"/>
      <c r="L212" s="64" t="n"/>
      <c r="M212" s="64" t="n"/>
      <c r="N212" s="64" t="n"/>
      <c r="O212" s="64" t="n"/>
      <c r="P212" s="64" t="n"/>
      <c r="Q212" s="64" t="n"/>
      <c r="R212" s="64" t="n"/>
      <c r="S212" s="80" t="n"/>
      <c r="T212" s="80" t="n"/>
      <c r="X212" s="80">
        <f>COUNTIF(X$2:X$200,"oE")</f>
        <v/>
      </c>
      <c r="Y212" s="79" t="n"/>
      <c r="Z212" s="79" t="n"/>
      <c r="AA212" s="80" t="n"/>
      <c r="AB212" s="80" t="n"/>
      <c r="AD212" s="80" t="n"/>
      <c r="AE212" s="80" t="n"/>
      <c r="AF212" s="80" t="n"/>
      <c r="AO212" s="78" t="n"/>
      <c r="AS212" s="80" t="n"/>
      <c r="AT212" s="80" t="n"/>
      <c r="AU212" s="80">
        <f>COUNTIF(AU$2:AU$200,"180")</f>
        <v/>
      </c>
      <c r="AV212" s="80" t="n"/>
      <c r="BB212" s="82" t="n"/>
      <c r="BC212" s="79" t="n"/>
    </row>
    <row r="213">
      <c r="D213" s="68" t="n"/>
      <c r="E213" s="83" t="n"/>
      <c r="H213" s="83" t="n"/>
      <c r="I213" s="76" t="n"/>
      <c r="J213" s="111" t="n"/>
      <c r="K213" s="64" t="n"/>
      <c r="L213" s="64" t="n"/>
      <c r="M213" s="64" t="n"/>
      <c r="N213" s="64" t="n"/>
      <c r="O213" s="64" t="n"/>
      <c r="P213" s="64" t="n"/>
      <c r="Q213" s="64" t="n"/>
      <c r="R213" s="64" t="n"/>
      <c r="S213" s="86" t="n"/>
      <c r="T213" s="86" t="n"/>
      <c r="U213" s="84" t="n"/>
      <c r="V213" s="84" t="n"/>
      <c r="W213" s="84" t="n"/>
      <c r="X213" s="86">
        <f>COUNTIF(X$2:X$200,"EB")</f>
        <v/>
      </c>
      <c r="Y213" s="85" t="n"/>
      <c r="Z213" s="85" t="n"/>
      <c r="AA213" s="86" t="n"/>
      <c r="AB213" s="86" t="n"/>
      <c r="AC213" s="86" t="n"/>
      <c r="AD213" s="86" t="n"/>
      <c r="AE213" s="86" t="n"/>
      <c r="AF213" s="86" t="n"/>
      <c r="AG213" s="84" t="n"/>
      <c r="AH213" s="84" t="n"/>
      <c r="AI213" s="84" t="n"/>
      <c r="AJ213" s="84" t="n"/>
      <c r="AK213" s="84" t="n"/>
      <c r="AL213" s="84" t="n"/>
      <c r="AM213" s="84" t="n"/>
      <c r="AN213" s="84" t="n"/>
      <c r="AO213" s="84" t="n"/>
      <c r="AP213" s="84" t="n"/>
      <c r="AQ213" s="84" t="n"/>
      <c r="AR213" s="84" t="n"/>
      <c r="AS213" s="86" t="n"/>
      <c r="AT213" s="86" t="n"/>
      <c r="AU213" s="86">
        <f>COUNTIF(AU$2:AU$200,"max 180")</f>
        <v/>
      </c>
      <c r="AV213" s="86" t="n"/>
      <c r="AW213" s="84" t="n"/>
      <c r="AX213" s="84" t="n"/>
      <c r="AY213" s="84" t="n"/>
      <c r="AZ213" s="84" t="n"/>
      <c r="BA213" s="86" t="n"/>
      <c r="BB213" s="87" t="n"/>
      <c r="BC213" s="85" t="n"/>
      <c r="BD213" s="84" t="n"/>
      <c r="BE213" s="84" t="n"/>
      <c r="BF213" s="84" t="n"/>
      <c r="BG213" s="84" t="n"/>
      <c r="BH213" s="84" t="n"/>
      <c r="BI213" s="84" t="n"/>
      <c r="BJ213" s="88" t="n"/>
      <c r="BK213" s="84" t="n"/>
    </row>
    <row r="214">
      <c r="D214" s="68" t="n"/>
      <c r="E214" s="89">
        <f>SUM(E202:E213)</f>
        <v/>
      </c>
      <c r="H214" s="90">
        <f>SUM(H202:H213)</f>
        <v/>
      </c>
      <c r="I214" s="91" t="n"/>
      <c r="J214" s="92" t="n"/>
      <c r="K214" s="93" t="n"/>
      <c r="L214" s="93" t="n"/>
      <c r="M214" s="93" t="n"/>
      <c r="N214" s="93" t="n"/>
      <c r="O214" s="93" t="n"/>
      <c r="P214" s="93" t="n"/>
      <c r="Q214" s="93" t="n"/>
      <c r="R214" s="93" t="n"/>
      <c r="S214" s="94">
        <f>SUM(S202:S213)</f>
        <v/>
      </c>
      <c r="T214" s="94">
        <f>SUM(T202:T213)</f>
        <v/>
      </c>
      <c r="U214" s="94">
        <f>SUM(U202:U213)</f>
        <v/>
      </c>
      <c r="V214" s="94">
        <f>SUM(V202:V213)</f>
        <v/>
      </c>
      <c r="W214" s="94">
        <f>SUM(W202:W213)</f>
        <v/>
      </c>
      <c r="X214" s="94" t="n"/>
      <c r="Y214" s="94">
        <f>SUM(Y202:Y213)</f>
        <v/>
      </c>
      <c r="Z214" s="94">
        <f>SUM(Z202:Z213)</f>
        <v/>
      </c>
      <c r="AA214" s="94">
        <f>SUM(AA202:AA204)</f>
        <v/>
      </c>
      <c r="AB214" s="94">
        <f>SUM(AB202:AB213)</f>
        <v/>
      </c>
      <c r="AC214" s="89">
        <f>SUM(AC202:AC213)</f>
        <v/>
      </c>
      <c r="AD214" s="94">
        <f>SUM(AD202:AD213)</f>
        <v/>
      </c>
      <c r="AE214" s="94">
        <f>SUM(AE202:AE213)</f>
        <v/>
      </c>
      <c r="AF214" s="94">
        <f>SUM(AF202:AF213)</f>
        <v/>
      </c>
      <c r="AG214" s="81">
        <f>COUNTIF(AG$2:AG$113,"Pg")</f>
        <v/>
      </c>
      <c r="AH214" s="94">
        <f>SUM(AH202:AH213)</f>
        <v/>
      </c>
      <c r="AI214" s="94">
        <f>SUM(AI202:AI213)</f>
        <v/>
      </c>
      <c r="AJ214" s="94">
        <f>SUM(AJ202:AJ213)</f>
        <v/>
      </c>
      <c r="AK214" s="89">
        <f>SUM(AK202:AK213)</f>
        <v/>
      </c>
      <c r="AL214" s="89">
        <f>SUM(AL202:AL213)</f>
        <v/>
      </c>
      <c r="AM214" s="94">
        <f>SUM(AM202:AM213)</f>
        <v/>
      </c>
      <c r="AN214" s="94">
        <f>SUM(AN202:AN213)</f>
        <v/>
      </c>
      <c r="AO214" s="94">
        <f>SUM(AO202:AO213)</f>
        <v/>
      </c>
      <c r="AP214" s="94">
        <f>SUM(AP202:AP213)</f>
        <v/>
      </c>
      <c r="AQ214" s="89">
        <f>SUM(AQ202:AQ213)</f>
        <v/>
      </c>
      <c r="AR214" s="89">
        <f>SUM(AR202:AR213)</f>
        <v/>
      </c>
      <c r="AS214" s="89">
        <f>SUM(AS202:AS213)</f>
        <v/>
      </c>
      <c r="AT214" s="94">
        <f>SUM(AT202:AT213)</f>
        <v/>
      </c>
      <c r="AU214" s="94">
        <f>SUM(AU202:AU213)</f>
        <v/>
      </c>
      <c r="AV214" s="94">
        <f>SUM(AV202:AV213)</f>
        <v/>
      </c>
      <c r="AW214" s="94">
        <f>SUM(AW202:AW213)</f>
        <v/>
      </c>
      <c r="AX214" s="94">
        <f>SUM(AX202:AX213)</f>
        <v/>
      </c>
      <c r="AY214" s="94">
        <f>SUM(AY202:AY213)</f>
        <v/>
      </c>
      <c r="AZ214" s="94">
        <f>SUM(AZ202:AZ213)</f>
        <v/>
      </c>
      <c r="BA214" s="94">
        <f>SUM(BA203:BA205)</f>
        <v/>
      </c>
      <c r="BB214" s="95">
        <f>SUM(BB113:BB113)</f>
        <v/>
      </c>
      <c r="BC214" s="94">
        <f>SUM(BC202:BC213)</f>
        <v/>
      </c>
      <c r="BD214" s="94">
        <f>SUM(BD202:BD213)</f>
        <v/>
      </c>
      <c r="BE214" s="94">
        <f>SUM(BE202:BE213)</f>
        <v/>
      </c>
      <c r="BF214" s="94">
        <f>SUM(BF202:BF213)</f>
        <v/>
      </c>
      <c r="BG214" s="94">
        <f>SUM(BG202:BG213)</f>
        <v/>
      </c>
      <c r="BH214" s="94">
        <f>SUM(BH202:BH213)</f>
        <v/>
      </c>
      <c r="BI214" s="94">
        <f>SUM(BI202:BI213)</f>
        <v/>
      </c>
      <c r="BJ214" s="94">
        <f>SUM(BJ202:BJ213)</f>
        <v/>
      </c>
      <c r="BK214" s="78">
        <f>BK202+BK203</f>
        <v/>
      </c>
    </row>
    <row r="215">
      <c r="AA215" s="94">
        <f>SUM(AA205:AA206)</f>
        <v/>
      </c>
      <c r="BK215" s="78">
        <f>BK204+BK205</f>
        <v/>
      </c>
    </row>
    <row r="216">
      <c r="BK216" s="94">
        <f>SUM(BK202:BK213)</f>
        <v/>
      </c>
    </row>
  </sheetData>
  <autoFilter ref="A1:BL200"/>
  <conditionalFormatting sqref="E2:E113 BB115:BB197 S2:BJ113">
    <cfRule type="expression" priority="16" dxfId="0">
      <formula>MOD(SUBTOTAL(103,$E$2:$E2),2)=0</formula>
    </cfRule>
  </conditionalFormatting>
  <conditionalFormatting sqref="E114">
    <cfRule type="expression" priority="15" dxfId="0">
      <formula>MOD(SUBTOTAL(103,$E$2:$E114),2)=0</formula>
    </cfRule>
  </conditionalFormatting>
  <conditionalFormatting sqref="S114:BJ114">
    <cfRule type="expression" priority="14" dxfId="0">
      <formula>MOD(SUBTOTAL(103,$E$2:$E114),2)=0</formula>
    </cfRule>
  </conditionalFormatting>
  <conditionalFormatting sqref="E194:E197">
    <cfRule type="expression" priority="11" dxfId="0">
      <formula>MOD(SUBTOTAL(103,$E$2:$E194),2)=0</formula>
    </cfRule>
  </conditionalFormatting>
  <conditionalFormatting sqref="S194:BA197 BC194:BJ197">
    <cfRule type="expression" priority="10" dxfId="0">
      <formula>MOD(SUBTOTAL(103,$E$2:$E194),2)=0</formula>
    </cfRule>
  </conditionalFormatting>
  <conditionalFormatting sqref="E115:E193">
    <cfRule type="expression" priority="13" dxfId="0">
      <formula>MOD(SUBTOTAL(103,$E$2:$E115),2)=0</formula>
    </cfRule>
  </conditionalFormatting>
  <conditionalFormatting sqref="S115:BA189 BC115:BJ193 S191:BA193 S190:AU190 AW190:BA190">
    <cfRule type="expression" priority="12" dxfId="0">
      <formula>MOD(SUBTOTAL(103,$E$2:$E115),2)=0</formula>
    </cfRule>
  </conditionalFormatting>
  <conditionalFormatting sqref="S199:BA199 BC199:BJ199">
    <cfRule type="expression" priority="7" dxfId="0">
      <formula>MOD(SUBTOTAL(103,$E$2:$E199),2)=0</formula>
    </cfRule>
  </conditionalFormatting>
  <conditionalFormatting sqref="BB199">
    <cfRule type="expression" priority="9" dxfId="0">
      <formula>MOD(SUBTOTAL(103,$E$2:$E199),2)=0</formula>
    </cfRule>
  </conditionalFormatting>
  <conditionalFormatting sqref="E199">
    <cfRule type="expression" priority="8" dxfId="0">
      <formula>MOD(SUBTOTAL(103,$E$2:$E199),2)=0</formula>
    </cfRule>
  </conditionalFormatting>
  <conditionalFormatting sqref="BB200">
    <cfRule type="expression" priority="6" dxfId="0">
      <formula>MOD(SUBTOTAL(103,$E$2:$E200),2)=0</formula>
    </cfRule>
  </conditionalFormatting>
  <conditionalFormatting sqref="E200">
    <cfRule type="expression" priority="5" dxfId="0">
      <formula>MOD(SUBTOTAL(103,$E$2:$E200),2)=0</formula>
    </cfRule>
  </conditionalFormatting>
  <conditionalFormatting sqref="S200:BA200 BC200:BJ200">
    <cfRule type="expression" priority="4" dxfId="0">
      <formula>MOD(SUBTOTAL(103,$E$2:$E200),2)=0</formula>
    </cfRule>
  </conditionalFormatting>
  <conditionalFormatting sqref="S198:BA198 BC198:BJ198">
    <cfRule type="expression" priority="1" dxfId="0">
      <formula>MOD(SUBTOTAL(103,$E$2:$E198),2)=0</formula>
    </cfRule>
  </conditionalFormatting>
  <conditionalFormatting sqref="BB198">
    <cfRule type="expression" priority="3" dxfId="0">
      <formula>MOD(SUBTOTAL(103,$E$2:$E198),2)=0</formula>
    </cfRule>
  </conditionalFormatting>
  <conditionalFormatting sqref="E198">
    <cfRule type="expression" priority="2" dxfId="0">
      <formula>MOD(SUBTOTAL(103,$E$2:$E198),2)=0</formula>
    </cfRule>
  </conditionalFormatting>
  <pageMargins left="0.7" right="0.7" top="0.787401575" bottom="0.787401575" header="0.3" footer="0.3"/>
  <pageSetup orientation="portrait" paperSize="9" scale="10"/>
  <legacyDrawing r:id="anysvml"/>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topLeftCell="A31"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2022-11-25T17:27:55Z</dcterms:modified>
  <cp:lastModifiedBy>Wendler, André</cp:lastModifiedBy>
  <cp:lastPrinted>2020-09-18T09:32:13Z</cp:lastPrinted>
</cp:coreProperties>
</file>