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55" windowWidth="14355" windowHeight="3990" activeTab="2"/>
  </bookViews>
  <sheets>
    <sheet name="Custo " sheetId="3" r:id="rId1"/>
    <sheet name="Forecast (DRAFT) Resumido" sheetId="8" r:id="rId2"/>
    <sheet name="Racional PT 83909" sheetId="9" r:id="rId3"/>
  </sheets>
  <definedNames>
    <definedName name="_xlnm._FilterDatabase" localSheetId="1" hidden="1">'Forecast (DRAFT) Resumido'!$A$4:$Z$4</definedName>
  </definedNames>
  <calcPr calcId="145621"/>
</workbook>
</file>

<file path=xl/calcChain.xml><?xml version="1.0" encoding="utf-8"?>
<calcChain xmlns="http://schemas.openxmlformats.org/spreadsheetml/2006/main">
  <c r="W9" i="9" l="1"/>
  <c r="T9" i="9"/>
  <c r="U2" i="9"/>
  <c r="U5" i="9"/>
  <c r="V5" i="9" s="1"/>
  <c r="U6" i="9"/>
  <c r="V6" i="9"/>
  <c r="V4" i="9"/>
  <c r="W4" i="9" s="1"/>
  <c r="W7" i="9" s="1"/>
  <c r="V2" i="9"/>
  <c r="T2" i="9"/>
  <c r="P2" i="9"/>
  <c r="O2" i="9"/>
  <c r="N2" i="9"/>
  <c r="U7" i="9" l="1"/>
  <c r="U9" i="9" s="1"/>
  <c r="V7" i="9"/>
  <c r="V9" i="9" s="1"/>
  <c r="N6" i="9"/>
  <c r="P18" i="9"/>
  <c r="Q18" i="9" s="1"/>
  <c r="O10" i="9"/>
  <c r="P10" i="9" s="1"/>
  <c r="O9" i="9"/>
  <c r="P8" i="9"/>
  <c r="Q8" i="9" s="1"/>
  <c r="P5" i="9"/>
  <c r="Q5" i="9" s="1"/>
  <c r="O4" i="9"/>
  <c r="P4" i="9" s="1"/>
  <c r="O3" i="9"/>
  <c r="H13" i="9"/>
  <c r="J12" i="9"/>
  <c r="K12" i="9" s="1"/>
  <c r="I10" i="9"/>
  <c r="J10" i="9" s="1"/>
  <c r="I9" i="9"/>
  <c r="J8" i="9"/>
  <c r="K8" i="9" s="1"/>
  <c r="K11" i="9" s="1"/>
  <c r="H6" i="9"/>
  <c r="J5" i="9"/>
  <c r="K5" i="9" s="1"/>
  <c r="I4" i="9"/>
  <c r="J4" i="9" s="1"/>
  <c r="I3" i="9"/>
  <c r="B6" i="9"/>
  <c r="B13" i="9" s="1"/>
  <c r="I11" i="9" l="1"/>
  <c r="O6" i="9"/>
  <c r="P3" i="9"/>
  <c r="P6" i="9" s="1"/>
  <c r="J9" i="9"/>
  <c r="O11" i="9"/>
  <c r="Q11" i="9"/>
  <c r="P9" i="9"/>
  <c r="P11" i="9" s="1"/>
  <c r="P13" i="9" s="1"/>
  <c r="N13" i="9"/>
  <c r="Q3" i="9"/>
  <c r="Q6" i="9" s="1"/>
  <c r="I6" i="9"/>
  <c r="I13" i="9" s="1"/>
  <c r="J3" i="9"/>
  <c r="D5" i="9"/>
  <c r="E5" i="9" s="1"/>
  <c r="C10" i="9"/>
  <c r="D12" i="9"/>
  <c r="E12" i="9" s="1"/>
  <c r="C9" i="9"/>
  <c r="C3" i="9"/>
  <c r="O13" i="9" l="1"/>
  <c r="Q13" i="9"/>
  <c r="N5" i="9"/>
  <c r="N4" i="9" s="1"/>
  <c r="N3" i="9" s="1"/>
  <c r="J6" i="9"/>
  <c r="J11" i="9" s="1"/>
  <c r="J13" i="9" s="1"/>
  <c r="K3" i="9"/>
  <c r="K6" i="9" s="1"/>
  <c r="C11" i="9"/>
  <c r="D10" i="9"/>
  <c r="D9" i="9"/>
  <c r="D8" i="9"/>
  <c r="E8" i="9" s="1"/>
  <c r="E11" i="9" s="1"/>
  <c r="D3" i="9"/>
  <c r="C4" i="9"/>
  <c r="C6" i="9" s="1"/>
  <c r="K13" i="9" l="1"/>
  <c r="H5" i="9"/>
  <c r="H4" i="9" s="1"/>
  <c r="H3" i="9" s="1"/>
  <c r="C13" i="9"/>
  <c r="D4" i="9"/>
  <c r="D6" i="9" s="1"/>
  <c r="D11" i="9" s="1"/>
  <c r="D13" i="9" s="1"/>
  <c r="E3" i="9"/>
  <c r="I121" i="3"/>
  <c r="H121" i="3"/>
  <c r="E6" i="9" l="1"/>
  <c r="I34" i="3"/>
  <c r="I25" i="3"/>
  <c r="I23" i="3"/>
  <c r="I21" i="3"/>
  <c r="I118" i="3"/>
  <c r="I117" i="3"/>
  <c r="I116" i="3"/>
  <c r="I113" i="3"/>
  <c r="I112" i="3"/>
  <c r="I106" i="3"/>
  <c r="I105" i="3"/>
  <c r="I104" i="3"/>
  <c r="I103" i="3"/>
  <c r="I102" i="3"/>
  <c r="I99" i="3"/>
  <c r="I36" i="3" s="1"/>
  <c r="I95" i="3"/>
  <c r="I94" i="3"/>
  <c r="I31" i="3" s="1"/>
  <c r="I92" i="3"/>
  <c r="I55" i="3"/>
  <c r="I6" i="3" s="1"/>
  <c r="I54" i="3"/>
  <c r="I53" i="3"/>
  <c r="I52" i="3"/>
  <c r="I51" i="3"/>
  <c r="I50" i="3"/>
  <c r="I49" i="3"/>
  <c r="I48" i="3"/>
  <c r="I7" i="3" s="1"/>
  <c r="I61" i="3"/>
  <c r="I60" i="3"/>
  <c r="I59" i="3"/>
  <c r="I65" i="3"/>
  <c r="I66" i="3" s="1"/>
  <c r="I70" i="3"/>
  <c r="I72" i="3" s="1"/>
  <c r="I69" i="3"/>
  <c r="I8" i="3"/>
  <c r="L7" i="3"/>
  <c r="L6" i="3"/>
  <c r="L4" i="3" s="1"/>
  <c r="AE52" i="8"/>
  <c r="AF47" i="8"/>
  <c r="AE47" i="8"/>
  <c r="W8" i="8"/>
  <c r="AE60" i="8"/>
  <c r="AA38" i="8"/>
  <c r="I88" i="3"/>
  <c r="I26" i="3" s="1"/>
  <c r="H88" i="3"/>
  <c r="I24" i="3"/>
  <c r="E13" i="9" l="1"/>
  <c r="B5" i="9"/>
  <c r="B4" i="9" s="1"/>
  <c r="B3" i="9" s="1"/>
  <c r="I62" i="3"/>
  <c r="I96" i="3"/>
  <c r="I56" i="3"/>
  <c r="I89" i="3"/>
  <c r="I19" i="3"/>
  <c r="H24" i="3"/>
  <c r="L62" i="3" l="1"/>
  <c r="L56" i="3"/>
  <c r="L66" i="3"/>
  <c r="L15" i="3" s="1"/>
  <c r="L40" i="3" l="1"/>
  <c r="M65" i="3"/>
  <c r="AF49" i="8" l="1"/>
  <c r="AH50" i="8"/>
  <c r="AH49" i="8"/>
  <c r="F37" i="3" l="1"/>
  <c r="G37" i="3"/>
  <c r="H37" i="3"/>
  <c r="H107" i="3"/>
  <c r="H122" i="3" l="1"/>
  <c r="I122" i="3"/>
  <c r="H108" i="3"/>
  <c r="I107" i="3"/>
  <c r="H39" i="3"/>
  <c r="AE51" i="8"/>
  <c r="AH51" i="8" s="1"/>
  <c r="AE50" i="8"/>
  <c r="AE49" i="8"/>
  <c r="AC48" i="8"/>
  <c r="AC47" i="8"/>
  <c r="AA16" i="8"/>
  <c r="AA14" i="8"/>
  <c r="AA12" i="8"/>
  <c r="I39" i="3" l="1"/>
  <c r="I40" i="3" s="1"/>
  <c r="I108" i="3"/>
  <c r="K18" i="8"/>
  <c r="K8" i="8"/>
  <c r="K7" i="8"/>
  <c r="Z5" i="8"/>
  <c r="Y5" i="8"/>
  <c r="X5" i="8"/>
  <c r="W5" i="8"/>
  <c r="V5" i="8"/>
  <c r="U5" i="8"/>
  <c r="T5" i="8"/>
  <c r="S5" i="8"/>
  <c r="R5" i="8"/>
  <c r="Q5" i="8"/>
  <c r="P5" i="8"/>
  <c r="O5" i="8"/>
  <c r="N5" i="8"/>
  <c r="L5" i="8"/>
  <c r="K5" i="8"/>
  <c r="K37" i="8"/>
  <c r="K36" i="8"/>
  <c r="K16" i="8"/>
  <c r="I14" i="8"/>
  <c r="I12" i="8"/>
  <c r="I34" i="8"/>
  <c r="G34" i="8"/>
  <c r="I33" i="8"/>
  <c r="G33" i="8"/>
  <c r="I32" i="8"/>
  <c r="G32" i="8"/>
  <c r="I31" i="8"/>
  <c r="G31" i="8"/>
  <c r="I30" i="8"/>
  <c r="G30" i="8"/>
  <c r="I29" i="8"/>
  <c r="G29" i="8"/>
  <c r="O38" i="8" l="1"/>
  <c r="AE53" i="8"/>
  <c r="V38" i="8"/>
  <c r="AF53" i="8"/>
  <c r="P29" i="8"/>
  <c r="T29" i="8"/>
  <c r="Q29" i="8"/>
  <c r="R29" i="8"/>
  <c r="S29" i="8"/>
  <c r="R31" i="8"/>
  <c r="T31" i="8"/>
  <c r="S31" i="8"/>
  <c r="W33" i="8"/>
  <c r="R33" i="8"/>
  <c r="T33" i="8"/>
  <c r="S33" i="8"/>
  <c r="P33" i="8"/>
  <c r="Q33" i="8"/>
  <c r="R30" i="8"/>
  <c r="S30" i="8"/>
  <c r="T30" i="8"/>
  <c r="R32" i="8"/>
  <c r="S32" i="8"/>
  <c r="T32" i="8"/>
  <c r="T34" i="8"/>
  <c r="R34" i="8"/>
  <c r="S34" i="8"/>
  <c r="W38" i="8"/>
  <c r="K1" i="8"/>
  <c r="I36" i="8"/>
  <c r="I37" i="8"/>
  <c r="I16" i="8"/>
  <c r="M33" i="8"/>
  <c r="M31" i="8"/>
  <c r="W31" i="8"/>
  <c r="N32" i="8"/>
  <c r="M30" i="8"/>
  <c r="W30" i="8"/>
  <c r="N31" i="8"/>
  <c r="W32" i="8"/>
  <c r="N33" i="8"/>
  <c r="N30" i="8"/>
  <c r="M32" i="8"/>
  <c r="W29" i="8"/>
  <c r="M29" i="8"/>
  <c r="M34" i="8"/>
  <c r="N29" i="8"/>
  <c r="N34" i="8"/>
  <c r="W34" i="8"/>
  <c r="AH53" i="8" l="1"/>
  <c r="M18" i="8"/>
  <c r="P24" i="8"/>
  <c r="Q24" i="8"/>
  <c r="M24" i="8"/>
  <c r="S18" i="8"/>
  <c r="S24" i="8"/>
  <c r="R24" i="8"/>
  <c r="Q18" i="8"/>
  <c r="N18" i="8"/>
  <c r="T18" i="8"/>
  <c r="I38" i="8"/>
  <c r="P18" i="8"/>
  <c r="R18" i="8"/>
  <c r="G35" i="8" l="1"/>
  <c r="T24" i="8"/>
  <c r="H89" i="3"/>
  <c r="G24" i="3" l="1"/>
  <c r="F32" i="3" l="1"/>
  <c r="H31" i="3"/>
  <c r="G32" i="3"/>
  <c r="G31" i="3"/>
  <c r="H6" i="3" l="1"/>
  <c r="N6" i="3" s="1"/>
  <c r="H10" i="3"/>
  <c r="G10" i="3"/>
  <c r="F10" i="3"/>
  <c r="I9" i="8" l="1"/>
  <c r="AE48" i="8" s="1"/>
  <c r="AH48" i="8" s="1"/>
  <c r="I5" i="8"/>
  <c r="H72" i="3"/>
  <c r="H17" i="3" s="1"/>
  <c r="M5" i="8" l="1"/>
  <c r="F66" i="3"/>
  <c r="F15" i="3" s="1"/>
  <c r="F38" i="3"/>
  <c r="F36" i="3"/>
  <c r="G38" i="3"/>
  <c r="G36" i="3"/>
  <c r="H38" i="3"/>
  <c r="H36" i="3"/>
  <c r="F31" i="3"/>
  <c r="F30" i="3"/>
  <c r="G30" i="3"/>
  <c r="F26" i="3"/>
  <c r="F25" i="3"/>
  <c r="F24" i="3"/>
  <c r="F23" i="3"/>
  <c r="F21" i="3"/>
  <c r="G26" i="3"/>
  <c r="G25" i="3"/>
  <c r="G23" i="3"/>
  <c r="G21" i="3"/>
  <c r="H21" i="3"/>
  <c r="H23" i="3"/>
  <c r="H25" i="3"/>
  <c r="F7" i="3"/>
  <c r="F6" i="3"/>
  <c r="G7" i="3"/>
  <c r="G6" i="3"/>
  <c r="H7" i="3"/>
  <c r="N7" i="3" s="1"/>
  <c r="G8" i="3"/>
  <c r="F8" i="3"/>
  <c r="H8" i="3"/>
  <c r="H11" i="3"/>
  <c r="G11" i="3"/>
  <c r="F11" i="3"/>
  <c r="H26" i="3"/>
  <c r="V23" i="8" s="1"/>
  <c r="G34" i="3"/>
  <c r="F34" i="3"/>
  <c r="F96" i="3"/>
  <c r="F28" i="3" s="1"/>
  <c r="H96" i="3"/>
  <c r="H28" i="3" s="1"/>
  <c r="G96" i="3"/>
  <c r="G28" i="3" s="1"/>
  <c r="F89" i="3"/>
  <c r="G89" i="3"/>
  <c r="G72" i="3"/>
  <c r="G17" i="3" s="1"/>
  <c r="F72" i="3"/>
  <c r="F17" i="3" s="1"/>
  <c r="H66" i="3"/>
  <c r="H15" i="3" s="1"/>
  <c r="N15" i="3" s="1"/>
  <c r="G66" i="3"/>
  <c r="G15" i="3" s="1"/>
  <c r="F62" i="3"/>
  <c r="G62" i="3" s="1"/>
  <c r="G13" i="3" s="1"/>
  <c r="H62" i="3"/>
  <c r="H13" i="3" s="1"/>
  <c r="F56" i="3"/>
  <c r="F4" i="3" s="1"/>
  <c r="G56" i="3"/>
  <c r="G4" i="3" s="1"/>
  <c r="H56" i="3"/>
  <c r="AF52" i="8" l="1"/>
  <c r="AH52" i="8" s="1"/>
  <c r="AF60" i="8"/>
  <c r="H34" i="3"/>
  <c r="G26" i="8"/>
  <c r="I26" i="8" s="1"/>
  <c r="G28" i="8"/>
  <c r="I28" i="8" s="1"/>
  <c r="W28" i="8" s="1"/>
  <c r="G27" i="8"/>
  <c r="I27" i="8" s="1"/>
  <c r="V27" i="8" s="1"/>
  <c r="I35" i="8"/>
  <c r="V35" i="8" s="1"/>
  <c r="V24" i="8" s="1"/>
  <c r="I8" i="8"/>
  <c r="G19" i="3"/>
  <c r="G40" i="3" s="1"/>
  <c r="F19" i="3"/>
  <c r="H19" i="3"/>
  <c r="H4" i="3"/>
  <c r="N4" i="3" s="1"/>
  <c r="G39" i="3"/>
  <c r="F39" i="3"/>
  <c r="F13" i="3"/>
  <c r="P10" i="8" l="1"/>
  <c r="P1" i="8" s="1"/>
  <c r="W24" i="8"/>
  <c r="W18" i="8"/>
  <c r="V18" i="8"/>
  <c r="AF28" i="8" s="1"/>
  <c r="AF33" i="8" s="1"/>
  <c r="O26" i="8"/>
  <c r="I18" i="8"/>
  <c r="F40" i="3"/>
  <c r="H40" i="3"/>
  <c r="O10" i="8" l="1"/>
  <c r="U10" i="8"/>
  <c r="L10" i="8"/>
  <c r="Z10" i="8"/>
  <c r="Z1" i="8" s="1"/>
  <c r="U24" i="8"/>
  <c r="Q10" i="8"/>
  <c r="Q1" i="8" s="1"/>
  <c r="S10" i="8"/>
  <c r="S1" i="8" s="1"/>
  <c r="N10" i="8"/>
  <c r="N1" i="8" s="1"/>
  <c r="X10" i="8"/>
  <c r="Y10" i="8"/>
  <c r="Y1" i="8" s="1"/>
  <c r="V10" i="8"/>
  <c r="V1" i="8" s="1"/>
  <c r="I7" i="8"/>
  <c r="O18" i="8"/>
  <c r="AE28" i="8" s="1"/>
  <c r="AE33" i="8" s="1"/>
  <c r="R10" i="8"/>
  <c r="R1" i="8" s="1"/>
  <c r="M10" i="8"/>
  <c r="M1" i="8" s="1"/>
  <c r="W10" i="8"/>
  <c r="W1" i="8" s="1"/>
  <c r="X1" i="8" l="1"/>
  <c r="AA10" i="8"/>
  <c r="T10" i="8"/>
  <c r="T1" i="8" s="1"/>
  <c r="AF55" i="8"/>
  <c r="AF63" i="8" s="1"/>
  <c r="L1" i="8"/>
  <c r="O24" i="8"/>
  <c r="AA24" i="8" s="1"/>
  <c r="AH60" i="8"/>
  <c r="U1" i="8"/>
  <c r="AA41" i="8" l="1"/>
  <c r="AE55" i="8"/>
  <c r="AE63" i="8" s="1"/>
  <c r="AH63" i="8" s="1"/>
  <c r="AH47" i="8"/>
  <c r="AH55" i="8" s="1"/>
  <c r="I3" i="8"/>
  <c r="O1" i="8"/>
  <c r="I1" i="8" s="1"/>
  <c r="I2" i="8" l="1"/>
</calcChain>
</file>

<file path=xl/sharedStrings.xml><?xml version="1.0" encoding="utf-8"?>
<sst xmlns="http://schemas.openxmlformats.org/spreadsheetml/2006/main" count="449" uniqueCount="193">
  <si>
    <t>84137 - Instalação RAID 7.0 Vanila</t>
  </si>
  <si>
    <t>Fornecedor</t>
  </si>
  <si>
    <t>Instalação Vanila Tráfego</t>
  </si>
  <si>
    <t>WEDO</t>
  </si>
  <si>
    <t>Instalação Vanila Integridade</t>
  </si>
  <si>
    <t>Instalação do Integration Module - IM</t>
  </si>
  <si>
    <t>HW IM</t>
  </si>
  <si>
    <t>INFRA</t>
  </si>
  <si>
    <t>HW IP + UC</t>
  </si>
  <si>
    <t>Gestão ( PMO )</t>
  </si>
  <si>
    <t>OI</t>
  </si>
  <si>
    <t>Construção JOBS Transmissão e OP</t>
  </si>
  <si>
    <t>Licenças Connect, Pelican, Control e etc.</t>
  </si>
  <si>
    <t>83882 - Volumetria R2 ( F+M )</t>
  </si>
  <si>
    <t>desenvolvimento WEDO</t>
  </si>
  <si>
    <t>suporte a testes (SFA, DETRAF, CPM e GENEVA )</t>
  </si>
  <si>
    <t>IBM</t>
  </si>
  <si>
    <t>suporte a testes ( mediação )</t>
  </si>
  <si>
    <t>83909 - Volumetria R1 ( M )</t>
  </si>
  <si>
    <t>Desenvolvimento SCF1</t>
  </si>
  <si>
    <t>Valor/hora WEDO</t>
  </si>
  <si>
    <t>desenvolvimento WEDO ( controles atuais )</t>
  </si>
  <si>
    <t>desenvolvimento WEDO ( pts )</t>
  </si>
  <si>
    <t>desenvolvimento WEDO ( 4 novos controles )</t>
  </si>
  <si>
    <t>Integração Informática ( controles atuais + novos )</t>
  </si>
  <si>
    <t>ACC</t>
  </si>
  <si>
    <t>Desenvolvimento ARBOR (dados de cadastro)</t>
  </si>
  <si>
    <t>Engenharia ( HLR Workstation)</t>
  </si>
  <si>
    <t>NOKIA</t>
  </si>
  <si>
    <t>Desenvolvimento SLB ( novos controles )</t>
  </si>
  <si>
    <t>Desenvolvimento SISRAF cadastro( novos controles )</t>
  </si>
  <si>
    <t>Testes Integrados</t>
  </si>
  <si>
    <t>Desenvolvimento WEDO ( controle CRMxREDE )</t>
  </si>
  <si>
    <t>Engenharia</t>
  </si>
  <si>
    <t>Desenvolvimento Central AXE/EWSD R2( MASC )</t>
  </si>
  <si>
    <t>Desenvolvimento WEDO ( controle CRMxFatura )</t>
  </si>
  <si>
    <t>Desenvolvimento WEDO ( Trafego Offnet )</t>
  </si>
  <si>
    <t>Infra para novas interfaces de fatura</t>
  </si>
  <si>
    <t>Desenvolvimento ARBOR ( dados de fatura )</t>
  </si>
  <si>
    <t>Desenvolvimento SFA ( dados de fatura)</t>
  </si>
  <si>
    <t>Testes integrados novas interfaces</t>
  </si>
  <si>
    <t>Instalação Tráfego + Integridade</t>
  </si>
  <si>
    <t>HW/Infra</t>
  </si>
  <si>
    <t>Serviços de instalação vanila (WEDO)</t>
  </si>
  <si>
    <t>Gestão PMO (15 meses)</t>
  </si>
  <si>
    <t>Instalação IM</t>
  </si>
  <si>
    <t>Serviços de instalação IM (WEDO)</t>
  </si>
  <si>
    <t>Migração e ajustes dos controles atuais</t>
  </si>
  <si>
    <t>Criação de 4 novos controles integridade (cadastro)</t>
  </si>
  <si>
    <t>Desenvolvimento WEDO (novos controles)</t>
  </si>
  <si>
    <t>Desenvolvimento interfaces(SAC/SFA/STC/SBL/ARB/SISRAF/INF)</t>
  </si>
  <si>
    <t>Novas interfaces e Controles CRMxREDE</t>
  </si>
  <si>
    <t>Novas interfaces e Controles CRMxFATURA</t>
  </si>
  <si>
    <t>Desenvolvimento (ARB/SAC/SFA/STC/INF)</t>
  </si>
  <si>
    <t>TOTAL</t>
  </si>
  <si>
    <t>TOTAL 84137</t>
  </si>
  <si>
    <t>TOTAL 83882</t>
  </si>
  <si>
    <t>TOTAL 83909</t>
  </si>
  <si>
    <t>TOTAL 83907</t>
  </si>
  <si>
    <t xml:space="preserve"> OUT/2013</t>
  </si>
  <si>
    <t xml:space="preserve"> DEZ/2013</t>
  </si>
  <si>
    <t>OG "as is"</t>
  </si>
  <si>
    <t>OG "as is"+ 4pts Sox</t>
  </si>
  <si>
    <t xml:space="preserve">ME (CSOL) </t>
  </si>
  <si>
    <t>Visão Detalhada</t>
  </si>
  <si>
    <t>84710 - PROJETO SINERGIA Oi-PT [RA]: R1/R2/R3 - Fixo e Móvel - Migração dos Controles Atuais de Integridade do RAID atual</t>
  </si>
  <si>
    <t>TOTAL 84710</t>
  </si>
  <si>
    <t>TOTAL 84711</t>
  </si>
  <si>
    <t>TOTAL 84728</t>
  </si>
  <si>
    <t>84711 - PROJETO SINERGIA Oi-PT [RA]: R1/R2/R3 - Fixo e Móvel - Migração dos Controles SOx de Integridade do RAID atual</t>
  </si>
  <si>
    <t>84728 - PROJETO SINERGIA Oi-PT [RA]: R1/R2/R3 - Fixo e Móvel - Criação de Interfaces e Controles Novos de Integridade no RAID</t>
  </si>
  <si>
    <t>Desenvolvimento Engenharia (HLR - NOKIA)</t>
  </si>
  <si>
    <t>TI</t>
  </si>
  <si>
    <t>Visão Resumida - PROJETO SINERGIA Oi-PT [RA]: R1/R2/R3 - Fixo e Móvel</t>
  </si>
  <si>
    <t>Desenvolvimento WEDO (controles + pts)</t>
  </si>
  <si>
    <t>Desenvolvimento STC cadastro ( novos controles )</t>
  </si>
  <si>
    <t>Mar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</si>
  <si>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</si>
  <si>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</si>
  <si>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</si>
  <si>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</si>
  <si>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</si>
  <si>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</si>
  <si>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</si>
  <si>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</si>
  <si>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</si>
  <si>
    <t>Fev</t>
  </si>
  <si>
    <t>Aprovação Financeira</t>
  </si>
  <si>
    <t>Migração de Dados para o RAID 7</t>
  </si>
  <si>
    <t xml:space="preserve">ME $ (CSOL) </t>
  </si>
  <si>
    <t xml:space="preserve">ME Prazo (CSOL) </t>
  </si>
  <si>
    <t xml:space="preserve">1 mês </t>
  </si>
  <si>
    <t>6 meses</t>
  </si>
  <si>
    <t>Desenvolvimento WEDO</t>
  </si>
  <si>
    <t>Desenvolvimento Central Tropico R1( SYS )</t>
  </si>
  <si>
    <t>Desenvolvimento Accenture (SYS/MASC)</t>
  </si>
  <si>
    <t>8 meses</t>
  </si>
  <si>
    <t>Desenvolvimento Engenharia(7IP)</t>
  </si>
  <si>
    <t>SBL</t>
  </si>
  <si>
    <t>STC</t>
  </si>
  <si>
    <t>SISRAF</t>
  </si>
  <si>
    <t>ARBOR R1</t>
  </si>
  <si>
    <t>INFORMÁTICA</t>
  </si>
  <si>
    <t>SAC / SFA / GENEVA</t>
  </si>
  <si>
    <r>
      <t xml:space="preserve">84728 -[Grupo IV] - Criação de Interf./Controles Novos de Integridade RAID </t>
    </r>
    <r>
      <rPr>
        <b/>
        <sz val="9"/>
        <color rgb="FFFF0000"/>
        <rFont val="Century Gothic"/>
        <family val="2"/>
      </rPr>
      <t>(Ñ FECHADO)</t>
    </r>
  </si>
  <si>
    <t>Abr</t>
  </si>
  <si>
    <t>SYS / MASC</t>
  </si>
  <si>
    <t>7 meses</t>
  </si>
  <si>
    <r>
      <t xml:space="preserve">83907 - Melhorias eCDR Legado </t>
    </r>
    <r>
      <rPr>
        <b/>
        <sz val="11"/>
        <color rgb="FFFF0000"/>
        <rFont val="Calibri"/>
        <family val="2"/>
        <scheme val="minor"/>
      </rPr>
      <t xml:space="preserve"> ( migração RAID 7)</t>
    </r>
  </si>
  <si>
    <t>83907 - Melhorias eCDR Legado (com migração para RAID 7)</t>
  </si>
  <si>
    <t xml:space="preserve">84710 - [GRUPO 1 e 2] - Migração dos Controles Atuais de Integridade do RAID </t>
  </si>
  <si>
    <t xml:space="preserve">84711 - [GRUPO 3] - Migração dos Controles SOx de Integridade do RAID atual </t>
  </si>
  <si>
    <t>Desenvolvimento SAC cadastro( novos controles )</t>
  </si>
  <si>
    <t>Desenvolvimento SFA cadastro( novos controles )</t>
  </si>
  <si>
    <t>Desenvolvimento GENEVA cadastro( novos controles )</t>
  </si>
  <si>
    <t>Desenvolvimento SISRAF (dados de fatura)</t>
  </si>
  <si>
    <t>Infra</t>
  </si>
  <si>
    <t>PMO</t>
  </si>
  <si>
    <t>Final Mai/14</t>
  </si>
  <si>
    <t>1 mês</t>
  </si>
  <si>
    <t>STI</t>
  </si>
  <si>
    <t>Milestone Desembolso</t>
  </si>
  <si>
    <t>Vanila</t>
  </si>
  <si>
    <t>Aprovação Fin (30%)</t>
  </si>
  <si>
    <t>Volumetria R2 ( F+M )</t>
  </si>
  <si>
    <t>PRD (30%)</t>
  </si>
  <si>
    <t>Pós PRD (40%)</t>
  </si>
  <si>
    <t>Custo Total da OG/Forn</t>
  </si>
  <si>
    <r>
      <t xml:space="preserve">Período </t>
    </r>
    <r>
      <rPr>
        <b/>
        <sz val="9"/>
        <color rgb="FFFF0000"/>
        <rFont val="Calibri"/>
        <family val="2"/>
        <scheme val="minor"/>
      </rPr>
      <t>OG</t>
    </r>
  </si>
  <si>
    <r>
      <t xml:space="preserve">Custo Total </t>
    </r>
    <r>
      <rPr>
        <b/>
        <sz val="9"/>
        <color rgb="FFFF0000"/>
        <rFont val="Calibri"/>
        <family val="2"/>
        <scheme val="minor"/>
      </rPr>
      <t>OG</t>
    </r>
  </si>
  <si>
    <t>Tráfego ARBOR</t>
  </si>
  <si>
    <t>Integridade - GRUPO 1 e 2</t>
  </si>
  <si>
    <t>Sistema</t>
  </si>
  <si>
    <t>RAID</t>
  </si>
  <si>
    <t>Accenture</t>
  </si>
  <si>
    <t>8 meses (Baseline)</t>
  </si>
  <si>
    <t>6 meses (Baseline)</t>
  </si>
  <si>
    <t>IBM / Accenture</t>
  </si>
  <si>
    <t>Priorizado?</t>
  </si>
  <si>
    <t>Não</t>
  </si>
  <si>
    <t>Sim</t>
  </si>
  <si>
    <t>Aprv. Fin. Jul/14</t>
  </si>
  <si>
    <t>Total 2014</t>
  </si>
  <si>
    <t>Total 2015</t>
  </si>
  <si>
    <t>Atenção: A projeção abaixo é baseada em Ogs de prazo e custo</t>
  </si>
  <si>
    <t>Descrição</t>
  </si>
  <si>
    <t xml:space="preserve">TOTAL </t>
  </si>
  <si>
    <t>TI (IBM/ACC)</t>
  </si>
  <si>
    <t>HW/Infra STI 84200</t>
  </si>
  <si>
    <t>STI 84137 e 84200
Vanila e Infra</t>
  </si>
  <si>
    <t>STI 83882 
Volumetria R2 ( F+M )</t>
  </si>
  <si>
    <t>STI 83909 
Tráfego ARBOR</t>
  </si>
  <si>
    <t>STI Tráfego ECDR</t>
  </si>
  <si>
    <t>STI 84710
Integridade - Grupos
 1 e 2</t>
  </si>
  <si>
    <t>STI 84711
Integridade - Grupo 3</t>
  </si>
  <si>
    <t>Totais</t>
  </si>
  <si>
    <t>Integridade - Grupos 1 e 2</t>
  </si>
  <si>
    <t>TOTAL GERAL</t>
  </si>
  <si>
    <t>STI não priorizado</t>
  </si>
  <si>
    <t>STIs priorizados</t>
  </si>
  <si>
    <t>Informática</t>
  </si>
  <si>
    <t>Desenvolvimento ARBOR ( dados de No Bill)</t>
  </si>
  <si>
    <t>Total</t>
  </si>
  <si>
    <t>Engenharia (7IP )      - R$ 250.000</t>
  </si>
  <si>
    <t xml:space="preserve"> Abr/2014</t>
  </si>
  <si>
    <t>Proposta Comercial</t>
  </si>
  <si>
    <t>Integração Informática ( consolidação ARBOR)</t>
  </si>
  <si>
    <t>ME (CDSOL)</t>
  </si>
  <si>
    <t>ME $ (CSOL) - Solução ARBOR Arquitetura</t>
  </si>
  <si>
    <t>Integridade - Grupo 3</t>
  </si>
  <si>
    <t>Variação</t>
  </si>
  <si>
    <t>Custo Final</t>
  </si>
  <si>
    <t>Maio/14 Sol. Arquitetura</t>
  </si>
  <si>
    <t>Informática para tratamento feed file</t>
  </si>
  <si>
    <t>Desenvolvimento ARBOR (arquivo final RAID)</t>
  </si>
  <si>
    <t>Desenvolvimento ARBOR ( Informações feed file )</t>
  </si>
  <si>
    <t>TBD</t>
  </si>
  <si>
    <t>AS-IS</t>
  </si>
  <si>
    <t>AS-IS MARGEM</t>
  </si>
  <si>
    <t>DASHBOARD MARGEM</t>
  </si>
  <si>
    <t>GESTÃO</t>
  </si>
  <si>
    <t>Pós-Produção</t>
  </si>
  <si>
    <t>FUNCIONALIDADES</t>
  </si>
  <si>
    <t>H/H</t>
  </si>
  <si>
    <t>R$</t>
  </si>
  <si>
    <t>MIGRAÇÃO AS-IS</t>
  </si>
  <si>
    <t>NOVAS FUNCIONALIDADES</t>
  </si>
  <si>
    <t>TOTAL NOVAS FUNCIONALIDADES</t>
  </si>
  <si>
    <t>BALDE AGING</t>
  </si>
  <si>
    <t>CONCILIAÇÃO DE CDR (Carga + Consultas)</t>
  </si>
  <si>
    <t>CUSTO R$</t>
  </si>
  <si>
    <t>N/A</t>
  </si>
  <si>
    <t>ME CSOL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</si>
</sst>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R$&quot;\ #,##0;\-&quot;R$&quot;\ #,##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[$-416]d\-mmm;@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Century Gothic"/>
      <family val="2"/>
    </font>
    <font>
      <b/>
      <sz val="9"/>
      <color theme="1"/>
      <name val="Century Gothic"/>
      <family val="2"/>
    </font>
    <font>
      <sz val="9"/>
      <color rgb="FF002060"/>
      <name val="Century Gothic"/>
      <family val="2"/>
    </font>
    <font>
      <i/>
      <sz val="9"/>
      <color theme="1"/>
      <name val="Century Gothic"/>
      <family val="2"/>
    </font>
    <font>
      <i/>
      <sz val="9"/>
      <name val="Century Gothic"/>
      <family val="2"/>
    </font>
    <font>
      <sz val="9"/>
      <color theme="1"/>
      <name val="Century Gothic"/>
      <family val="2"/>
    </font>
    <font>
      <b/>
      <sz val="9"/>
      <color rgb="FFFF0000"/>
      <name val="Century Gothic"/>
      <family val="2"/>
    </font>
    <font>
      <i/>
      <sz val="9"/>
      <color rgb="FFFF0000"/>
      <name val="Century Gothic"/>
      <family val="2"/>
    </font>
    <font>
      <b/>
      <sz val="16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FFFF00"/>
      <name val="Century Gothic"/>
      <family val="2"/>
    </font>
    <font>
      <sz val="9"/>
      <name val="Century Gothic"/>
      <family val="2"/>
    </font>
    <font>
      <sz val="9"/>
      <color rgb="FFFF0000"/>
      <name val="Century Gothic"/>
      <family val="2"/>
    </font>
    <font>
      <b/>
      <sz val="11"/>
      <color rgb="FF0070C0"/>
      <name val="Century Gothic"/>
      <family val="2"/>
    </font>
    <font>
      <b/>
      <sz val="9"/>
      <color theme="4" tint="-0.499984740745262"/>
      <name val="Century Gothic"/>
      <family val="2"/>
    </font>
    <font>
      <b/>
      <sz val="11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FFFF00"/>
      <name val="Calibri"/>
      <family val="2"/>
      <scheme val="minor"/>
    </font>
    <font>
      <b/>
      <sz val="9"/>
      <color rgb="FFFFFF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name val="Century Gothic"/>
      <family val="2"/>
    </font>
    <font>
      <b/>
      <sz val="14"/>
      <color rgb="FF00B050"/>
      <name val="Century Gothic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darkUp">
        <bgColor theme="6" tint="0.59999389629810485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-0.249977111117893"/>
      </left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indexed="64"/>
      </right>
      <top/>
      <bottom style="dotted">
        <color indexed="64"/>
      </bottom>
      <diagonal/>
    </border>
    <border>
      <left style="thin">
        <color theme="9" tint="-0.249977111117893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/>
      <top style="dotted">
        <color indexed="64"/>
      </top>
      <bottom/>
      <diagonal/>
    </border>
    <border>
      <left style="thin">
        <color theme="9" tint="-0.249977111117893"/>
      </left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dotted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dotted">
        <color indexed="64"/>
      </bottom>
      <diagonal/>
    </border>
    <border>
      <left style="thin">
        <color theme="9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165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165" fontId="0" fillId="0" borderId="0" xfId="0"/>
    <xf numFmtId="165" fontId="0" fillId="0" borderId="0" xfId="0"/>
    <xf numFmtId="165" fontId="0" fillId="0" borderId="0" xfId="0" applyBorder="1"/>
    <xf numFmtId="165" fontId="0" fillId="3" borderId="0" xfId="0" applyFill="1" applyBorder="1"/>
    <xf numFmtId="165" fontId="0" fillId="3" borderId="3" xfId="0" applyFill="1" applyBorder="1"/>
    <xf numFmtId="165" fontId="0" fillId="3" borderId="4" xfId="0" applyFill="1" applyBorder="1"/>
    <xf numFmtId="165" fontId="0" fillId="3" borderId="5" xfId="0" applyFill="1" applyBorder="1"/>
    <xf numFmtId="165" fontId="0" fillId="3" borderId="0" xfId="0" applyFill="1"/>
    <xf numFmtId="44" fontId="0" fillId="3" borderId="0" xfId="1" applyFont="1" applyFill="1"/>
    <xf numFmtId="9" fontId="0" fillId="0" borderId="0" xfId="0" applyNumberFormat="1"/>
    <xf numFmtId="9" fontId="0" fillId="0" borderId="0" xfId="0" applyNumberFormat="1" applyFill="1" applyBorder="1"/>
    <xf numFmtId="165" fontId="0" fillId="0" borderId="0" xfId="0"/>
    <xf numFmtId="165" fontId="0" fillId="0" borderId="0" xfId="0" applyBorder="1"/>
    <xf numFmtId="165" fontId="0" fillId="3" borderId="0" xfId="0" applyFill="1" applyBorder="1"/>
    <xf numFmtId="44" fontId="0" fillId="3" borderId="0" xfId="1" applyFont="1" applyFill="1" applyBorder="1"/>
    <xf numFmtId="165" fontId="0" fillId="3" borderId="3" xfId="0" applyFill="1" applyBorder="1"/>
    <xf numFmtId="165" fontId="0" fillId="3" borderId="4" xfId="0" applyFill="1" applyBorder="1"/>
    <xf numFmtId="165" fontId="0" fillId="3" borderId="5" xfId="0" applyFill="1" applyBorder="1"/>
    <xf numFmtId="165" fontId="0" fillId="3" borderId="0" xfId="0" applyFill="1"/>
    <xf numFmtId="165" fontId="0" fillId="0" borderId="3" xfId="0" applyBorder="1"/>
    <xf numFmtId="165" fontId="0" fillId="0" borderId="4" xfId="0" applyBorder="1"/>
    <xf numFmtId="165" fontId="0" fillId="0" borderId="5" xfId="0" applyBorder="1"/>
    <xf numFmtId="165" fontId="4" fillId="3" borderId="0" xfId="0" applyFont="1" applyFill="1" applyBorder="1"/>
    <xf numFmtId="165" fontId="0" fillId="0" borderId="0" xfId="0" applyFill="1" applyBorder="1"/>
    <xf numFmtId="165" fontId="4" fillId="4" borderId="4" xfId="0" applyFont="1" applyFill="1" applyBorder="1"/>
    <xf numFmtId="165" fontId="0" fillId="4" borderId="5" xfId="0" applyFill="1" applyBorder="1"/>
    <xf numFmtId="165" fontId="0" fillId="3" borderId="1" xfId="0" applyFill="1" applyBorder="1"/>
    <xf numFmtId="165" fontId="0" fillId="3" borderId="2" xfId="0" applyFill="1" applyBorder="1"/>
    <xf numFmtId="165" fontId="4" fillId="4" borderId="6" xfId="0" applyFont="1" applyFill="1" applyBorder="1"/>
    <xf numFmtId="165" fontId="0" fillId="4" borderId="7" xfId="0" applyFill="1" applyBorder="1"/>
    <xf numFmtId="164" fontId="0" fillId="3" borderId="9" xfId="1" applyNumberFormat="1" applyFont="1" applyFill="1" applyBorder="1"/>
    <xf numFmtId="164" fontId="0" fillId="3" borderId="10" xfId="1" applyNumberFormat="1" applyFont="1" applyFill="1" applyBorder="1"/>
    <xf numFmtId="164" fontId="0" fillId="3" borderId="11" xfId="1" applyNumberFormat="1" applyFont="1" applyFill="1" applyBorder="1"/>
    <xf numFmtId="164" fontId="4" fillId="4" borderId="11" xfId="1" applyNumberFormat="1" applyFont="1" applyFill="1" applyBorder="1"/>
    <xf numFmtId="164" fontId="0" fillId="3" borderId="13" xfId="1" applyNumberFormat="1" applyFont="1" applyFill="1" applyBorder="1"/>
    <xf numFmtId="164" fontId="0" fillId="3" borderId="14" xfId="1" applyNumberFormat="1" applyFont="1" applyFill="1" applyBorder="1"/>
    <xf numFmtId="164" fontId="0" fillId="3" borderId="14" xfId="1" applyNumberFormat="1" applyFont="1" applyFill="1" applyBorder="1" applyAlignment="1">
      <alignment horizontal="right"/>
    </xf>
    <xf numFmtId="164" fontId="0" fillId="3" borderId="15" xfId="1" applyNumberFormat="1" applyFont="1" applyFill="1" applyBorder="1"/>
    <xf numFmtId="164" fontId="4" fillId="4" borderId="15" xfId="1" applyNumberFormat="1" applyFont="1" applyFill="1" applyBorder="1"/>
    <xf numFmtId="164" fontId="0" fillId="3" borderId="17" xfId="1" applyNumberFormat="1" applyFont="1" applyFill="1" applyBorder="1"/>
    <xf numFmtId="164" fontId="0" fillId="3" borderId="18" xfId="1" applyNumberFormat="1" applyFont="1" applyFill="1" applyBorder="1"/>
    <xf numFmtId="164" fontId="0" fillId="3" borderId="19" xfId="1" applyNumberFormat="1" applyFont="1" applyFill="1" applyBorder="1"/>
    <xf numFmtId="164" fontId="4" fillId="4" borderId="19" xfId="1" applyNumberFormat="1" applyFont="1" applyFill="1" applyBorder="1"/>
    <xf numFmtId="164" fontId="4" fillId="4" borderId="8" xfId="1" applyNumberFormat="1" applyFont="1" applyFill="1" applyBorder="1"/>
    <xf numFmtId="164" fontId="4" fillId="4" borderId="12" xfId="1" applyNumberFormat="1" applyFont="1" applyFill="1" applyBorder="1"/>
    <xf numFmtId="164" fontId="4" fillId="4" borderId="16" xfId="1" applyNumberFormat="1" applyFont="1" applyFill="1" applyBorder="1"/>
    <xf numFmtId="164" fontId="0" fillId="3" borderId="8" xfId="1" applyNumberFormat="1" applyFont="1" applyFill="1" applyBorder="1"/>
    <xf numFmtId="164" fontId="0" fillId="3" borderId="12" xfId="1" applyNumberFormat="1" applyFont="1" applyFill="1" applyBorder="1"/>
    <xf numFmtId="164" fontId="0" fillId="3" borderId="16" xfId="1" applyNumberFormat="1" applyFont="1" applyFill="1" applyBorder="1"/>
    <xf numFmtId="165" fontId="0" fillId="7" borderId="3" xfId="0" applyFill="1" applyBorder="1"/>
    <xf numFmtId="165" fontId="0" fillId="7" borderId="0" xfId="0" applyFill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3" fillId="7" borderId="10" xfId="1" applyNumberFormat="1" applyFont="1" applyFill="1" applyBorder="1"/>
    <xf numFmtId="164" fontId="0" fillId="0" borderId="14" xfId="1" applyNumberFormat="1" applyFont="1" applyBorder="1"/>
    <xf numFmtId="164" fontId="3" fillId="7" borderId="14" xfId="1" applyNumberFormat="1" applyFont="1" applyFill="1" applyBorder="1"/>
    <xf numFmtId="164" fontId="0" fillId="0" borderId="13" xfId="1" applyNumberFormat="1" applyFont="1" applyBorder="1"/>
    <xf numFmtId="164" fontId="0" fillId="0" borderId="11" xfId="1" applyNumberFormat="1" applyFont="1" applyBorder="1"/>
    <xf numFmtId="164" fontId="0" fillId="0" borderId="15" xfId="1" applyNumberFormat="1" applyFont="1" applyBorder="1"/>
    <xf numFmtId="165" fontId="4" fillId="4" borderId="7" xfId="0" applyFont="1" applyFill="1" applyBorder="1"/>
    <xf numFmtId="44" fontId="4" fillId="4" borderId="16" xfId="1" applyFont="1" applyFill="1" applyBorder="1"/>
    <xf numFmtId="44" fontId="4" fillId="4" borderId="8" xfId="1" applyFont="1" applyFill="1" applyBorder="1"/>
    <xf numFmtId="165" fontId="4" fillId="9" borderId="16" xfId="0" applyFont="1" applyFill="1" applyBorder="1" applyAlignment="1">
      <alignment horizontal="center"/>
    </xf>
    <xf numFmtId="165" fontId="4" fillId="9" borderId="8" xfId="0" applyFont="1" applyFill="1" applyBorder="1" applyAlignment="1">
      <alignment horizontal="center"/>
    </xf>
    <xf numFmtId="165" fontId="4" fillId="9" borderId="12" xfId="0" applyFont="1" applyFill="1" applyBorder="1" applyAlignment="1">
      <alignment horizontal="center"/>
    </xf>
    <xf numFmtId="165" fontId="4" fillId="9" borderId="6" xfId="0" applyFont="1" applyFill="1" applyBorder="1"/>
    <xf numFmtId="165" fontId="4" fillId="9" borderId="7" xfId="0" applyFont="1" applyFill="1" applyBorder="1"/>
    <xf numFmtId="17" fontId="2" fillId="11" borderId="4" xfId="0" applyNumberFormat="1" applyFont="1" applyFill="1" applyBorder="1" applyAlignment="1">
      <alignment horizontal="center"/>
    </xf>
    <xf numFmtId="17" fontId="2" fillId="11" borderId="11" xfId="0" applyNumberFormat="1" applyFont="1" applyFill="1" applyBorder="1" applyAlignment="1">
      <alignment horizontal="center"/>
    </xf>
    <xf numFmtId="17" fontId="2" fillId="11" borderId="15" xfId="0" applyNumberFormat="1" applyFont="1" applyFill="1" applyBorder="1" applyAlignment="1">
      <alignment horizontal="center"/>
    </xf>
    <xf numFmtId="17" fontId="2" fillId="3" borderId="0" xfId="0" applyNumberFormat="1" applyFont="1" applyFill="1" applyBorder="1" applyAlignment="1">
      <alignment horizontal="center"/>
    </xf>
    <xf numFmtId="165" fontId="4" fillId="9" borderId="7" xfId="0" applyFont="1" applyFill="1" applyBorder="1" applyAlignment="1">
      <alignment vertical="center"/>
    </xf>
    <xf numFmtId="165" fontId="0" fillId="0" borderId="0" xfId="0"/>
    <xf numFmtId="165" fontId="0" fillId="0" borderId="0" xfId="0" applyBorder="1"/>
    <xf numFmtId="165" fontId="0" fillId="3" borderId="0" xfId="0" applyFill="1" applyBorder="1"/>
    <xf numFmtId="165" fontId="0" fillId="3" borderId="5" xfId="0" applyFill="1" applyBorder="1"/>
    <xf numFmtId="165" fontId="0" fillId="3" borderId="0" xfId="0" applyFill="1"/>
    <xf numFmtId="165" fontId="0" fillId="0" borderId="5" xfId="0" applyBorder="1"/>
    <xf numFmtId="165" fontId="4" fillId="3" borderId="0" xfId="0" applyFont="1" applyFill="1" applyBorder="1"/>
    <xf numFmtId="44" fontId="0" fillId="0" borderId="0" xfId="1" applyFont="1"/>
    <xf numFmtId="165" fontId="4" fillId="9" borderId="16" xfId="0" applyFont="1" applyFill="1" applyBorder="1" applyAlignment="1">
      <alignment horizontal="center" vertical="center"/>
    </xf>
    <xf numFmtId="165" fontId="4" fillId="9" borderId="8" xfId="0" applyFont="1" applyFill="1" applyBorder="1" applyAlignment="1">
      <alignment horizontal="center" vertical="center"/>
    </xf>
    <xf numFmtId="165" fontId="4" fillId="9" borderId="12" xfId="0" applyFont="1" applyFill="1" applyBorder="1" applyAlignment="1">
      <alignment horizontal="center" vertical="center"/>
    </xf>
    <xf numFmtId="165" fontId="4" fillId="4" borderId="5" xfId="0" applyFont="1" applyFill="1" applyBorder="1"/>
    <xf numFmtId="17" fontId="6" fillId="11" borderId="6" xfId="0" applyNumberFormat="1" applyFont="1" applyFill="1" applyBorder="1" applyAlignment="1">
      <alignment horizontal="center"/>
    </xf>
    <xf numFmtId="17" fontId="6" fillId="11" borderId="8" xfId="0" applyNumberFormat="1" applyFont="1" applyFill="1" applyBorder="1" applyAlignment="1">
      <alignment horizontal="center"/>
    </xf>
    <xf numFmtId="17" fontId="6" fillId="11" borderId="12" xfId="0" applyNumberFormat="1" applyFont="1" applyFill="1" applyBorder="1" applyAlignment="1">
      <alignment horizontal="center"/>
    </xf>
    <xf numFmtId="165" fontId="7" fillId="9" borderId="16" xfId="0" applyFont="1" applyFill="1" applyBorder="1" applyAlignment="1">
      <alignment horizontal="center"/>
    </xf>
    <xf numFmtId="165" fontId="7" fillId="9" borderId="8" xfId="0" applyFont="1" applyFill="1" applyBorder="1" applyAlignment="1">
      <alignment horizontal="center"/>
    </xf>
    <xf numFmtId="165" fontId="7" fillId="9" borderId="12" xfId="0" applyFont="1" applyFill="1" applyBorder="1" applyAlignment="1">
      <alignment horizontal="center"/>
    </xf>
    <xf numFmtId="165" fontId="6" fillId="6" borderId="20" xfId="0" applyFont="1" applyFill="1" applyBorder="1"/>
    <xf numFmtId="165" fontId="6" fillId="6" borderId="21" xfId="0" applyFont="1" applyFill="1" applyBorder="1"/>
    <xf numFmtId="164" fontId="6" fillId="6" borderId="29" xfId="0" applyNumberFormat="1" applyFont="1" applyFill="1" applyBorder="1" applyAlignment="1">
      <alignment horizontal="center"/>
    </xf>
    <xf numFmtId="165" fontId="7" fillId="10" borderId="24" xfId="0" applyFont="1" applyFill="1" applyBorder="1"/>
    <xf numFmtId="165" fontId="7" fillId="10" borderId="25" xfId="0" applyFont="1" applyFill="1" applyBorder="1"/>
    <xf numFmtId="165" fontId="7" fillId="10" borderId="31" xfId="0" applyFont="1" applyFill="1" applyBorder="1"/>
    <xf numFmtId="164" fontId="8" fillId="2" borderId="31" xfId="0" applyNumberFormat="1" applyFont="1" applyFill="1" applyBorder="1" applyAlignment="1">
      <alignment horizontal="center"/>
    </xf>
    <xf numFmtId="164" fontId="8" fillId="2" borderId="27" xfId="0" applyNumberFormat="1" applyFont="1" applyFill="1" applyBorder="1" applyAlignment="1">
      <alignment horizontal="center"/>
    </xf>
    <xf numFmtId="165" fontId="11" fillId="10" borderId="25" xfId="0" applyFont="1" applyFill="1" applyBorder="1"/>
    <xf numFmtId="165" fontId="7" fillId="3" borderId="24" xfId="0" applyFont="1" applyFill="1" applyBorder="1"/>
    <xf numFmtId="165" fontId="7" fillId="3" borderId="25" xfId="0" applyFont="1" applyFill="1" applyBorder="1"/>
    <xf numFmtId="165" fontId="11" fillId="3" borderId="25" xfId="0" applyFont="1" applyFill="1" applyBorder="1"/>
    <xf numFmtId="165" fontId="7" fillId="3" borderId="31" xfId="0" applyFont="1" applyFill="1" applyBorder="1"/>
    <xf numFmtId="164" fontId="9" fillId="3" borderId="31" xfId="0" applyNumberFormat="1" applyFont="1" applyFill="1" applyBorder="1" applyAlignment="1">
      <alignment horizontal="center"/>
    </xf>
    <xf numFmtId="165" fontId="6" fillId="6" borderId="22" xfId="0" applyFont="1" applyFill="1" applyBorder="1"/>
    <xf numFmtId="165" fontId="6" fillId="6" borderId="23" xfId="0" applyFont="1" applyFill="1" applyBorder="1"/>
    <xf numFmtId="165" fontId="6" fillId="6" borderId="30" xfId="0" applyFont="1" applyFill="1" applyBorder="1"/>
    <xf numFmtId="164" fontId="6" fillId="6" borderId="30" xfId="0" applyNumberFormat="1" applyFont="1" applyFill="1" applyBorder="1" applyAlignment="1">
      <alignment horizontal="center"/>
    </xf>
    <xf numFmtId="164" fontId="6" fillId="6" borderId="26" xfId="0" applyNumberFormat="1" applyFont="1" applyFill="1" applyBorder="1" applyAlignment="1">
      <alignment horizontal="center"/>
    </xf>
    <xf numFmtId="165" fontId="6" fillId="3" borderId="22" xfId="0" applyFont="1" applyFill="1" applyBorder="1"/>
    <xf numFmtId="165" fontId="6" fillId="3" borderId="23" xfId="0" applyFont="1" applyFill="1" applyBorder="1"/>
    <xf numFmtId="165" fontId="6" fillId="3" borderId="30" xfId="0" applyFont="1" applyFill="1" applyBorder="1"/>
    <xf numFmtId="164" fontId="6" fillId="3" borderId="30" xfId="0" applyNumberFormat="1" applyFont="1" applyFill="1" applyBorder="1" applyAlignment="1">
      <alignment horizontal="center"/>
    </xf>
    <xf numFmtId="164" fontId="6" fillId="3" borderId="26" xfId="0" applyNumberFormat="1" applyFont="1" applyFill="1" applyBorder="1" applyAlignment="1">
      <alignment horizontal="center"/>
    </xf>
    <xf numFmtId="165" fontId="7" fillId="12" borderId="22" xfId="0" applyFont="1" applyFill="1" applyBorder="1"/>
    <xf numFmtId="165" fontId="7" fillId="12" borderId="23" xfId="0" applyFont="1" applyFill="1" applyBorder="1"/>
    <xf numFmtId="165" fontId="7" fillId="12" borderId="30" xfId="0" applyFont="1" applyFill="1" applyBorder="1"/>
    <xf numFmtId="164" fontId="10" fillId="2" borderId="26" xfId="0" applyNumberFormat="1" applyFont="1" applyFill="1" applyBorder="1" applyAlignment="1">
      <alignment horizontal="center"/>
    </xf>
    <xf numFmtId="165" fontId="9" fillId="12" borderId="23" xfId="0" applyFont="1" applyFill="1" applyBorder="1"/>
    <xf numFmtId="165" fontId="7" fillId="3" borderId="22" xfId="0" applyFont="1" applyFill="1" applyBorder="1"/>
    <xf numFmtId="165" fontId="7" fillId="3" borderId="23" xfId="0" applyFont="1" applyFill="1" applyBorder="1"/>
    <xf numFmtId="165" fontId="9" fillId="3" borderId="23" xfId="0" applyFont="1" applyFill="1" applyBorder="1"/>
    <xf numFmtId="165" fontId="7" fillId="3" borderId="30" xfId="0" applyFont="1" applyFill="1" applyBorder="1"/>
    <xf numFmtId="164" fontId="8" fillId="3" borderId="30" xfId="0" applyNumberFormat="1" applyFont="1" applyFill="1" applyBorder="1" applyAlignment="1">
      <alignment horizontal="center"/>
    </xf>
    <xf numFmtId="164" fontId="8" fillId="3" borderId="26" xfId="0" applyNumberFormat="1" applyFont="1" applyFill="1" applyBorder="1" applyAlignment="1">
      <alignment horizontal="center"/>
    </xf>
    <xf numFmtId="165" fontId="7" fillId="3" borderId="3" xfId="0" applyFont="1" applyFill="1" applyBorder="1"/>
    <xf numFmtId="165" fontId="7" fillId="3" borderId="0" xfId="0" applyFont="1" applyFill="1" applyBorder="1"/>
    <xf numFmtId="165" fontId="7" fillId="3" borderId="32" xfId="0" applyFont="1" applyFill="1" applyBorder="1"/>
    <xf numFmtId="44" fontId="8" fillId="3" borderId="32" xfId="0" applyNumberFormat="1" applyFont="1" applyFill="1" applyBorder="1" applyAlignment="1">
      <alignment horizontal="center"/>
    </xf>
    <xf numFmtId="44" fontId="8" fillId="3" borderId="33" xfId="0" applyNumberFormat="1" applyFont="1" applyFill="1" applyBorder="1" applyAlignment="1">
      <alignment horizontal="center"/>
    </xf>
    <xf numFmtId="164" fontId="6" fillId="6" borderId="35" xfId="0" applyNumberFormat="1" applyFont="1" applyFill="1" applyBorder="1" applyAlignment="1">
      <alignment horizontal="center"/>
    </xf>
    <xf numFmtId="165" fontId="7" fillId="12" borderId="3" xfId="0" applyFont="1" applyFill="1" applyBorder="1"/>
    <xf numFmtId="165" fontId="7" fillId="12" borderId="0" xfId="0" applyFont="1" applyFill="1" applyBorder="1"/>
    <xf numFmtId="165" fontId="7" fillId="12" borderId="32" xfId="0" applyFont="1" applyFill="1" applyBorder="1"/>
    <xf numFmtId="44" fontId="8" fillId="2" borderId="0" xfId="0" applyNumberFormat="1" applyFont="1" applyFill="1" applyBorder="1" applyAlignment="1">
      <alignment horizontal="center"/>
    </xf>
    <xf numFmtId="44" fontId="8" fillId="2" borderId="34" xfId="0" applyNumberFormat="1" applyFont="1" applyFill="1" applyBorder="1" applyAlignment="1">
      <alignment horizontal="center"/>
    </xf>
    <xf numFmtId="165" fontId="14" fillId="0" borderId="0" xfId="0" applyFont="1"/>
    <xf numFmtId="165" fontId="5" fillId="5" borderId="0" xfId="0" applyFont="1" applyFill="1" applyBorder="1"/>
    <xf numFmtId="17" fontId="5" fillId="5" borderId="0" xfId="0" applyNumberFormat="1" applyFont="1" applyFill="1" applyBorder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wrapText="1"/>
    </xf>
    <xf numFmtId="165" fontId="0" fillId="0" borderId="0" xfId="0" applyBorder="1" applyAlignment="1">
      <alignment vertical="center"/>
    </xf>
    <xf numFmtId="165" fontId="0" fillId="0" borderId="0" xfId="0" applyFill="1" applyBorder="1" applyAlignment="1">
      <alignment vertical="center"/>
    </xf>
    <xf numFmtId="164" fontId="0" fillId="3" borderId="10" xfId="1" applyNumberFormat="1" applyFont="1" applyFill="1" applyBorder="1" applyAlignment="1">
      <alignment vertical="center"/>
    </xf>
    <xf numFmtId="164" fontId="9" fillId="3" borderId="0" xfId="0" applyNumberFormat="1" applyFont="1" applyFill="1" applyBorder="1" applyAlignment="1">
      <alignment horizontal="center"/>
    </xf>
    <xf numFmtId="164" fontId="6" fillId="3" borderId="0" xfId="0" applyNumberFormat="1" applyFont="1" applyFill="1" applyBorder="1" applyAlignment="1">
      <alignment horizontal="center"/>
    </xf>
    <xf numFmtId="164" fontId="8" fillId="3" borderId="0" xfId="0" applyNumberFormat="1" applyFont="1" applyFill="1" applyBorder="1" applyAlignment="1">
      <alignment horizontal="center"/>
    </xf>
    <xf numFmtId="44" fontId="8" fillId="3" borderId="0" xfId="0" applyNumberFormat="1" applyFont="1" applyFill="1" applyBorder="1" applyAlignment="1">
      <alignment horizontal="center"/>
    </xf>
    <xf numFmtId="17" fontId="2" fillId="11" borderId="0" xfId="0" applyNumberFormat="1" applyFont="1" applyFill="1" applyBorder="1" applyAlignment="1">
      <alignment horizontal="center"/>
    </xf>
    <xf numFmtId="164" fontId="0" fillId="3" borderId="0" xfId="1" applyNumberFormat="1" applyFont="1" applyFill="1" applyBorder="1"/>
    <xf numFmtId="164" fontId="0" fillId="0" borderId="0" xfId="1" applyNumberFormat="1" applyFont="1" applyBorder="1"/>
    <xf numFmtId="165" fontId="7" fillId="3" borderId="0" xfId="0" applyFont="1" applyFill="1" applyBorder="1" applyAlignment="1">
      <alignment horizontal="center"/>
    </xf>
    <xf numFmtId="164" fontId="10" fillId="3" borderId="0" xfId="0" applyNumberFormat="1" applyFont="1" applyFill="1" applyBorder="1" applyAlignment="1">
      <alignment horizontal="center"/>
    </xf>
    <xf numFmtId="164" fontId="13" fillId="3" borderId="0" xfId="0" applyNumberFormat="1" applyFont="1" applyFill="1" applyBorder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3" fillId="3" borderId="0" xfId="1" applyNumberFormat="1" applyFont="1" applyFill="1" applyBorder="1"/>
    <xf numFmtId="164" fontId="16" fillId="3" borderId="10" xfId="1" applyNumberFormat="1" applyFont="1" applyFill="1" applyBorder="1"/>
    <xf numFmtId="164" fontId="16" fillId="3" borderId="14" xfId="1" applyNumberFormat="1" applyFont="1" applyFill="1" applyBorder="1"/>
    <xf numFmtId="165" fontId="19" fillId="6" borderId="23" xfId="0" applyFont="1" applyFill="1" applyBorder="1"/>
    <xf numFmtId="164" fontId="20" fillId="2" borderId="27" xfId="0" applyNumberFormat="1" applyFont="1" applyFill="1" applyBorder="1" applyAlignment="1">
      <alignment horizontal="center"/>
    </xf>
    <xf numFmtId="164" fontId="11" fillId="2" borderId="31" xfId="0" applyNumberFormat="1" applyFont="1" applyFill="1" applyBorder="1" applyAlignment="1">
      <alignment horizontal="center"/>
    </xf>
    <xf numFmtId="165" fontId="11" fillId="12" borderId="23" xfId="0" applyFont="1" applyFill="1" applyBorder="1"/>
    <xf numFmtId="164" fontId="20" fillId="2" borderId="26" xfId="0" applyNumberFormat="1" applyFont="1" applyFill="1" applyBorder="1" applyAlignment="1">
      <alignment horizontal="center"/>
    </xf>
    <xf numFmtId="164" fontId="21" fillId="7" borderId="26" xfId="0" applyNumberFormat="1" applyFont="1" applyFill="1" applyBorder="1" applyAlignment="1">
      <alignment horizontal="center"/>
    </xf>
    <xf numFmtId="165" fontId="4" fillId="3" borderId="0" xfId="0" applyFont="1" applyFill="1" applyBorder="1" applyAlignment="1">
      <alignment horizontal="center"/>
    </xf>
    <xf numFmtId="164" fontId="4" fillId="3" borderId="0" xfId="1" applyNumberFormat="1" applyFont="1" applyFill="1" applyBorder="1"/>
    <xf numFmtId="165" fontId="4" fillId="3" borderId="0" xfId="0" applyFont="1" applyFill="1" applyBorder="1" applyAlignment="1">
      <alignment horizontal="center" vertical="center"/>
    </xf>
    <xf numFmtId="44" fontId="4" fillId="3" borderId="0" xfId="1" applyFont="1" applyFill="1" applyBorder="1"/>
    <xf numFmtId="165" fontId="23" fillId="8" borderId="6" xfId="0" applyFont="1" applyFill="1" applyBorder="1"/>
    <xf numFmtId="165" fontId="23" fillId="8" borderId="7" xfId="0" applyFont="1" applyFill="1" applyBorder="1"/>
    <xf numFmtId="165" fontId="23" fillId="8" borderId="28" xfId="0" applyFont="1" applyFill="1" applyBorder="1"/>
    <xf numFmtId="164" fontId="23" fillId="8" borderId="8" xfId="0" applyNumberFormat="1" applyFont="1" applyFill="1" applyBorder="1" applyAlignment="1">
      <alignment horizontal="center"/>
    </xf>
    <xf numFmtId="164" fontId="23" fillId="8" borderId="12" xfId="0" applyNumberFormat="1" applyFont="1" applyFill="1" applyBorder="1" applyAlignment="1">
      <alignment horizontal="center"/>
    </xf>
    <xf numFmtId="164" fontId="0" fillId="14" borderId="15" xfId="1" applyNumberFormat="1" applyFont="1" applyFill="1" applyBorder="1"/>
    <xf numFmtId="164" fontId="3" fillId="14" borderId="14" xfId="1" applyNumberFormat="1" applyFont="1" applyFill="1" applyBorder="1"/>
    <xf numFmtId="164" fontId="0" fillId="15" borderId="14" xfId="1" applyNumberFormat="1" applyFont="1" applyFill="1" applyBorder="1"/>
    <xf numFmtId="5" fontId="18" fillId="3" borderId="39" xfId="0" applyNumberFormat="1" applyFont="1" applyFill="1" applyBorder="1" applyAlignment="1">
      <alignment vertical="center"/>
    </xf>
    <xf numFmtId="164" fontId="24" fillId="3" borderId="0" xfId="0" applyNumberFormat="1" applyFont="1" applyFill="1" applyBorder="1" applyAlignment="1">
      <alignment horizontal="center"/>
    </xf>
    <xf numFmtId="5" fontId="18" fillId="3" borderId="39" xfId="0" applyNumberFormat="1" applyFont="1" applyFill="1" applyBorder="1" applyAlignment="1">
      <alignment vertical="top"/>
    </xf>
    <xf numFmtId="165" fontId="18" fillId="3" borderId="39" xfId="0" applyNumberFormat="1" applyFont="1" applyFill="1" applyBorder="1" applyAlignment="1">
      <alignment vertical="center"/>
    </xf>
    <xf numFmtId="165" fontId="18" fillId="3" borderId="39" xfId="0" applyNumberFormat="1" applyFont="1" applyFill="1" applyBorder="1" applyAlignment="1">
      <alignment vertical="center"/>
    </xf>
    <xf numFmtId="165" fontId="18" fillId="3" borderId="39" xfId="0" applyNumberFormat="1" applyFont="1" applyFill="1" applyBorder="1" applyAlignment="1">
      <alignment horizontal="center" vertical="center"/>
    </xf>
    <xf numFmtId="5" fontId="27" fillId="16" borderId="38" xfId="0" applyNumberFormat="1" applyFont="1" applyFill="1" applyBorder="1" applyAlignment="1"/>
    <xf numFmtId="165" fontId="18" fillId="3" borderId="39" xfId="0" applyNumberFormat="1" applyFont="1" applyFill="1" applyBorder="1" applyAlignment="1">
      <alignment horizontal="right" vertical="center"/>
    </xf>
    <xf numFmtId="5" fontId="29" fillId="18" borderId="0" xfId="0" applyNumberFormat="1" applyFont="1" applyFill="1"/>
    <xf numFmtId="165" fontId="0" fillId="17" borderId="0" xfId="0" applyFill="1"/>
    <xf numFmtId="165" fontId="30" fillId="3" borderId="39" xfId="0" applyNumberFormat="1" applyFont="1" applyFill="1" applyBorder="1" applyAlignment="1">
      <alignment horizontal="center" vertical="center"/>
    </xf>
    <xf numFmtId="165" fontId="18" fillId="3" borderId="37" xfId="0" applyNumberFormat="1" applyFont="1" applyFill="1" applyBorder="1" applyAlignment="1">
      <alignment horizontal="center" vertical="center"/>
    </xf>
    <xf numFmtId="5" fontId="18" fillId="3" borderId="37" xfId="0" applyNumberFormat="1" applyFont="1" applyFill="1" applyBorder="1" applyAlignment="1">
      <alignment vertical="center"/>
    </xf>
    <xf numFmtId="165" fontId="17" fillId="17" borderId="36" xfId="0" applyFont="1" applyFill="1" applyBorder="1"/>
    <xf numFmtId="165" fontId="18" fillId="3" borderId="39" xfId="0" applyNumberFormat="1" applyFont="1" applyFill="1" applyBorder="1" applyAlignment="1">
      <alignment horizontal="right" vertical="center"/>
    </xf>
    <xf numFmtId="165" fontId="26" fillId="21" borderId="3" xfId="0" applyFont="1" applyFill="1" applyBorder="1" applyAlignment="1">
      <alignment vertical="center" wrapText="1"/>
    </xf>
    <xf numFmtId="165" fontId="26" fillId="21" borderId="0" xfId="0" applyFont="1" applyFill="1" applyBorder="1" applyAlignment="1">
      <alignment vertical="center" wrapText="1"/>
    </xf>
    <xf numFmtId="165" fontId="26" fillId="21" borderId="42" xfId="0" applyFont="1" applyFill="1" applyBorder="1" applyAlignment="1">
      <alignment vertical="center" wrapText="1"/>
    </xf>
    <xf numFmtId="165" fontId="26" fillId="21" borderId="38" xfId="0" applyFont="1" applyFill="1" applyBorder="1" applyAlignment="1">
      <alignment vertical="center" wrapText="1"/>
    </xf>
    <xf numFmtId="165" fontId="0" fillId="17" borderId="10" xfId="0" applyFill="1" applyBorder="1"/>
    <xf numFmtId="165" fontId="17" fillId="17" borderId="36" xfId="0" applyFont="1" applyFill="1" applyBorder="1" applyAlignment="1">
      <alignment horizontal="center"/>
    </xf>
    <xf numFmtId="165" fontId="17" fillId="17" borderId="43" xfId="0" applyFont="1" applyFill="1" applyBorder="1"/>
    <xf numFmtId="165" fontId="17" fillId="12" borderId="44" xfId="0" applyFont="1" applyFill="1" applyBorder="1" applyAlignment="1">
      <alignment horizontal="center"/>
    </xf>
    <xf numFmtId="5" fontId="29" fillId="18" borderId="0" xfId="0" applyNumberFormat="1" applyFont="1" applyFill="1" applyBorder="1"/>
    <xf numFmtId="5" fontId="18" fillId="3" borderId="0" xfId="0" applyNumberFormat="1" applyFont="1" applyFill="1" applyBorder="1" applyAlignment="1">
      <alignment vertical="center"/>
    </xf>
    <xf numFmtId="5" fontId="18" fillId="3" borderId="45" xfId="0" applyNumberFormat="1" applyFont="1" applyFill="1" applyBorder="1" applyAlignment="1">
      <alignment vertical="center"/>
    </xf>
    <xf numFmtId="5" fontId="18" fillId="3" borderId="46" xfId="0" applyNumberFormat="1" applyFont="1" applyFill="1" applyBorder="1" applyAlignment="1">
      <alignment vertical="center"/>
    </xf>
    <xf numFmtId="5" fontId="27" fillId="16" borderId="40" xfId="0" applyNumberFormat="1" applyFont="1" applyFill="1" applyBorder="1" applyAlignment="1"/>
    <xf numFmtId="5" fontId="27" fillId="16" borderId="0" xfId="0" applyNumberFormat="1" applyFont="1" applyFill="1" applyBorder="1" applyAlignment="1"/>
    <xf numFmtId="5" fontId="27" fillId="3" borderId="40" xfId="0" applyNumberFormat="1" applyFont="1" applyFill="1" applyBorder="1" applyAlignment="1"/>
    <xf numFmtId="5" fontId="27" fillId="16" borderId="36" xfId="0" applyNumberFormat="1" applyFont="1" applyFill="1" applyBorder="1" applyAlignment="1"/>
    <xf numFmtId="165" fontId="17" fillId="3" borderId="0" xfId="0" applyFont="1" applyFill="1" applyBorder="1"/>
    <xf numFmtId="5" fontId="28" fillId="3" borderId="0" xfId="0" applyNumberFormat="1" applyFont="1" applyFill="1" applyBorder="1"/>
    <xf numFmtId="165" fontId="26" fillId="21" borderId="32" xfId="0" applyFont="1" applyFill="1" applyBorder="1" applyAlignment="1">
      <alignment vertical="center" wrapText="1"/>
    </xf>
    <xf numFmtId="165" fontId="26" fillId="3" borderId="0" xfId="0" applyFont="1" applyFill="1" applyBorder="1" applyAlignment="1">
      <alignment vertical="center" wrapText="1"/>
    </xf>
    <xf numFmtId="165" fontId="26" fillId="3" borderId="32" xfId="0" applyFont="1" applyFill="1" applyBorder="1" applyAlignment="1">
      <alignment vertical="center" wrapText="1"/>
    </xf>
    <xf numFmtId="165" fontId="0" fillId="3" borderId="43" xfId="0" applyFill="1" applyBorder="1"/>
    <xf numFmtId="165" fontId="0" fillId="3" borderId="41" xfId="0" applyFill="1" applyBorder="1"/>
    <xf numFmtId="5" fontId="28" fillId="3" borderId="41" xfId="0" applyNumberFormat="1" applyFont="1" applyFill="1" applyBorder="1"/>
    <xf numFmtId="165" fontId="26" fillId="3" borderId="38" xfId="0" applyFont="1" applyFill="1" applyBorder="1" applyAlignment="1">
      <alignment vertical="center" wrapText="1"/>
    </xf>
    <xf numFmtId="165" fontId="26" fillId="3" borderId="48" xfId="0" applyFont="1" applyFill="1" applyBorder="1" applyAlignment="1">
      <alignment vertical="center" wrapText="1"/>
    </xf>
    <xf numFmtId="165" fontId="0" fillId="3" borderId="40" xfId="0" applyFill="1" applyBorder="1"/>
    <xf numFmtId="5" fontId="28" fillId="3" borderId="40" xfId="0" applyNumberFormat="1" applyFont="1" applyFill="1" applyBorder="1"/>
    <xf numFmtId="5" fontId="18" fillId="4" borderId="39" xfId="0" applyNumberFormat="1" applyFont="1" applyFill="1" applyBorder="1" applyAlignment="1">
      <alignment vertical="center"/>
    </xf>
    <xf numFmtId="5" fontId="18" fillId="4" borderId="45" xfId="0" applyNumberFormat="1" applyFont="1" applyFill="1" applyBorder="1" applyAlignment="1">
      <alignment vertical="center"/>
    </xf>
    <xf numFmtId="5" fontId="18" fillId="4" borderId="46" xfId="0" applyNumberFormat="1" applyFont="1" applyFill="1" applyBorder="1" applyAlignment="1">
      <alignment vertical="center"/>
    </xf>
    <xf numFmtId="5" fontId="18" fillId="3" borderId="49" xfId="0" applyNumberFormat="1" applyFont="1" applyFill="1" applyBorder="1" applyAlignment="1">
      <alignment vertical="center"/>
    </xf>
    <xf numFmtId="5" fontId="18" fillId="3" borderId="50" xfId="0" applyNumberFormat="1" applyFont="1" applyFill="1" applyBorder="1" applyAlignment="1">
      <alignment vertical="center"/>
    </xf>
    <xf numFmtId="165" fontId="18" fillId="3" borderId="49" xfId="0" applyNumberFormat="1" applyFont="1" applyFill="1" applyBorder="1" applyAlignment="1">
      <alignment horizontal="center" vertical="center"/>
    </xf>
    <xf numFmtId="165" fontId="18" fillId="3" borderId="50" xfId="0" applyNumberFormat="1" applyFont="1" applyFill="1" applyBorder="1" applyAlignment="1">
      <alignment horizontal="center" vertical="center"/>
    </xf>
    <xf numFmtId="165" fontId="18" fillId="3" borderId="51" xfId="0" applyNumberFormat="1" applyFont="1" applyFill="1" applyBorder="1" applyAlignment="1">
      <alignment horizontal="center" vertical="center"/>
    </xf>
    <xf numFmtId="1" fontId="18" fillId="3" borderId="39" xfId="0" applyNumberFormat="1" applyFont="1" applyFill="1" applyBorder="1" applyAlignment="1">
      <alignment horizontal="center" vertical="center"/>
    </xf>
    <xf numFmtId="1" fontId="18" fillId="3" borderId="37" xfId="0" applyNumberFormat="1" applyFont="1" applyFill="1" applyBorder="1" applyAlignment="1">
      <alignment horizontal="center" vertical="center"/>
    </xf>
    <xf numFmtId="3" fontId="32" fillId="3" borderId="39" xfId="0" applyNumberFormat="1" applyFont="1" applyFill="1" applyBorder="1" applyAlignment="1">
      <alignment vertical="center"/>
    </xf>
    <xf numFmtId="165" fontId="34" fillId="13" borderId="36" xfId="0" applyFont="1" applyFill="1" applyBorder="1" applyAlignment="1">
      <alignment horizontal="center"/>
    </xf>
    <xf numFmtId="165" fontId="34" fillId="12" borderId="36" xfId="0" applyFont="1" applyFill="1" applyBorder="1" applyAlignment="1">
      <alignment horizontal="center"/>
    </xf>
    <xf numFmtId="165" fontId="34" fillId="20" borderId="47" xfId="0" applyFont="1" applyFill="1" applyBorder="1" applyAlignment="1">
      <alignment horizontal="center"/>
    </xf>
    <xf numFmtId="165" fontId="34" fillId="23" borderId="47" xfId="0" applyFont="1" applyFill="1" applyBorder="1" applyAlignment="1">
      <alignment horizontal="center"/>
    </xf>
    <xf numFmtId="5" fontId="18" fillId="3" borderId="51" xfId="0" applyNumberFormat="1" applyFont="1" applyFill="1" applyBorder="1" applyAlignment="1">
      <alignment vertical="center"/>
    </xf>
    <xf numFmtId="3" fontId="33" fillId="3" borderId="52" xfId="0" applyNumberFormat="1" applyFont="1" applyFill="1" applyBorder="1" applyAlignment="1">
      <alignment vertical="center"/>
    </xf>
    <xf numFmtId="165" fontId="34" fillId="20" borderId="36" xfId="0" applyFont="1" applyFill="1" applyBorder="1" applyAlignment="1">
      <alignment horizontal="center"/>
    </xf>
    <xf numFmtId="165" fontId="34" fillId="23" borderId="36" xfId="0" applyFont="1" applyFill="1" applyBorder="1" applyAlignment="1">
      <alignment horizontal="center"/>
    </xf>
    <xf numFmtId="3" fontId="32" fillId="3" borderId="54" xfId="0" applyNumberFormat="1" applyFont="1" applyFill="1" applyBorder="1" applyAlignment="1">
      <alignment vertical="center"/>
    </xf>
    <xf numFmtId="3" fontId="32" fillId="3" borderId="0" xfId="0" applyNumberFormat="1" applyFont="1" applyFill="1" applyBorder="1" applyAlignment="1">
      <alignment vertical="center"/>
    </xf>
    <xf numFmtId="165" fontId="18" fillId="3" borderId="39" xfId="0" applyNumberFormat="1" applyFont="1" applyFill="1" applyBorder="1" applyAlignment="1">
      <alignment horizontal="center" vertical="center" wrapText="1"/>
    </xf>
    <xf numFmtId="165" fontId="18" fillId="3" borderId="25" xfId="0" applyNumberFormat="1" applyFont="1" applyFill="1" applyBorder="1" applyAlignment="1">
      <alignment horizontal="center" vertical="center"/>
    </xf>
    <xf numFmtId="165" fontId="18" fillId="3" borderId="52" xfId="0" applyNumberFormat="1" applyFont="1" applyFill="1" applyBorder="1" applyAlignment="1">
      <alignment horizontal="center" vertical="center"/>
    </xf>
    <xf numFmtId="165" fontId="18" fillId="3" borderId="0" xfId="0" applyNumberFormat="1" applyFont="1" applyFill="1" applyBorder="1" applyAlignment="1">
      <alignment horizontal="center" vertical="center"/>
    </xf>
    <xf numFmtId="165" fontId="18" fillId="3" borderId="23" xfId="0" applyNumberFormat="1" applyFont="1" applyFill="1" applyBorder="1" applyAlignment="1">
      <alignment vertical="center"/>
    </xf>
    <xf numFmtId="3" fontId="33" fillId="4" borderId="55" xfId="0" applyNumberFormat="1" applyFont="1" applyFill="1" applyBorder="1" applyAlignment="1">
      <alignment vertical="center"/>
    </xf>
    <xf numFmtId="3" fontId="33" fillId="4" borderId="53" xfId="0" applyNumberFormat="1" applyFont="1" applyFill="1" applyBorder="1" applyAlignment="1">
      <alignment vertical="center"/>
    </xf>
    <xf numFmtId="165" fontId="18" fillId="3" borderId="52" xfId="0" applyNumberFormat="1" applyFont="1" applyFill="1" applyBorder="1" applyAlignment="1">
      <alignment vertical="center"/>
    </xf>
    <xf numFmtId="5" fontId="18" fillId="3" borderId="52" xfId="0" applyNumberFormat="1" applyFont="1" applyFill="1" applyBorder="1" applyAlignment="1">
      <alignment vertical="center"/>
    </xf>
    <xf numFmtId="165" fontId="18" fillId="3" borderId="54" xfId="0" applyNumberFormat="1" applyFont="1" applyFill="1" applyBorder="1" applyAlignment="1">
      <alignment horizontal="right" vertical="center"/>
    </xf>
    <xf numFmtId="5" fontId="18" fillId="4" borderId="59" xfId="0" applyNumberFormat="1" applyFont="1" applyFill="1" applyBorder="1" applyAlignment="1">
      <alignment vertical="center"/>
    </xf>
    <xf numFmtId="5" fontId="18" fillId="3" borderId="54" xfId="0" applyNumberFormat="1" applyFont="1" applyFill="1" applyBorder="1" applyAlignment="1">
      <alignment vertical="center"/>
    </xf>
    <xf numFmtId="5" fontId="18" fillId="4" borderId="54" xfId="0" applyNumberFormat="1" applyFont="1" applyFill="1" applyBorder="1" applyAlignment="1">
      <alignment vertical="center"/>
    </xf>
    <xf numFmtId="5" fontId="18" fillId="4" borderId="52" xfId="0" applyNumberFormat="1" applyFont="1" applyFill="1" applyBorder="1" applyAlignment="1">
      <alignment vertical="center"/>
    </xf>
    <xf numFmtId="165" fontId="18" fillId="3" borderId="37" xfId="0" applyNumberFormat="1" applyFont="1" applyFill="1" applyBorder="1" applyAlignment="1">
      <alignment horizontal="right" vertical="center"/>
    </xf>
    <xf numFmtId="165" fontId="18" fillId="3" borderId="0" xfId="0" applyNumberFormat="1" applyFont="1" applyFill="1" applyBorder="1" applyAlignment="1">
      <alignment vertical="center"/>
    </xf>
    <xf numFmtId="165" fontId="18" fillId="3" borderId="0" xfId="0" applyNumberFormat="1" applyFont="1" applyFill="1" applyBorder="1" applyAlignment="1">
      <alignment horizontal="right" vertical="center"/>
    </xf>
    <xf numFmtId="165" fontId="18" fillId="3" borderId="25" xfId="0" applyNumberFormat="1" applyFont="1" applyFill="1" applyBorder="1" applyAlignment="1">
      <alignment vertical="center"/>
    </xf>
    <xf numFmtId="165" fontId="18" fillId="3" borderId="46" xfId="0" applyNumberFormat="1" applyFont="1" applyFill="1" applyBorder="1" applyAlignment="1">
      <alignment horizontal="center" vertical="center"/>
    </xf>
    <xf numFmtId="165" fontId="18" fillId="3" borderId="45" xfId="0" applyNumberFormat="1" applyFont="1" applyFill="1" applyBorder="1" applyAlignment="1">
      <alignment horizontal="center" vertical="center"/>
    </xf>
    <xf numFmtId="165" fontId="18" fillId="3" borderId="23" xfId="0" applyNumberFormat="1" applyFont="1" applyFill="1" applyBorder="1" applyAlignment="1">
      <alignment horizontal="center" vertical="center"/>
    </xf>
    <xf numFmtId="165" fontId="18" fillId="3" borderId="36" xfId="0" applyNumberFormat="1" applyFont="1" applyFill="1" applyBorder="1" applyAlignment="1">
      <alignment horizontal="center" vertical="center" wrapText="1"/>
    </xf>
    <xf numFmtId="165" fontId="31" fillId="4" borderId="46" xfId="0" applyNumberFormat="1" applyFont="1" applyFill="1" applyBorder="1" applyAlignment="1">
      <alignment horizontal="center" vertical="center"/>
    </xf>
    <xf numFmtId="1" fontId="18" fillId="3" borderId="49" xfId="0" applyNumberFormat="1" applyFont="1" applyFill="1" applyBorder="1" applyAlignment="1">
      <alignment horizontal="center" vertical="center"/>
    </xf>
    <xf numFmtId="1" fontId="18" fillId="3" borderId="51" xfId="0" applyNumberFormat="1" applyFont="1" applyFill="1" applyBorder="1" applyAlignment="1">
      <alignment horizontal="center" vertical="center"/>
    </xf>
    <xf numFmtId="1" fontId="18" fillId="3" borderId="50" xfId="0" applyNumberFormat="1" applyFont="1" applyFill="1" applyBorder="1" applyAlignment="1">
      <alignment horizontal="center" vertical="center"/>
    </xf>
    <xf numFmtId="165" fontId="18" fillId="3" borderId="61" xfId="0" applyNumberFormat="1" applyFont="1" applyFill="1" applyBorder="1" applyAlignment="1">
      <alignment horizontal="center" vertical="center"/>
    </xf>
    <xf numFmtId="5" fontId="18" fillId="3" borderId="61" xfId="0" applyNumberFormat="1" applyFont="1" applyFill="1" applyBorder="1" applyAlignment="1">
      <alignment vertical="center"/>
    </xf>
    <xf numFmtId="1" fontId="18" fillId="3" borderId="61" xfId="0" applyNumberFormat="1" applyFont="1" applyFill="1" applyBorder="1" applyAlignment="1">
      <alignment horizontal="center" vertical="center"/>
    </xf>
    <xf numFmtId="165" fontId="36" fillId="4" borderId="36" xfId="0" applyFont="1" applyFill="1" applyBorder="1" applyAlignment="1">
      <alignment horizontal="center"/>
    </xf>
    <xf numFmtId="1" fontId="36" fillId="4" borderId="36" xfId="0" applyNumberFormat="1" applyFont="1" applyFill="1" applyBorder="1" applyAlignment="1">
      <alignment horizontal="center"/>
    </xf>
    <xf numFmtId="165" fontId="37" fillId="0" borderId="0" xfId="0" applyFont="1"/>
    <xf numFmtId="1" fontId="18" fillId="3" borderId="0" xfId="0" applyNumberFormat="1" applyFont="1" applyFill="1" applyBorder="1" applyAlignment="1">
      <alignment horizontal="center" vertical="center"/>
    </xf>
    <xf numFmtId="5" fontId="38" fillId="4" borderId="36" xfId="0" applyNumberFormat="1" applyFont="1" applyFill="1" applyBorder="1" applyAlignment="1">
      <alignment vertical="center"/>
    </xf>
    <xf numFmtId="164" fontId="20" fillId="3" borderId="26" xfId="0" applyNumberFormat="1" applyFont="1" applyFill="1" applyBorder="1" applyAlignment="1">
      <alignment horizontal="center"/>
    </xf>
    <xf numFmtId="164" fontId="0" fillId="14" borderId="14" xfId="1" applyNumberFormat="1" applyFont="1" applyFill="1" applyBorder="1"/>
    <xf numFmtId="164" fontId="15" fillId="3" borderId="14" xfId="1" applyNumberFormat="1" applyFont="1" applyFill="1" applyBorder="1"/>
    <xf numFmtId="5" fontId="31" fillId="3" borderId="50" xfId="0" applyNumberFormat="1" applyFont="1" applyFill="1" applyBorder="1" applyAlignment="1">
      <alignment vertical="center"/>
    </xf>
    <xf numFmtId="1" fontId="0" fillId="0" borderId="0" xfId="0" applyNumberFormat="1"/>
    <xf numFmtId="9" fontId="15" fillId="0" borderId="0" xfId="2" applyFont="1"/>
    <xf numFmtId="164" fontId="0" fillId="15" borderId="14" xfId="1" applyNumberFormat="1" applyFont="1" applyFill="1" applyBorder="1" applyAlignment="1">
      <alignment vertical="top"/>
    </xf>
    <xf numFmtId="164" fontId="0" fillId="3" borderId="0" xfId="1" applyNumberFormat="1" applyFont="1" applyFill="1" applyBorder="1" applyAlignment="1">
      <alignment horizontal="center" vertical="top"/>
    </xf>
    <xf numFmtId="165" fontId="0" fillId="0" borderId="64" xfId="0" applyBorder="1"/>
    <xf numFmtId="165" fontId="0" fillId="0" borderId="65" xfId="0" applyBorder="1"/>
    <xf numFmtId="164" fontId="0" fillId="3" borderId="63" xfId="1" applyNumberFormat="1" applyFont="1" applyFill="1" applyBorder="1" applyAlignment="1">
      <alignment horizontal="center"/>
    </xf>
    <xf numFmtId="164" fontId="0" fillId="3" borderId="64" xfId="1" applyNumberFormat="1" applyFont="1" applyFill="1" applyBorder="1" applyAlignment="1">
      <alignment horizontal="center"/>
    </xf>
    <xf numFmtId="164" fontId="0" fillId="3" borderId="64" xfId="1" applyNumberFormat="1" applyFont="1" applyFill="1" applyBorder="1" applyAlignment="1">
      <alignment horizontal="right"/>
    </xf>
    <xf numFmtId="164" fontId="0" fillId="3" borderId="64" xfId="1" applyNumberFormat="1" applyFont="1" applyFill="1" applyBorder="1"/>
    <xf numFmtId="164" fontId="0" fillId="3" borderId="65" xfId="1" applyNumberFormat="1" applyFont="1" applyFill="1" applyBorder="1"/>
    <xf numFmtId="164" fontId="0" fillId="3" borderId="63" xfId="1" applyNumberFormat="1" applyFont="1" applyFill="1" applyBorder="1"/>
    <xf numFmtId="164" fontId="0" fillId="3" borderId="62" xfId="1" applyNumberFormat="1" applyFont="1" applyFill="1" applyBorder="1"/>
    <xf numFmtId="165" fontId="4" fillId="9" borderId="62" xfId="0" applyFont="1" applyFill="1" applyBorder="1" applyAlignment="1">
      <alignment horizontal="center"/>
    </xf>
    <xf numFmtId="164" fontId="20" fillId="2" borderId="50" xfId="0" applyNumberFormat="1" applyFont="1" applyFill="1" applyBorder="1" applyAlignment="1">
      <alignment horizontal="center"/>
    </xf>
    <xf numFmtId="44" fontId="8" fillId="2" borderId="66" xfId="0" applyNumberFormat="1" applyFont="1" applyFill="1" applyBorder="1" applyAlignment="1">
      <alignment horizontal="center"/>
    </xf>
    <xf numFmtId="165" fontId="0" fillId="0" borderId="0" xfId="0" applyAlignment="1"/>
    <xf numFmtId="165" fontId="4" fillId="9" borderId="62" xfId="0" applyFont="1" applyFill="1" applyBorder="1" applyAlignment="1">
      <alignment horizontal="center" vertical="center"/>
    </xf>
    <xf numFmtId="44" fontId="10" fillId="3" borderId="0" xfId="0" applyNumberFormat="1" applyFont="1" applyFill="1" applyBorder="1" applyAlignment="1">
      <alignment horizontal="center"/>
    </xf>
    <xf numFmtId="17" fontId="6" fillId="11" borderId="12" xfId="0" applyNumberFormat="1" applyFont="1" applyFill="1" applyBorder="1" applyAlignment="1">
      <alignment horizontal="center" wrapText="1"/>
    </xf>
    <xf numFmtId="164" fontId="12" fillId="2" borderId="26" xfId="0" applyNumberFormat="1" applyFont="1" applyFill="1" applyBorder="1" applyAlignment="1">
      <alignment horizontal="center"/>
    </xf>
    <xf numFmtId="165" fontId="4" fillId="9" borderId="8" xfId="0" applyFont="1" applyFill="1" applyBorder="1" applyAlignment="1">
      <alignment horizontal="center" vertical="center" wrapText="1"/>
    </xf>
    <xf numFmtId="165" fontId="4" fillId="9" borderId="12" xfId="0" applyFont="1" applyFill="1" applyBorder="1" applyAlignment="1">
      <alignment horizontal="center" vertical="center" wrapText="1"/>
    </xf>
    <xf numFmtId="164" fontId="3" fillId="3" borderId="14" xfId="1" applyNumberFormat="1" applyFont="1" applyFill="1" applyBorder="1"/>
    <xf numFmtId="164" fontId="0" fillId="0" borderId="63" xfId="1" applyNumberFormat="1" applyFont="1" applyBorder="1"/>
    <xf numFmtId="164" fontId="0" fillId="0" borderId="64" xfId="1" applyNumberFormat="1" applyFont="1" applyBorder="1"/>
    <xf numFmtId="164" fontId="3" fillId="3" borderId="64" xfId="1" applyNumberFormat="1" applyFont="1" applyFill="1" applyBorder="1"/>
    <xf numFmtId="164" fontId="15" fillId="3" borderId="64" xfId="1" applyNumberFormat="1" applyFont="1" applyFill="1" applyBorder="1" applyAlignment="1">
      <alignment horizontal="center"/>
    </xf>
    <xf numFmtId="165" fontId="15" fillId="3" borderId="3" xfId="0" applyFont="1" applyFill="1" applyBorder="1"/>
    <xf numFmtId="164" fontId="15" fillId="3" borderId="14" xfId="1" applyNumberFormat="1" applyFont="1" applyFill="1" applyBorder="1" applyAlignment="1">
      <alignment vertical="top"/>
    </xf>
    <xf numFmtId="164" fontId="15" fillId="3" borderId="64" xfId="1" applyNumberFormat="1" applyFont="1" applyFill="1" applyBorder="1" applyAlignment="1">
      <alignment horizontal="center" vertical="top"/>
    </xf>
    <xf numFmtId="165" fontId="15" fillId="0" borderId="3" xfId="0" applyFont="1" applyBorder="1" applyAlignment="1">
      <alignment vertical="center"/>
    </xf>
    <xf numFmtId="164" fontId="3" fillId="0" borderId="65" xfId="1" applyNumberFormat="1" applyFont="1" applyBorder="1"/>
    <xf numFmtId="164" fontId="23" fillId="27" borderId="12" xfId="0" applyNumberFormat="1" applyFont="1" applyFill="1" applyBorder="1" applyAlignment="1">
      <alignment horizontal="center"/>
    </xf>
    <xf numFmtId="165" fontId="4" fillId="24" borderId="65" xfId="0" applyFont="1" applyFill="1" applyBorder="1" applyAlignment="1">
      <alignment horizontal="center"/>
    </xf>
    <xf numFmtId="164" fontId="6" fillId="25" borderId="69" xfId="0" applyNumberFormat="1" applyFont="1" applyFill="1" applyBorder="1" applyAlignment="1">
      <alignment horizontal="center"/>
    </xf>
    <xf numFmtId="10" fontId="6" fillId="25" borderId="70" xfId="0" applyNumberFormat="1" applyFont="1" applyFill="1" applyBorder="1" applyAlignment="1">
      <alignment horizontal="center"/>
    </xf>
    <xf numFmtId="164" fontId="8" fillId="26" borderId="71" xfId="0" applyNumberFormat="1" applyFont="1" applyFill="1" applyBorder="1" applyAlignment="1">
      <alignment horizontal="center"/>
    </xf>
    <xf numFmtId="164" fontId="8" fillId="26" borderId="72" xfId="0" applyNumberFormat="1" applyFont="1" applyFill="1" applyBorder="1" applyAlignment="1">
      <alignment horizontal="center"/>
    </xf>
    <xf numFmtId="164" fontId="20" fillId="26" borderId="71" xfId="0" applyNumberFormat="1" applyFont="1" applyFill="1" applyBorder="1" applyAlignment="1">
      <alignment horizontal="center"/>
    </xf>
    <xf numFmtId="9" fontId="8" fillId="26" borderId="72" xfId="2" applyFont="1" applyFill="1" applyBorder="1" applyAlignment="1">
      <alignment horizontal="center"/>
    </xf>
    <xf numFmtId="164" fontId="10" fillId="26" borderId="73" xfId="0" applyNumberFormat="1" applyFont="1" applyFill="1" applyBorder="1" applyAlignment="1">
      <alignment horizontal="center"/>
    </xf>
    <xf numFmtId="165" fontId="0" fillId="0" borderId="24" xfId="0" applyBorder="1"/>
    <xf numFmtId="165" fontId="0" fillId="0" borderId="67" xfId="0" applyBorder="1"/>
    <xf numFmtId="164" fontId="6" fillId="3" borderId="73" xfId="0" applyNumberFormat="1" applyFont="1" applyFill="1" applyBorder="1" applyAlignment="1">
      <alignment horizontal="center"/>
    </xf>
    <xf numFmtId="164" fontId="8" fillId="28" borderId="71" xfId="0" applyNumberFormat="1" applyFont="1" applyFill="1" applyBorder="1" applyAlignment="1">
      <alignment horizontal="center"/>
    </xf>
    <xf numFmtId="164" fontId="8" fillId="28" borderId="72" xfId="0" applyNumberFormat="1" applyFont="1" applyFill="1" applyBorder="1" applyAlignment="1">
      <alignment horizontal="center"/>
    </xf>
    <xf numFmtId="164" fontId="8" fillId="3" borderId="73" xfId="0" applyNumberFormat="1" applyFont="1" applyFill="1" applyBorder="1" applyAlignment="1">
      <alignment horizontal="center"/>
    </xf>
    <xf numFmtId="165" fontId="0" fillId="3" borderId="67" xfId="0" applyFill="1" applyBorder="1"/>
    <xf numFmtId="44" fontId="8" fillId="3" borderId="74" xfId="0" applyNumberFormat="1" applyFont="1" applyFill="1" applyBorder="1" applyAlignment="1">
      <alignment horizontal="center"/>
    </xf>
    <xf numFmtId="164" fontId="23" fillId="27" borderId="62" xfId="0" applyNumberFormat="1" applyFont="1" applyFill="1" applyBorder="1" applyAlignment="1">
      <alignment horizontal="center"/>
    </xf>
    <xf numFmtId="164" fontId="12" fillId="7" borderId="50" xfId="0" applyNumberFormat="1" applyFont="1" applyFill="1" applyBorder="1" applyAlignment="1">
      <alignment horizontal="center"/>
    </xf>
    <xf numFmtId="164" fontId="4" fillId="4" borderId="62" xfId="1" applyNumberFormat="1" applyFont="1" applyFill="1" applyBorder="1"/>
    <xf numFmtId="164" fontId="39" fillId="3" borderId="0" xfId="0" applyNumberFormat="1" applyFont="1" applyFill="1" applyBorder="1" applyAlignment="1">
      <alignment horizontal="center"/>
    </xf>
    <xf numFmtId="165" fontId="4" fillId="17" borderId="36" xfId="0" applyFont="1" applyFill="1" applyBorder="1" applyAlignment="1">
      <alignment horizontal="center"/>
    </xf>
    <xf numFmtId="165" fontId="4" fillId="0" borderId="36" xfId="0" applyFont="1" applyFill="1" applyBorder="1" applyAlignment="1">
      <alignment horizontal="left"/>
    </xf>
    <xf numFmtId="165" fontId="4" fillId="0" borderId="36" xfId="0" applyFont="1" applyFill="1" applyBorder="1" applyAlignment="1">
      <alignment horizontal="center"/>
    </xf>
    <xf numFmtId="165" fontId="0" fillId="0" borderId="36" xfId="0" applyBorder="1"/>
    <xf numFmtId="165" fontId="0" fillId="0" borderId="36" xfId="0" applyBorder="1" applyAlignment="1">
      <alignment horizontal="left" indent="2"/>
    </xf>
    <xf numFmtId="2" fontId="0" fillId="0" borderId="36" xfId="0" applyNumberFormat="1" applyBorder="1"/>
    <xf numFmtId="44" fontId="0" fillId="0" borderId="36" xfId="1" applyFont="1" applyBorder="1"/>
    <xf numFmtId="44" fontId="4" fillId="0" borderId="36" xfId="1" applyFont="1" applyBorder="1"/>
    <xf numFmtId="165" fontId="4" fillId="0" borderId="36" xfId="0" applyFont="1" applyBorder="1"/>
    <xf numFmtId="2" fontId="4" fillId="0" borderId="36" xfId="0" applyNumberFormat="1" applyFont="1" applyBorder="1"/>
    <xf numFmtId="44" fontId="4" fillId="0" borderId="36" xfId="1" applyFont="1" applyFill="1" applyBorder="1"/>
    <xf numFmtId="44" fontId="0" fillId="0" borderId="36" xfId="1" applyFont="1" applyFill="1" applyBorder="1"/>
    <xf numFmtId="165" fontId="4" fillId="0" borderId="36" xfId="0" applyFont="1" applyBorder="1" applyAlignment="1">
      <alignment horizontal="left" indent="2"/>
    </xf>
    <xf numFmtId="165" fontId="0" fillId="0" borderId="36" xfId="0" applyFont="1" applyBorder="1" applyAlignment="1">
      <alignment horizontal="left" indent="2"/>
    </xf>
    <xf numFmtId="165" fontId="15" fillId="0" borderId="36" xfId="0" applyFont="1" applyBorder="1"/>
    <xf numFmtId="2" fontId="15" fillId="0" borderId="36" xfId="0" applyNumberFormat="1" applyFont="1" applyBorder="1"/>
    <xf numFmtId="44" fontId="15" fillId="0" borderId="36" xfId="1" applyFont="1" applyBorder="1"/>
    <xf numFmtId="164" fontId="0" fillId="3" borderId="63" xfId="1" applyNumberFormat="1" applyFont="1" applyFill="1" applyBorder="1" applyAlignment="1">
      <alignment horizontal="center" vertical="center"/>
    </xf>
    <xf numFmtId="164" fontId="0" fillId="3" borderId="64" xfId="1" applyNumberFormat="1" applyFont="1" applyFill="1" applyBorder="1" applyAlignment="1">
      <alignment horizontal="center" vertical="center"/>
    </xf>
    <xf numFmtId="17" fontId="40" fillId="26" borderId="6" xfId="0" applyNumberFormat="1" applyFont="1" applyFill="1" applyBorder="1" applyAlignment="1">
      <alignment horizontal="center" vertical="center"/>
    </xf>
    <xf numFmtId="17" fontId="40" fillId="26" borderId="7" xfId="0" applyNumberFormat="1" applyFont="1" applyFill="1" applyBorder="1" applyAlignment="1">
      <alignment horizontal="center" vertical="center"/>
    </xf>
    <xf numFmtId="17" fontId="40" fillId="26" borderId="68" xfId="0" applyNumberFormat="1" applyFont="1" applyFill="1" applyBorder="1" applyAlignment="1">
      <alignment horizontal="center" vertical="center"/>
    </xf>
    <xf numFmtId="165" fontId="22" fillId="0" borderId="0" xfId="0" applyFont="1" applyAlignment="1">
      <alignment horizontal="left" vertical="center" wrapText="1"/>
    </xf>
    <xf numFmtId="165" fontId="22" fillId="0" borderId="5" xfId="0" applyFont="1" applyBorder="1" applyAlignment="1">
      <alignment horizontal="left" vertical="center" wrapText="1"/>
    </xf>
    <xf numFmtId="165" fontId="4" fillId="9" borderId="6" xfId="0" applyFont="1" applyFill="1" applyBorder="1" applyAlignment="1">
      <alignment horizontal="left" wrapText="1"/>
    </xf>
    <xf numFmtId="165" fontId="4" fillId="9" borderId="7" xfId="0" applyFont="1" applyFill="1" applyBorder="1" applyAlignment="1">
      <alignment horizontal="left" wrapText="1"/>
    </xf>
    <xf numFmtId="165" fontId="4" fillId="9" borderId="6" xfId="0" applyFont="1" applyFill="1" applyBorder="1" applyAlignment="1">
      <alignment horizontal="left" vertical="top" wrapText="1"/>
    </xf>
    <xf numFmtId="165" fontId="4" fillId="9" borderId="7" xfId="0" applyFont="1" applyFill="1" applyBorder="1" applyAlignment="1">
      <alignment horizontal="left" vertical="top" wrapText="1"/>
    </xf>
    <xf numFmtId="165" fontId="18" fillId="3" borderId="56" xfId="0" applyNumberFormat="1" applyFont="1" applyFill="1" applyBorder="1" applyAlignment="1">
      <alignment horizontal="center" vertical="center" wrapText="1"/>
    </xf>
    <xf numFmtId="165" fontId="18" fillId="3" borderId="58" xfId="0" applyNumberFormat="1" applyFont="1" applyFill="1" applyBorder="1" applyAlignment="1">
      <alignment horizontal="center" vertical="center" wrapText="1"/>
    </xf>
    <xf numFmtId="165" fontId="38" fillId="4" borderId="36" xfId="0" applyNumberFormat="1" applyFont="1" applyFill="1" applyBorder="1" applyAlignment="1">
      <alignment horizontal="left" vertical="center"/>
    </xf>
    <xf numFmtId="1" fontId="35" fillId="22" borderId="43" xfId="0" applyNumberFormat="1" applyFont="1" applyFill="1" applyBorder="1" applyAlignment="1">
      <alignment horizontal="center"/>
    </xf>
    <xf numFmtId="1" fontId="35" fillId="22" borderId="41" xfId="0" applyNumberFormat="1" applyFont="1" applyFill="1" applyBorder="1" applyAlignment="1">
      <alignment horizontal="center"/>
    </xf>
    <xf numFmtId="1" fontId="35" fillId="22" borderId="44" xfId="0" applyNumberFormat="1" applyFont="1" applyFill="1" applyBorder="1" applyAlignment="1">
      <alignment horizontal="center"/>
    </xf>
    <xf numFmtId="1" fontId="35" fillId="19" borderId="43" xfId="0" applyNumberFormat="1" applyFont="1" applyFill="1" applyBorder="1" applyAlignment="1">
      <alignment horizontal="center"/>
    </xf>
    <xf numFmtId="1" fontId="35" fillId="19" borderId="41" xfId="0" applyNumberFormat="1" applyFont="1" applyFill="1" applyBorder="1" applyAlignment="1">
      <alignment horizontal="center"/>
    </xf>
    <xf numFmtId="1" fontId="35" fillId="19" borderId="44" xfId="0" applyNumberFormat="1" applyFont="1" applyFill="1" applyBorder="1" applyAlignment="1">
      <alignment horizontal="center"/>
    </xf>
    <xf numFmtId="165" fontId="18" fillId="3" borderId="60" xfId="0" applyNumberFormat="1" applyFont="1" applyFill="1" applyBorder="1" applyAlignment="1">
      <alignment horizontal="center" vertical="center" wrapText="1"/>
    </xf>
    <xf numFmtId="165" fontId="18" fillId="3" borderId="18" xfId="0" applyNumberFormat="1" applyFont="1" applyFill="1" applyBorder="1" applyAlignment="1">
      <alignment horizontal="center" vertical="center" wrapText="1"/>
    </xf>
    <xf numFmtId="165" fontId="18" fillId="3" borderId="47" xfId="0" applyNumberFormat="1" applyFont="1" applyFill="1" applyBorder="1" applyAlignment="1">
      <alignment horizontal="center" vertical="center" wrapText="1"/>
    </xf>
    <xf numFmtId="165" fontId="18" fillId="3" borderId="57" xfId="0" applyNumberFormat="1" applyFont="1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"/>
  <sheetViews>
    <sheetView showGridLines="0" topLeftCell="A4" zoomScale="76" zoomScaleNormal="76" workbookViewId="0">
      <selection activeCell="H28" activeCellId="5" sqref="H4 H13 H15 H17 H19 H28"/>
    </sheetView>
  </sheetViews>
  <sheetFormatPr defaultRowHeight="15" x14ac:dyDescent="0.25"/>
  <cols>
    <col min="1" max="1" width="4.5703125" style="72" customWidth="1"/>
    <col min="2" max="2" width="4.140625" customWidth="1"/>
    <col min="3" max="3" width="3.7109375" style="72" customWidth="1"/>
    <col min="4" max="4" width="54.42578125" style="72" customWidth="1"/>
    <col min="5" max="5" width="16.5703125" customWidth="1"/>
    <col min="6" max="6" width="17.28515625" hidden="1" customWidth="1"/>
    <col min="7" max="7" width="20.5703125" customWidth="1"/>
    <col min="8" max="8" width="17.5703125" customWidth="1"/>
    <col min="9" max="9" width="18.7109375" style="72" customWidth="1"/>
    <col min="10" max="10" width="22.85546875" style="72" customWidth="1"/>
    <col min="11" max="11" width="3.28515625" customWidth="1"/>
    <col min="12" max="12" width="19.7109375" customWidth="1"/>
    <col min="13" max="13" width="0.7109375" customWidth="1"/>
    <col min="14" max="14" width="11.7109375" customWidth="1"/>
  </cols>
  <sheetData>
    <row r="1" spans="1:14" s="72" customFormat="1" thickBot="1" x14ac:dyDescent="0.35"/>
    <row r="2" spans="1:14" s="11" customFormat="1" ht="27.75" thickBot="1" x14ac:dyDescent="0.3">
      <c r="A2" s="72"/>
      <c r="B2" s="355" t="s">
        <v>73</v>
      </c>
      <c r="C2" s="355"/>
      <c r="D2" s="355"/>
      <c r="E2" s="355"/>
      <c r="F2" s="84" t="s">
        <v>59</v>
      </c>
      <c r="G2" s="85" t="s">
        <v>60</v>
      </c>
      <c r="H2" s="86" t="s">
        <v>164</v>
      </c>
      <c r="I2" s="298" t="s">
        <v>172</v>
      </c>
      <c r="J2" s="72"/>
      <c r="L2" s="352" t="s">
        <v>171</v>
      </c>
      <c r="M2" s="353"/>
      <c r="N2" s="354"/>
    </row>
    <row r="3" spans="1:14" s="11" customFormat="1" ht="15.75" customHeight="1" thickBot="1" x14ac:dyDescent="0.3">
      <c r="A3" s="72"/>
      <c r="B3" s="356"/>
      <c r="C3" s="356"/>
      <c r="D3" s="356"/>
      <c r="E3" s="356"/>
      <c r="F3" s="87" t="s">
        <v>61</v>
      </c>
      <c r="G3" s="88" t="s">
        <v>62</v>
      </c>
      <c r="H3" s="89" t="s">
        <v>63</v>
      </c>
      <c r="I3" s="89" t="s">
        <v>167</v>
      </c>
      <c r="J3" s="151"/>
      <c r="L3" s="313" t="s">
        <v>165</v>
      </c>
      <c r="M3" s="73"/>
      <c r="N3" s="313" t="s">
        <v>170</v>
      </c>
    </row>
    <row r="4" spans="1:14" s="11" customFormat="1" x14ac:dyDescent="0.25">
      <c r="A4" s="72"/>
      <c r="B4" s="90" t="s">
        <v>0</v>
      </c>
      <c r="C4" s="91"/>
      <c r="D4" s="90"/>
      <c r="E4" s="91"/>
      <c r="F4" s="92">
        <f>F56</f>
        <v>1626211</v>
      </c>
      <c r="G4" s="92">
        <f>G56</f>
        <v>2850394</v>
      </c>
      <c r="H4" s="92">
        <f>SUM(H6:H11)</f>
        <v>2223427.08</v>
      </c>
      <c r="I4" s="92">
        <v>2223427.08</v>
      </c>
      <c r="J4" s="145"/>
      <c r="K4" s="72"/>
      <c r="L4" s="314">
        <f>SUM(L6:L11)</f>
        <v>2218409.27</v>
      </c>
      <c r="M4" s="73"/>
      <c r="N4" s="315">
        <f>(L4-H4)/H4</f>
        <v>-2.2567908995693511E-3</v>
      </c>
    </row>
    <row r="5" spans="1:14" s="72" customFormat="1" ht="15.75" x14ac:dyDescent="0.3">
      <c r="B5" s="93"/>
      <c r="C5" s="94" t="s">
        <v>41</v>
      </c>
      <c r="D5" s="94"/>
      <c r="E5" s="95"/>
      <c r="F5" s="96"/>
      <c r="G5" s="97"/>
      <c r="H5" s="97"/>
      <c r="I5" s="97"/>
      <c r="J5" s="146"/>
      <c r="L5" s="316"/>
      <c r="M5" s="73"/>
      <c r="N5" s="317"/>
    </row>
    <row r="6" spans="1:14" s="72" customFormat="1" ht="14.45" x14ac:dyDescent="0.3">
      <c r="B6" s="93"/>
      <c r="C6" s="94"/>
      <c r="D6" s="98" t="s">
        <v>148</v>
      </c>
      <c r="E6" s="95"/>
      <c r="F6" s="160">
        <f>F52</f>
        <v>980000</v>
      </c>
      <c r="G6" s="160">
        <f>G52</f>
        <v>980000</v>
      </c>
      <c r="H6" s="160">
        <f>H52+H54+H55</f>
        <v>1805427.08</v>
      </c>
      <c r="I6" s="160">
        <f>I52+I54+I55</f>
        <v>1805427.08</v>
      </c>
      <c r="J6" s="152"/>
      <c r="L6" s="318">
        <f>L52</f>
        <v>1995963.83</v>
      </c>
      <c r="M6" s="73"/>
      <c r="N6" s="319">
        <f>(L6-H6)/H6</f>
        <v>0.10553555560936861</v>
      </c>
    </row>
    <row r="7" spans="1:14" s="72" customFormat="1" ht="15.75" x14ac:dyDescent="0.3">
      <c r="B7" s="93"/>
      <c r="C7" s="94"/>
      <c r="D7" s="98" t="s">
        <v>43</v>
      </c>
      <c r="E7" s="95"/>
      <c r="F7" s="160">
        <f>F48+F49</f>
        <v>148000</v>
      </c>
      <c r="G7" s="160">
        <f>G48+G49</f>
        <v>148000</v>
      </c>
      <c r="H7" s="160">
        <f>H48+H49</f>
        <v>148000</v>
      </c>
      <c r="I7" s="160">
        <f>I48+I49</f>
        <v>148000</v>
      </c>
      <c r="J7" s="152"/>
      <c r="L7" s="318">
        <f>L48</f>
        <v>222445.44</v>
      </c>
      <c r="M7" s="73"/>
      <c r="N7" s="319">
        <f>(L7-H7)/H7</f>
        <v>0.50300972972972979</v>
      </c>
    </row>
    <row r="8" spans="1:14" s="72" customFormat="1" ht="15.75" x14ac:dyDescent="0.3">
      <c r="B8" s="93"/>
      <c r="C8" s="94"/>
      <c r="D8" s="98" t="s">
        <v>44</v>
      </c>
      <c r="E8" s="95"/>
      <c r="F8" s="160">
        <f t="shared" ref="F8:G8" si="0">F53</f>
        <v>0</v>
      </c>
      <c r="G8" s="160">
        <f t="shared" si="0"/>
        <v>0</v>
      </c>
      <c r="H8" s="160">
        <f>H53</f>
        <v>270000</v>
      </c>
      <c r="I8" s="160">
        <f>I53</f>
        <v>270000</v>
      </c>
      <c r="J8" s="152"/>
      <c r="L8" s="318"/>
      <c r="M8" s="73"/>
      <c r="N8" s="317"/>
    </row>
    <row r="9" spans="1:14" s="72" customFormat="1" ht="15.75" x14ac:dyDescent="0.3">
      <c r="B9" s="93"/>
      <c r="C9" s="94" t="s">
        <v>45</v>
      </c>
      <c r="D9" s="98"/>
      <c r="E9" s="95"/>
      <c r="F9" s="96"/>
      <c r="G9" s="97"/>
      <c r="H9" s="97"/>
      <c r="I9" s="97"/>
      <c r="J9" s="146"/>
      <c r="L9" s="316"/>
      <c r="M9" s="73"/>
      <c r="N9" s="317"/>
    </row>
    <row r="10" spans="1:14" s="72" customFormat="1" ht="14.45" x14ac:dyDescent="0.3">
      <c r="B10" s="93"/>
      <c r="C10" s="94"/>
      <c r="D10" s="98" t="s">
        <v>42</v>
      </c>
      <c r="E10" s="95"/>
      <c r="F10" s="161">
        <f>F51+F52</f>
        <v>980000</v>
      </c>
      <c r="G10" s="161">
        <f>G51</f>
        <v>1224183</v>
      </c>
      <c r="H10" s="161">
        <f>H51</f>
        <v>0</v>
      </c>
      <c r="I10" s="161"/>
      <c r="J10" s="144"/>
      <c r="L10" s="320"/>
      <c r="M10" s="73"/>
      <c r="N10" s="317"/>
    </row>
    <row r="11" spans="1:14" s="72" customFormat="1" ht="15.75" x14ac:dyDescent="0.3">
      <c r="B11" s="93"/>
      <c r="C11" s="94"/>
      <c r="D11" s="98" t="s">
        <v>46</v>
      </c>
      <c r="E11" s="95"/>
      <c r="F11" s="161">
        <f>F50</f>
        <v>498211</v>
      </c>
      <c r="G11" s="161">
        <f>G50</f>
        <v>498211</v>
      </c>
      <c r="H11" s="161">
        <f>H50</f>
        <v>0</v>
      </c>
      <c r="I11" s="161"/>
      <c r="J11" s="144"/>
      <c r="L11" s="320"/>
      <c r="M11" s="73"/>
      <c r="N11" s="317"/>
    </row>
    <row r="12" spans="1:14" s="72" customFormat="1" ht="3" customHeight="1" thickBot="1" x14ac:dyDescent="0.35">
      <c r="B12" s="99"/>
      <c r="C12" s="100"/>
      <c r="D12" s="101"/>
      <c r="E12" s="102"/>
      <c r="F12" s="103"/>
      <c r="G12" s="103"/>
      <c r="H12" s="103"/>
      <c r="I12" s="103"/>
      <c r="J12" s="144"/>
      <c r="L12" s="321"/>
      <c r="M12" s="73"/>
      <c r="N12" s="322"/>
    </row>
    <row r="13" spans="1:14" s="11" customFormat="1" ht="14.45" x14ac:dyDescent="0.3">
      <c r="A13" s="72"/>
      <c r="B13" s="104" t="s">
        <v>13</v>
      </c>
      <c r="C13" s="105"/>
      <c r="D13" s="105"/>
      <c r="E13" s="106"/>
      <c r="F13" s="107">
        <f>F62</f>
        <v>929928.54</v>
      </c>
      <c r="G13" s="108">
        <f>G62</f>
        <v>929928.54</v>
      </c>
      <c r="H13" s="108">
        <f>H62</f>
        <v>970797.15249999997</v>
      </c>
      <c r="I13" s="108">
        <v>970797.15249999997</v>
      </c>
      <c r="J13" s="145"/>
      <c r="L13" s="314"/>
      <c r="M13" s="73"/>
      <c r="N13" s="315"/>
    </row>
    <row r="14" spans="1:14" s="72" customFormat="1" ht="3" customHeight="1" thickBot="1" x14ac:dyDescent="0.35">
      <c r="B14" s="109"/>
      <c r="C14" s="110"/>
      <c r="D14" s="110"/>
      <c r="E14" s="111"/>
      <c r="F14" s="112"/>
      <c r="G14" s="113"/>
      <c r="H14" s="113"/>
      <c r="I14" s="113"/>
      <c r="J14" s="145"/>
      <c r="L14" s="323"/>
      <c r="M14" s="73"/>
      <c r="N14" s="322"/>
    </row>
    <row r="15" spans="1:14" s="11" customFormat="1" ht="14.45" x14ac:dyDescent="0.3">
      <c r="A15" s="72"/>
      <c r="B15" s="104" t="s">
        <v>18</v>
      </c>
      <c r="C15" s="105"/>
      <c r="D15" s="105"/>
      <c r="E15" s="106"/>
      <c r="F15" s="107">
        <f>F66</f>
        <v>482286.03</v>
      </c>
      <c r="G15" s="108">
        <f>G66</f>
        <v>482286.03</v>
      </c>
      <c r="H15" s="108">
        <f>H66</f>
        <v>457383.3075</v>
      </c>
      <c r="I15" s="108">
        <v>457383.3075</v>
      </c>
      <c r="J15" s="145"/>
      <c r="L15" s="314">
        <f>L66</f>
        <v>958110.05</v>
      </c>
      <c r="M15" s="73"/>
      <c r="N15" s="315">
        <f>(L15-H15)/H15</f>
        <v>1.0947639196474175</v>
      </c>
    </row>
    <row r="16" spans="1:14" s="72" customFormat="1" ht="3" customHeight="1" thickBot="1" x14ac:dyDescent="0.35">
      <c r="B16" s="109"/>
      <c r="C16" s="110"/>
      <c r="D16" s="110"/>
      <c r="E16" s="111"/>
      <c r="F16" s="112"/>
      <c r="G16" s="113"/>
      <c r="H16" s="113"/>
      <c r="I16" s="113"/>
      <c r="J16" s="145"/>
      <c r="L16" s="323"/>
      <c r="M16" s="73"/>
      <c r="N16" s="322"/>
    </row>
    <row r="17" spans="1:14" s="11" customFormat="1" x14ac:dyDescent="0.25">
      <c r="A17" s="72"/>
      <c r="B17" s="104" t="s">
        <v>109</v>
      </c>
      <c r="C17" s="159"/>
      <c r="D17" s="159"/>
      <c r="E17" s="106"/>
      <c r="F17" s="107">
        <f>F72</f>
        <v>346823.61</v>
      </c>
      <c r="G17" s="108">
        <f>G72</f>
        <v>346823.61</v>
      </c>
      <c r="H17" s="108">
        <f>H72</f>
        <v>371823.61</v>
      </c>
      <c r="I17" s="108">
        <v>371823.61</v>
      </c>
      <c r="J17" s="145"/>
      <c r="L17" s="314"/>
      <c r="M17" s="73"/>
      <c r="N17" s="315"/>
    </row>
    <row r="18" spans="1:14" s="72" customFormat="1" ht="3" customHeight="1" thickBot="1" x14ac:dyDescent="0.35">
      <c r="B18" s="109"/>
      <c r="C18" s="110"/>
      <c r="D18" s="110"/>
      <c r="E18" s="111"/>
      <c r="F18" s="112"/>
      <c r="G18" s="113"/>
      <c r="H18" s="113"/>
      <c r="I18" s="113"/>
      <c r="J18" s="145"/>
      <c r="L18" s="323"/>
      <c r="M18" s="73"/>
      <c r="N18" s="322"/>
    </row>
    <row r="19" spans="1:14" s="11" customFormat="1" x14ac:dyDescent="0.25">
      <c r="A19" s="72"/>
      <c r="B19" s="104" t="s">
        <v>110</v>
      </c>
      <c r="C19" s="105"/>
      <c r="D19" s="105"/>
      <c r="E19" s="106"/>
      <c r="F19" s="108">
        <f>SUM(F20:F26)</f>
        <v>1238221.82</v>
      </c>
      <c r="G19" s="108">
        <f>SUM(G20:G26)</f>
        <v>3600311.82</v>
      </c>
      <c r="H19" s="108">
        <f>SUM(H20:H26)</f>
        <v>2724675.8</v>
      </c>
      <c r="I19" s="108">
        <f>SUM(I20:I26)</f>
        <v>3036675.8</v>
      </c>
      <c r="J19" s="145"/>
      <c r="L19" s="314"/>
      <c r="M19" s="73"/>
      <c r="N19" s="315"/>
    </row>
    <row r="20" spans="1:14" s="72" customFormat="1" ht="15.75" x14ac:dyDescent="0.3">
      <c r="B20" s="114"/>
      <c r="C20" s="115" t="s">
        <v>47</v>
      </c>
      <c r="D20" s="115"/>
      <c r="E20" s="116"/>
      <c r="F20" s="117"/>
      <c r="G20" s="117"/>
      <c r="H20" s="117"/>
      <c r="I20" s="117"/>
      <c r="J20" s="152"/>
      <c r="L20" s="316"/>
      <c r="M20" s="73"/>
      <c r="N20" s="317"/>
    </row>
    <row r="21" spans="1:14" s="72" customFormat="1" ht="15.75" x14ac:dyDescent="0.3">
      <c r="B21" s="114"/>
      <c r="C21" s="115"/>
      <c r="D21" s="162" t="s">
        <v>74</v>
      </c>
      <c r="E21" s="116"/>
      <c r="F21" s="163">
        <f>F75+F76</f>
        <v>588221.82000000007</v>
      </c>
      <c r="G21" s="163">
        <f>G75+G76</f>
        <v>588221.81999999995</v>
      </c>
      <c r="H21" s="163">
        <f>H75+H76</f>
        <v>469998</v>
      </c>
      <c r="I21" s="163">
        <f>I75+I76</f>
        <v>469998</v>
      </c>
      <c r="J21" s="152"/>
      <c r="L21" s="316"/>
      <c r="M21" s="73"/>
      <c r="N21" s="317"/>
    </row>
    <row r="22" spans="1:14" s="72" customFormat="1" ht="15.75" x14ac:dyDescent="0.3">
      <c r="B22" s="114"/>
      <c r="C22" s="115" t="s">
        <v>48</v>
      </c>
      <c r="D22" s="115"/>
      <c r="E22" s="116"/>
      <c r="F22" s="163"/>
      <c r="G22" s="163"/>
      <c r="H22" s="163"/>
      <c r="I22" s="163"/>
      <c r="J22" s="152"/>
      <c r="L22" s="316"/>
      <c r="M22" s="73"/>
      <c r="N22" s="317"/>
    </row>
    <row r="23" spans="1:14" s="72" customFormat="1" ht="15.75" x14ac:dyDescent="0.3">
      <c r="B23" s="114"/>
      <c r="C23" s="115"/>
      <c r="D23" s="162" t="s">
        <v>49</v>
      </c>
      <c r="E23" s="116"/>
      <c r="F23" s="163">
        <f>F77</f>
        <v>0</v>
      </c>
      <c r="G23" s="163">
        <f>G77</f>
        <v>507090</v>
      </c>
      <c r="H23" s="163">
        <f>H77</f>
        <v>400368</v>
      </c>
      <c r="I23" s="163">
        <f>I77</f>
        <v>400368</v>
      </c>
      <c r="J23" s="152"/>
      <c r="L23" s="316"/>
      <c r="M23" s="73"/>
      <c r="N23" s="317"/>
    </row>
    <row r="24" spans="1:14" s="72" customFormat="1" ht="15.75" x14ac:dyDescent="0.3">
      <c r="B24" s="114"/>
      <c r="C24" s="115"/>
      <c r="D24" s="162" t="s">
        <v>50</v>
      </c>
      <c r="E24" s="116"/>
      <c r="F24" s="163">
        <f>F80+F82+F83+F84+F85+F78</f>
        <v>0</v>
      </c>
      <c r="G24" s="163">
        <f>G78+G80+G82+G83+G84+G85</f>
        <v>1455000</v>
      </c>
      <c r="H24" s="163">
        <f>SUM(H78:H87)</f>
        <v>1274000</v>
      </c>
      <c r="I24" s="299">
        <f>SUM(I78:I87)</f>
        <v>1514000</v>
      </c>
      <c r="J24" s="152"/>
      <c r="L24" s="316"/>
      <c r="M24" s="73"/>
      <c r="N24" s="317"/>
    </row>
    <row r="25" spans="1:14" s="72" customFormat="1" ht="15.75" x14ac:dyDescent="0.3">
      <c r="B25" s="114"/>
      <c r="C25" s="115"/>
      <c r="D25" s="162" t="s">
        <v>71</v>
      </c>
      <c r="E25" s="116"/>
      <c r="F25" s="164">
        <f>F81</f>
        <v>0</v>
      </c>
      <c r="G25" s="164">
        <f>G81</f>
        <v>400000</v>
      </c>
      <c r="H25" s="275">
        <f>H81</f>
        <v>0</v>
      </c>
      <c r="I25" s="275">
        <f>I81</f>
        <v>0</v>
      </c>
      <c r="J25" s="152"/>
      <c r="L25" s="324"/>
      <c r="M25" s="73"/>
      <c r="N25" s="325"/>
    </row>
    <row r="26" spans="1:14" s="72" customFormat="1" ht="15.75" x14ac:dyDescent="0.3">
      <c r="B26" s="114"/>
      <c r="C26" s="115" t="s">
        <v>72</v>
      </c>
      <c r="D26" s="162"/>
      <c r="E26" s="116"/>
      <c r="F26" s="163">
        <f>F88</f>
        <v>650000</v>
      </c>
      <c r="G26" s="163">
        <f>G88</f>
        <v>650000</v>
      </c>
      <c r="H26" s="163">
        <f>H88</f>
        <v>580309.79999999993</v>
      </c>
      <c r="I26" s="299">
        <f>I88</f>
        <v>652309.79999999993</v>
      </c>
      <c r="J26" s="152"/>
      <c r="L26" s="316"/>
      <c r="M26" s="73"/>
      <c r="N26" s="317"/>
    </row>
    <row r="27" spans="1:14" s="76" customFormat="1" ht="3" customHeight="1" thickBot="1" x14ac:dyDescent="0.35">
      <c r="B27" s="119"/>
      <c r="C27" s="120"/>
      <c r="D27" s="121"/>
      <c r="E27" s="122"/>
      <c r="F27" s="123"/>
      <c r="G27" s="124"/>
      <c r="H27" s="124"/>
      <c r="I27" s="124"/>
      <c r="J27" s="146"/>
      <c r="L27" s="326"/>
      <c r="M27" s="74"/>
      <c r="N27" s="327"/>
    </row>
    <row r="28" spans="1:14" s="11" customFormat="1" x14ac:dyDescent="0.25">
      <c r="A28" s="72"/>
      <c r="B28" s="104" t="s">
        <v>111</v>
      </c>
      <c r="C28" s="105"/>
      <c r="D28" s="105"/>
      <c r="E28" s="106"/>
      <c r="F28" s="108">
        <f>F96</f>
        <v>0</v>
      </c>
      <c r="G28" s="108">
        <f>G96</f>
        <v>652550</v>
      </c>
      <c r="H28" s="108">
        <f>H96</f>
        <v>985238.49</v>
      </c>
      <c r="I28" s="108">
        <v>985238.49</v>
      </c>
      <c r="J28" s="145"/>
      <c r="L28" s="314"/>
      <c r="M28" s="73"/>
      <c r="N28" s="315"/>
    </row>
    <row r="29" spans="1:14" s="72" customFormat="1" ht="15.75" x14ac:dyDescent="0.3">
      <c r="B29" s="114"/>
      <c r="C29" s="115" t="s">
        <v>51</v>
      </c>
      <c r="D29" s="118"/>
      <c r="E29" s="116"/>
      <c r="F29" s="117"/>
      <c r="G29" s="117"/>
      <c r="H29" s="117"/>
      <c r="I29" s="117"/>
      <c r="J29" s="152"/>
      <c r="L29" s="316"/>
      <c r="M29" s="73"/>
      <c r="N29" s="317"/>
    </row>
    <row r="30" spans="1:14" s="72" customFormat="1" ht="15.75" x14ac:dyDescent="0.3">
      <c r="B30" s="114"/>
      <c r="C30" s="115"/>
      <c r="D30" s="162" t="s">
        <v>49</v>
      </c>
      <c r="E30" s="116"/>
      <c r="F30" s="163">
        <f>'Custo '!F92</f>
        <v>0</v>
      </c>
      <c r="G30" s="163">
        <f>'Custo '!G92</f>
        <v>0</v>
      </c>
      <c r="H30" s="163">
        <v>286463.99</v>
      </c>
      <c r="I30" s="163">
        <v>286463.99</v>
      </c>
      <c r="J30" s="152"/>
      <c r="L30" s="316"/>
      <c r="M30" s="73"/>
      <c r="N30" s="317"/>
    </row>
    <row r="31" spans="1:14" s="72" customFormat="1" ht="15.75" x14ac:dyDescent="0.3">
      <c r="B31" s="114"/>
      <c r="C31" s="115"/>
      <c r="D31" s="162" t="s">
        <v>95</v>
      </c>
      <c r="E31" s="116"/>
      <c r="F31" s="163">
        <f>F93+F94+F95</f>
        <v>0</v>
      </c>
      <c r="G31" s="163">
        <f>G94+G95</f>
        <v>402550</v>
      </c>
      <c r="H31" s="163">
        <f>H94+H95</f>
        <v>698774.5</v>
      </c>
      <c r="I31" s="163">
        <f>I94+I95</f>
        <v>698774.5</v>
      </c>
      <c r="J31" s="153"/>
      <c r="L31" s="316"/>
      <c r="M31" s="73"/>
      <c r="N31" s="317"/>
    </row>
    <row r="32" spans="1:14" s="72" customFormat="1" ht="15.75" x14ac:dyDescent="0.3">
      <c r="B32" s="114"/>
      <c r="C32" s="115"/>
      <c r="D32" s="162" t="s">
        <v>97</v>
      </c>
      <c r="E32" s="116"/>
      <c r="F32" s="164">
        <f>F93</f>
        <v>0</v>
      </c>
      <c r="G32" s="164">
        <f>G93</f>
        <v>250000</v>
      </c>
      <c r="H32" s="117"/>
      <c r="I32" s="117"/>
      <c r="J32" s="153"/>
      <c r="L32" s="324"/>
      <c r="M32" s="73"/>
      <c r="N32" s="325"/>
    </row>
    <row r="33" spans="1:14" s="76" customFormat="1" ht="3" customHeight="1" thickBot="1" x14ac:dyDescent="0.35">
      <c r="B33" s="125"/>
      <c r="C33" s="126"/>
      <c r="D33" s="126"/>
      <c r="E33" s="127"/>
      <c r="F33" s="128"/>
      <c r="G33" s="129"/>
      <c r="H33" s="129"/>
      <c r="I33" s="129"/>
      <c r="J33" s="147"/>
      <c r="K33" s="74"/>
      <c r="L33" s="328"/>
      <c r="M33" s="74"/>
      <c r="N33" s="327"/>
    </row>
    <row r="34" spans="1:14" s="11" customFormat="1" x14ac:dyDescent="0.25">
      <c r="A34" s="72"/>
      <c r="B34" s="104" t="s">
        <v>104</v>
      </c>
      <c r="C34" s="105"/>
      <c r="D34" s="105"/>
      <c r="E34" s="106"/>
      <c r="F34" s="108">
        <f>F108</f>
        <v>0</v>
      </c>
      <c r="G34" s="108">
        <f>G108</f>
        <v>0</v>
      </c>
      <c r="H34" s="130">
        <f>SUM(H35:H39)</f>
        <v>1512394.598</v>
      </c>
      <c r="I34" s="108">
        <f>I36+I38+I39</f>
        <v>1072394.598</v>
      </c>
      <c r="J34" s="145"/>
      <c r="K34" s="73"/>
      <c r="L34" s="314"/>
      <c r="M34" s="73"/>
      <c r="N34" s="315"/>
    </row>
    <row r="35" spans="1:14" s="72" customFormat="1" ht="15.75" x14ac:dyDescent="0.3">
      <c r="B35" s="131"/>
      <c r="C35" s="132" t="s">
        <v>52</v>
      </c>
      <c r="D35" s="132"/>
      <c r="E35" s="133"/>
      <c r="F35" s="134"/>
      <c r="G35" s="135"/>
      <c r="H35" s="135"/>
      <c r="I35" s="294"/>
      <c r="J35" s="147"/>
      <c r="K35" s="73"/>
      <c r="L35" s="316"/>
      <c r="M35" s="73"/>
      <c r="N35" s="317"/>
    </row>
    <row r="36" spans="1:14" s="72" customFormat="1" ht="15.75" x14ac:dyDescent="0.3">
      <c r="B36" s="114"/>
      <c r="C36" s="115"/>
      <c r="D36" s="162" t="s">
        <v>49</v>
      </c>
      <c r="E36" s="116"/>
      <c r="F36" s="163">
        <f>F99</f>
        <v>0</v>
      </c>
      <c r="G36" s="163">
        <f>G99</f>
        <v>0</v>
      </c>
      <c r="H36" s="163">
        <f>H99</f>
        <v>273380.46000000002</v>
      </c>
      <c r="I36" s="293">
        <f t="shared" ref="I36" si="1">I99</f>
        <v>273380.46000000002</v>
      </c>
      <c r="J36" s="297"/>
      <c r="K36" s="73"/>
      <c r="L36" s="316"/>
      <c r="M36" s="73"/>
      <c r="N36" s="317"/>
    </row>
    <row r="37" spans="1:14" s="72" customFormat="1" ht="15.75" x14ac:dyDescent="0.3">
      <c r="B37" s="114"/>
      <c r="C37" s="115"/>
      <c r="D37" s="162" t="s">
        <v>53</v>
      </c>
      <c r="E37" s="116"/>
      <c r="F37" s="163">
        <f>F102+F104+F105+F106</f>
        <v>0</v>
      </c>
      <c r="G37" s="163">
        <f>G102+G104+G105+G106</f>
        <v>0</v>
      </c>
      <c r="H37" s="163">
        <f>H102+H104+H105+H106</f>
        <v>890000</v>
      </c>
      <c r="I37" s="330" t="s">
        <v>176</v>
      </c>
      <c r="J37" s="297"/>
      <c r="K37" s="73"/>
      <c r="L37" s="316"/>
      <c r="M37" s="73"/>
      <c r="N37" s="317"/>
    </row>
    <row r="38" spans="1:14" s="72" customFormat="1" ht="15.75" x14ac:dyDescent="0.3">
      <c r="B38" s="114"/>
      <c r="C38" s="115"/>
      <c r="D38" s="162" t="s">
        <v>42</v>
      </c>
      <c r="E38" s="116"/>
      <c r="F38" s="163">
        <f>F101</f>
        <v>0</v>
      </c>
      <c r="G38" s="163">
        <f>G101</f>
        <v>0</v>
      </c>
      <c r="H38" s="163">
        <f>H101</f>
        <v>0</v>
      </c>
      <c r="I38" s="293">
        <v>450000</v>
      </c>
      <c r="J38" s="297"/>
      <c r="K38" s="73"/>
      <c r="L38" s="316"/>
      <c r="M38" s="73"/>
      <c r="N38" s="317"/>
    </row>
    <row r="39" spans="1:14" s="72" customFormat="1" ht="16.5" thickBot="1" x14ac:dyDescent="0.35">
      <c r="B39" s="131"/>
      <c r="C39" s="132"/>
      <c r="D39" s="162" t="s">
        <v>72</v>
      </c>
      <c r="E39" s="133"/>
      <c r="F39" s="163">
        <f>(SUM(F36:F38)) * 0.2</f>
        <v>0</v>
      </c>
      <c r="G39" s="163">
        <f>(SUM(G36:G38)) * 0.2</f>
        <v>0</v>
      </c>
      <c r="H39" s="163">
        <f>H107</f>
        <v>349014.13799999998</v>
      </c>
      <c r="I39" s="163">
        <f>I107</f>
        <v>349014.13799999998</v>
      </c>
      <c r="J39" s="297"/>
      <c r="K39" s="73"/>
      <c r="L39" s="316"/>
      <c r="M39" s="73"/>
      <c r="N39" s="317"/>
    </row>
    <row r="40" spans="1:14" s="11" customFormat="1" ht="15.75" thickBot="1" x14ac:dyDescent="0.3">
      <c r="A40" s="72"/>
      <c r="B40" s="169" t="s">
        <v>54</v>
      </c>
      <c r="C40" s="170"/>
      <c r="D40" s="170"/>
      <c r="E40" s="171"/>
      <c r="F40" s="172">
        <f>F34+F28+F19+F17+F15+F13+F4</f>
        <v>4623471</v>
      </c>
      <c r="G40" s="172">
        <f>G34+G28+G19+G17+G15+G13+G4</f>
        <v>8862294</v>
      </c>
      <c r="H40" s="173">
        <f>H34+H28+H19+H17+H15+H13+H4</f>
        <v>9245740.0380000006</v>
      </c>
      <c r="I40" s="173">
        <f>I34+I28+I19+I17+I15+I13+I4</f>
        <v>9117740.0380000006</v>
      </c>
      <c r="J40" s="332"/>
      <c r="L40" s="329">
        <f>L34+L28+L19+L17+L15+L13+L4</f>
        <v>3176519.3200000003</v>
      </c>
      <c r="M40" s="77"/>
      <c r="N40" s="312"/>
    </row>
    <row r="41" spans="1:14" s="18" customFormat="1" x14ac:dyDescent="0.25">
      <c r="A41" s="76"/>
      <c r="B41" s="22"/>
      <c r="C41" s="78"/>
      <c r="D41" s="78"/>
      <c r="E41" s="22"/>
      <c r="F41" s="70"/>
      <c r="G41" s="70"/>
      <c r="H41" s="178"/>
      <c r="I41" s="70"/>
      <c r="J41" s="70"/>
      <c r="L41" s="178"/>
    </row>
    <row r="42" spans="1:14" s="76" customFormat="1" x14ac:dyDescent="0.25">
      <c r="B42" s="78"/>
      <c r="C42" s="78"/>
      <c r="D42" s="78"/>
      <c r="E42" s="78"/>
      <c r="F42" s="70"/>
      <c r="G42" s="70"/>
      <c r="H42" s="70"/>
      <c r="I42" s="70"/>
      <c r="J42" s="70"/>
    </row>
    <row r="43" spans="1:14" s="76" customFormat="1" x14ac:dyDescent="0.25">
      <c r="B43" s="78"/>
      <c r="C43" s="78"/>
      <c r="D43" s="78"/>
      <c r="E43" s="78"/>
      <c r="F43" s="70"/>
      <c r="G43" s="70"/>
      <c r="H43" s="70"/>
      <c r="I43" s="70"/>
      <c r="J43" s="70"/>
    </row>
    <row r="44" spans="1:14" s="76" customFormat="1" ht="7.5" customHeight="1" x14ac:dyDescent="0.25">
      <c r="B44" s="137"/>
      <c r="C44" s="137"/>
      <c r="D44" s="137"/>
      <c r="E44" s="137"/>
      <c r="F44" s="138"/>
      <c r="G44" s="138"/>
      <c r="H44" s="138"/>
      <c r="I44" s="138"/>
      <c r="J44" s="138"/>
      <c r="K44" s="138"/>
      <c r="L44" s="138"/>
      <c r="M44" s="138"/>
      <c r="N44" s="138"/>
    </row>
    <row r="45" spans="1:14" s="76" customFormat="1" x14ac:dyDescent="0.25">
      <c r="B45" s="78"/>
      <c r="C45" s="78"/>
      <c r="D45" s="78"/>
      <c r="E45" s="78"/>
      <c r="F45" s="70"/>
      <c r="G45" s="70"/>
      <c r="H45" s="70"/>
      <c r="I45" s="70"/>
      <c r="J45" s="70"/>
    </row>
    <row r="46" spans="1:14" s="11" customFormat="1" ht="21.75" thickBot="1" x14ac:dyDescent="0.4">
      <c r="A46" s="72"/>
      <c r="B46" s="136" t="s">
        <v>64</v>
      </c>
      <c r="C46" s="136"/>
      <c r="D46" s="136"/>
      <c r="F46" s="67" t="s">
        <v>59</v>
      </c>
      <c r="G46" s="68" t="s">
        <v>60</v>
      </c>
      <c r="H46" s="69">
        <v>41730</v>
      </c>
      <c r="I46" s="148"/>
      <c r="J46" s="148"/>
    </row>
    <row r="47" spans="1:14" ht="15.75" thickBot="1" x14ac:dyDescent="0.3">
      <c r="B47" s="65" t="s">
        <v>0</v>
      </c>
      <c r="C47" s="66"/>
      <c r="D47" s="66"/>
      <c r="E47" s="66" t="s">
        <v>1</v>
      </c>
      <c r="F47" s="62" t="s">
        <v>61</v>
      </c>
      <c r="G47" s="63" t="s">
        <v>62</v>
      </c>
      <c r="H47" s="64" t="s">
        <v>89</v>
      </c>
      <c r="I47" s="64"/>
      <c r="J47" s="64" t="s">
        <v>90</v>
      </c>
      <c r="K47" s="1"/>
      <c r="L47" s="292" t="s">
        <v>165</v>
      </c>
    </row>
    <row r="48" spans="1:14" x14ac:dyDescent="0.25">
      <c r="B48" s="26" t="s">
        <v>2</v>
      </c>
      <c r="C48" s="27"/>
      <c r="D48" s="27"/>
      <c r="E48" s="27" t="s">
        <v>3</v>
      </c>
      <c r="F48" s="39">
        <v>74000</v>
      </c>
      <c r="G48" s="30">
        <v>74000</v>
      </c>
      <c r="H48" s="34">
        <v>74000</v>
      </c>
      <c r="I48" s="285">
        <f>H48</f>
        <v>74000</v>
      </c>
      <c r="J48" s="285" t="s">
        <v>91</v>
      </c>
      <c r="K48" s="1"/>
      <c r="L48" s="350">
        <v>222445.44</v>
      </c>
    </row>
    <row r="49" spans="2:13" x14ac:dyDescent="0.25">
      <c r="B49" s="15" t="s">
        <v>4</v>
      </c>
      <c r="C49" s="74"/>
      <c r="D49" s="74"/>
      <c r="E49" s="13" t="s">
        <v>3</v>
      </c>
      <c r="F49" s="40">
        <v>74000</v>
      </c>
      <c r="G49" s="31">
        <v>74000</v>
      </c>
      <c r="H49" s="35">
        <v>74000</v>
      </c>
      <c r="I49" s="286">
        <f>H49</f>
        <v>74000</v>
      </c>
      <c r="J49" s="286" t="s">
        <v>91</v>
      </c>
      <c r="K49" s="1"/>
      <c r="L49" s="351"/>
    </row>
    <row r="50" spans="2:13" x14ac:dyDescent="0.25">
      <c r="B50" s="15" t="s">
        <v>5</v>
      </c>
      <c r="C50" s="74"/>
      <c r="D50" s="74"/>
      <c r="E50" s="13" t="s">
        <v>3</v>
      </c>
      <c r="F50" s="40">
        <v>498211</v>
      </c>
      <c r="G50" s="31">
        <v>498211</v>
      </c>
      <c r="H50" s="36">
        <v>0</v>
      </c>
      <c r="I50" s="286">
        <f t="shared" ref="I50:I55" si="2">H50</f>
        <v>0</v>
      </c>
      <c r="J50" s="287"/>
      <c r="K50" s="1"/>
      <c r="L50" s="351"/>
    </row>
    <row r="51" spans="2:13" x14ac:dyDescent="0.25">
      <c r="B51" s="15" t="s">
        <v>6</v>
      </c>
      <c r="C51" s="74"/>
      <c r="D51" s="74"/>
      <c r="E51" s="13" t="s">
        <v>7</v>
      </c>
      <c r="F51" s="40">
        <v>0</v>
      </c>
      <c r="G51" s="31">
        <v>1224183</v>
      </c>
      <c r="H51" s="36">
        <v>0</v>
      </c>
      <c r="I51" s="286">
        <f t="shared" si="2"/>
        <v>0</v>
      </c>
      <c r="J51" s="287"/>
      <c r="K51" s="1"/>
      <c r="L51" s="283"/>
    </row>
    <row r="52" spans="2:13" x14ac:dyDescent="0.25">
      <c r="B52" s="15" t="s">
        <v>8</v>
      </c>
      <c r="C52" s="74"/>
      <c r="D52" s="74"/>
      <c r="E52" s="13" t="s">
        <v>7</v>
      </c>
      <c r="F52" s="40">
        <v>980000</v>
      </c>
      <c r="G52" s="31">
        <v>980000</v>
      </c>
      <c r="H52" s="36">
        <v>1594453.08</v>
      </c>
      <c r="I52" s="286">
        <f t="shared" si="2"/>
        <v>1594453.08</v>
      </c>
      <c r="J52" s="288"/>
      <c r="K52" s="1"/>
      <c r="L52" s="35">
        <v>1995963.83</v>
      </c>
    </row>
    <row r="53" spans="2:13" x14ac:dyDescent="0.25">
      <c r="B53" s="15" t="s">
        <v>9</v>
      </c>
      <c r="C53" s="74"/>
      <c r="D53" s="74"/>
      <c r="E53" s="13" t="s">
        <v>10</v>
      </c>
      <c r="F53" s="40">
        <v>0</v>
      </c>
      <c r="G53" s="31">
        <v>0</v>
      </c>
      <c r="H53" s="35">
        <v>270000</v>
      </c>
      <c r="I53" s="286">
        <f t="shared" si="2"/>
        <v>270000</v>
      </c>
      <c r="J53" s="288"/>
      <c r="K53" s="1"/>
      <c r="L53" s="283"/>
    </row>
    <row r="54" spans="2:13" x14ac:dyDescent="0.25">
      <c r="B54" s="15" t="s">
        <v>11</v>
      </c>
      <c r="C54" s="74"/>
      <c r="D54" s="74"/>
      <c r="E54" s="13" t="s">
        <v>7</v>
      </c>
      <c r="F54" s="40">
        <v>0</v>
      </c>
      <c r="G54" s="31">
        <v>0</v>
      </c>
      <c r="H54" s="35">
        <v>85000</v>
      </c>
      <c r="I54" s="286">
        <f t="shared" si="2"/>
        <v>85000</v>
      </c>
      <c r="J54" s="288"/>
      <c r="K54" s="1"/>
      <c r="L54" s="283"/>
    </row>
    <row r="55" spans="2:13" ht="15.75" thickBot="1" x14ac:dyDescent="0.3">
      <c r="B55" s="16" t="s">
        <v>12</v>
      </c>
      <c r="C55" s="75"/>
      <c r="D55" s="75"/>
      <c r="E55" s="17" t="s">
        <v>7</v>
      </c>
      <c r="F55" s="41">
        <v>0</v>
      </c>
      <c r="G55" s="32">
        <v>0</v>
      </c>
      <c r="H55" s="37">
        <v>125974</v>
      </c>
      <c r="I55" s="286">
        <f t="shared" si="2"/>
        <v>125974</v>
      </c>
      <c r="J55" s="289"/>
      <c r="K55" s="1"/>
      <c r="L55" s="284"/>
    </row>
    <row r="56" spans="2:13" ht="15.75" thickBot="1" x14ac:dyDescent="0.3">
      <c r="B56" s="24" t="s">
        <v>55</v>
      </c>
      <c r="C56" s="83"/>
      <c r="D56" s="83"/>
      <c r="E56" s="25"/>
      <c r="F56" s="42">
        <f>SUM(F48:F55)</f>
        <v>1626211</v>
      </c>
      <c r="G56" s="33">
        <f>SUM(G48:G55)</f>
        <v>2850394</v>
      </c>
      <c r="H56" s="38">
        <f>SUM(H48:H55)</f>
        <v>2223427.08</v>
      </c>
      <c r="I56" s="331">
        <f>SUM(I48:I55)</f>
        <v>2223427.08</v>
      </c>
      <c r="J56" s="166"/>
      <c r="K56" s="2"/>
      <c r="L56" s="38">
        <f>SUM(L48:L55)</f>
        <v>2218409.27</v>
      </c>
    </row>
    <row r="57" spans="2:13" ht="15.75" thickBot="1" x14ac:dyDescent="0.3">
      <c r="B57" s="7"/>
      <c r="C57" s="76"/>
      <c r="D57" s="76"/>
      <c r="E57" s="7"/>
      <c r="F57" s="7"/>
      <c r="G57" s="8"/>
      <c r="H57" s="8"/>
      <c r="I57" s="8"/>
      <c r="J57" s="8"/>
      <c r="K57" s="1"/>
      <c r="L57" s="1"/>
    </row>
    <row r="58" spans="2:13" ht="15.75" thickBot="1" x14ac:dyDescent="0.3">
      <c r="B58" s="65" t="s">
        <v>13</v>
      </c>
      <c r="C58" s="66"/>
      <c r="D58" s="66"/>
      <c r="E58" s="66" t="s">
        <v>1</v>
      </c>
      <c r="F58" s="62" t="s">
        <v>61</v>
      </c>
      <c r="G58" s="63" t="s">
        <v>62</v>
      </c>
      <c r="H58" s="64" t="s">
        <v>63</v>
      </c>
      <c r="I58" s="64"/>
      <c r="J58" s="64" t="s">
        <v>90</v>
      </c>
      <c r="K58" s="1"/>
      <c r="L58" s="292" t="s">
        <v>165</v>
      </c>
    </row>
    <row r="59" spans="2:13" x14ac:dyDescent="0.25">
      <c r="B59" s="4" t="s">
        <v>14</v>
      </c>
      <c r="C59" s="74"/>
      <c r="D59" s="74"/>
      <c r="E59" s="3" t="s">
        <v>3</v>
      </c>
      <c r="F59" s="31">
        <v>929928.54</v>
      </c>
      <c r="G59" s="40">
        <v>929928.54</v>
      </c>
      <c r="H59" s="35">
        <v>900797.15249999997</v>
      </c>
      <c r="I59" s="290">
        <f>H59</f>
        <v>900797.15249999997</v>
      </c>
      <c r="J59" s="290"/>
      <c r="K59" s="1"/>
      <c r="L59" s="35"/>
    </row>
    <row r="60" spans="2:13" x14ac:dyDescent="0.25">
      <c r="B60" s="4" t="s">
        <v>15</v>
      </c>
      <c r="C60" s="74"/>
      <c r="D60" s="74"/>
      <c r="E60" s="3" t="s">
        <v>16</v>
      </c>
      <c r="F60" s="31">
        <v>0</v>
      </c>
      <c r="G60" s="31">
        <v>0</v>
      </c>
      <c r="H60" s="35">
        <v>50000</v>
      </c>
      <c r="I60" s="288">
        <f>H60</f>
        <v>50000</v>
      </c>
      <c r="J60" s="288"/>
      <c r="K60" s="1"/>
      <c r="L60" s="35"/>
    </row>
    <row r="61" spans="2:13" ht="15.75" thickBot="1" x14ac:dyDescent="0.3">
      <c r="B61" s="5" t="s">
        <v>17</v>
      </c>
      <c r="C61" s="75"/>
      <c r="D61" s="75"/>
      <c r="E61" s="6" t="s">
        <v>16</v>
      </c>
      <c r="F61" s="31">
        <v>0</v>
      </c>
      <c r="G61" s="31">
        <v>0</v>
      </c>
      <c r="H61" s="37">
        <v>20000</v>
      </c>
      <c r="I61" s="289">
        <f>H61</f>
        <v>20000</v>
      </c>
      <c r="J61" s="289"/>
      <c r="K61" s="1"/>
      <c r="L61" s="37"/>
    </row>
    <row r="62" spans="2:13" ht="15.75" thickBot="1" x14ac:dyDescent="0.3">
      <c r="B62" s="28" t="s">
        <v>56</v>
      </c>
      <c r="C62" s="59"/>
      <c r="D62" s="59"/>
      <c r="E62" s="29"/>
      <c r="F62" s="43">
        <f>SUM(F59:F61)</f>
        <v>929928.54</v>
      </c>
      <c r="G62" s="45">
        <f>SUM(F62)</f>
        <v>929928.54</v>
      </c>
      <c r="H62" s="44">
        <f>SUM(H59:H61)</f>
        <v>970797.15249999997</v>
      </c>
      <c r="I62" s="44">
        <f>SUM(I59:I61)</f>
        <v>970797.15249999997</v>
      </c>
      <c r="J62" s="166"/>
      <c r="K62" s="1"/>
      <c r="L62" s="44">
        <f>SUM(L59:L61)</f>
        <v>0</v>
      </c>
    </row>
    <row r="63" spans="2:13" ht="15.75" thickBot="1" x14ac:dyDescent="0.3">
      <c r="B63" s="7"/>
      <c r="C63" s="76"/>
      <c r="D63" s="76"/>
      <c r="E63" s="7"/>
      <c r="F63" s="7"/>
      <c r="G63" s="8"/>
      <c r="H63" s="8"/>
      <c r="I63" s="8"/>
      <c r="J63" s="8"/>
      <c r="K63" s="1"/>
      <c r="L63" s="1"/>
      <c r="M63" s="279"/>
    </row>
    <row r="64" spans="2:13" ht="15.75" thickBot="1" x14ac:dyDescent="0.3">
      <c r="B64" s="65" t="s">
        <v>18</v>
      </c>
      <c r="C64" s="66"/>
      <c r="D64" s="66"/>
      <c r="E64" s="66" t="s">
        <v>1</v>
      </c>
      <c r="F64" s="62" t="s">
        <v>61</v>
      </c>
      <c r="G64" s="63" t="s">
        <v>62</v>
      </c>
      <c r="H64" s="64" t="s">
        <v>63</v>
      </c>
      <c r="I64" s="64"/>
      <c r="J64" s="64" t="s">
        <v>90</v>
      </c>
      <c r="K64" s="1"/>
      <c r="L64" s="292" t="s">
        <v>165</v>
      </c>
    </row>
    <row r="65" spans="2:14" ht="15.75" thickBot="1" x14ac:dyDescent="0.3">
      <c r="B65" s="16" t="s">
        <v>14</v>
      </c>
      <c r="C65" s="75"/>
      <c r="D65" s="75"/>
      <c r="E65" s="17" t="s">
        <v>3</v>
      </c>
      <c r="F65" s="46">
        <v>482286.03</v>
      </c>
      <c r="G65" s="48">
        <v>482286.03</v>
      </c>
      <c r="H65" s="47">
        <v>457383.3075</v>
      </c>
      <c r="I65" s="291">
        <f>H65</f>
        <v>457383.3075</v>
      </c>
      <c r="J65" s="291"/>
      <c r="K65" s="1"/>
      <c r="L65" s="47">
        <v>958110.05</v>
      </c>
      <c r="M65" s="280">
        <f>(L65-H65)/H65</f>
        <v>1.0947639196474175</v>
      </c>
    </row>
    <row r="66" spans="2:14" ht="15.75" thickBot="1" x14ac:dyDescent="0.3">
      <c r="B66" s="28" t="s">
        <v>57</v>
      </c>
      <c r="C66" s="59"/>
      <c r="D66" s="59"/>
      <c r="E66" s="29"/>
      <c r="F66" s="33">
        <f>SUM(F65)</f>
        <v>482286.03</v>
      </c>
      <c r="G66" s="42">
        <f>SUM(G65)</f>
        <v>482286.03</v>
      </c>
      <c r="H66" s="38">
        <f>SUM(H65)</f>
        <v>457383.3075</v>
      </c>
      <c r="I66" s="38">
        <f>SUM(I65)</f>
        <v>457383.3075</v>
      </c>
      <c r="J66" s="166"/>
      <c r="K66" s="1"/>
      <c r="L66" s="38">
        <f>SUM(L65)</f>
        <v>958110.05</v>
      </c>
    </row>
    <row r="67" spans="2:14" ht="15.75" thickBot="1" x14ac:dyDescent="0.3">
      <c r="B67" s="7"/>
      <c r="C67" s="76"/>
      <c r="D67" s="76"/>
      <c r="E67" s="7"/>
      <c r="F67" s="7"/>
      <c r="G67" s="7"/>
      <c r="H67" s="7"/>
      <c r="I67" s="76"/>
      <c r="J67" s="76"/>
      <c r="K67" s="1"/>
      <c r="L67" s="1"/>
    </row>
    <row r="68" spans="2:14" ht="15.75" thickBot="1" x14ac:dyDescent="0.3">
      <c r="B68" s="65" t="s">
        <v>108</v>
      </c>
      <c r="C68" s="66"/>
      <c r="D68" s="66"/>
      <c r="E68" s="66" t="s">
        <v>1</v>
      </c>
      <c r="F68" s="62" t="s">
        <v>61</v>
      </c>
      <c r="G68" s="63" t="s">
        <v>62</v>
      </c>
      <c r="H68" s="64" t="s">
        <v>63</v>
      </c>
      <c r="I68" s="64" t="s">
        <v>90</v>
      </c>
      <c r="J68" s="64" t="s">
        <v>90</v>
      </c>
      <c r="K68" s="1"/>
      <c r="L68" s="292" t="s">
        <v>165</v>
      </c>
    </row>
    <row r="69" spans="2:14" x14ac:dyDescent="0.25">
      <c r="B69" s="26" t="s">
        <v>93</v>
      </c>
      <c r="C69" s="27"/>
      <c r="D69" s="27"/>
      <c r="E69" s="27" t="s">
        <v>3</v>
      </c>
      <c r="F69" s="30">
        <v>346823.61</v>
      </c>
      <c r="G69" s="39">
        <v>346823.61</v>
      </c>
      <c r="H69" s="34">
        <v>346823.61</v>
      </c>
      <c r="I69" s="290">
        <f>H69</f>
        <v>346823.61</v>
      </c>
      <c r="J69" s="149"/>
      <c r="K69" s="1"/>
      <c r="L69" s="34"/>
    </row>
    <row r="70" spans="2:14" x14ac:dyDescent="0.25">
      <c r="B70" s="15" t="s">
        <v>19</v>
      </c>
      <c r="C70" s="74"/>
      <c r="D70" s="74"/>
      <c r="E70" s="74" t="s">
        <v>16</v>
      </c>
      <c r="F70" s="31">
        <v>0</v>
      </c>
      <c r="G70" s="31">
        <v>0</v>
      </c>
      <c r="H70" s="35">
        <v>25000</v>
      </c>
      <c r="I70" s="288">
        <f>H70</f>
        <v>25000</v>
      </c>
      <c r="J70" s="149"/>
      <c r="K70" s="1"/>
      <c r="L70" s="35"/>
    </row>
    <row r="71" spans="2:14" s="72" customFormat="1" ht="15.75" thickBot="1" x14ac:dyDescent="0.3">
      <c r="B71" s="20" t="s">
        <v>88</v>
      </c>
      <c r="C71" s="77"/>
      <c r="D71" s="77"/>
      <c r="E71" s="77" t="s">
        <v>3</v>
      </c>
      <c r="F71" s="32">
        <v>0</v>
      </c>
      <c r="G71" s="32">
        <v>0</v>
      </c>
      <c r="H71" s="174"/>
      <c r="I71" s="289"/>
      <c r="J71" s="149"/>
      <c r="L71" s="174"/>
    </row>
    <row r="72" spans="2:14" ht="15.75" thickBot="1" x14ac:dyDescent="0.3">
      <c r="B72" s="28" t="s">
        <v>58</v>
      </c>
      <c r="C72" s="59"/>
      <c r="D72" s="59"/>
      <c r="E72" s="29"/>
      <c r="F72" s="43">
        <f>SUM(F69:F70)</f>
        <v>346823.61</v>
      </c>
      <c r="G72" s="45">
        <f>SUM(G69:G70)</f>
        <v>346823.61</v>
      </c>
      <c r="H72" s="44">
        <f>SUM(H69:H71)</f>
        <v>371823.61</v>
      </c>
      <c r="I72" s="44">
        <f>SUM(I69:I71)</f>
        <v>371823.61</v>
      </c>
      <c r="J72" s="166"/>
      <c r="K72" s="1"/>
      <c r="L72" s="44"/>
    </row>
    <row r="73" spans="2:14" s="76" customFormat="1" ht="15.75" thickBot="1" x14ac:dyDescent="0.3">
      <c r="B73" s="78"/>
      <c r="C73" s="78"/>
      <c r="D73" s="78"/>
      <c r="E73" s="74"/>
      <c r="F73" s="166"/>
      <c r="G73" s="166"/>
      <c r="H73" s="166"/>
      <c r="I73" s="166"/>
      <c r="J73" s="166"/>
    </row>
    <row r="74" spans="2:14" ht="47.45" customHeight="1" thickBot="1" x14ac:dyDescent="0.3">
      <c r="B74" s="357" t="s">
        <v>65</v>
      </c>
      <c r="C74" s="358"/>
      <c r="D74" s="358"/>
      <c r="E74" s="71" t="s">
        <v>1</v>
      </c>
      <c r="F74" s="80" t="s">
        <v>61</v>
      </c>
      <c r="G74" s="300" t="s">
        <v>62</v>
      </c>
      <c r="H74" s="82" t="s">
        <v>89</v>
      </c>
      <c r="I74" s="301" t="s">
        <v>168</v>
      </c>
      <c r="J74" s="167"/>
      <c r="K74" s="1"/>
      <c r="L74" s="296" t="s">
        <v>165</v>
      </c>
      <c r="M74" s="72" t="s">
        <v>20</v>
      </c>
      <c r="N74" s="79">
        <v>141.75</v>
      </c>
    </row>
    <row r="75" spans="2:14" x14ac:dyDescent="0.25">
      <c r="B75" s="19" t="s">
        <v>21</v>
      </c>
      <c r="C75" s="73"/>
      <c r="D75" s="73"/>
      <c r="E75" s="12" t="s">
        <v>3</v>
      </c>
      <c r="F75" s="51">
        <v>428221.82</v>
      </c>
      <c r="G75" s="51">
        <v>428221.81999999995</v>
      </c>
      <c r="H75" s="56">
        <v>309998</v>
      </c>
      <c r="I75" s="303">
        <v>309998</v>
      </c>
      <c r="J75" s="150"/>
      <c r="K75" s="1"/>
      <c r="L75" s="56"/>
    </row>
    <row r="76" spans="2:14" x14ac:dyDescent="0.25">
      <c r="B76" s="19" t="s">
        <v>22</v>
      </c>
      <c r="C76" s="73"/>
      <c r="D76" s="73"/>
      <c r="E76" s="12" t="s">
        <v>3</v>
      </c>
      <c r="F76" s="52">
        <v>160000</v>
      </c>
      <c r="G76" s="52">
        <v>160000</v>
      </c>
      <c r="H76" s="54">
        <v>160000</v>
      </c>
      <c r="I76" s="304">
        <v>160000</v>
      </c>
      <c r="J76" s="150"/>
      <c r="K76" s="1"/>
      <c r="L76" s="54"/>
    </row>
    <row r="77" spans="2:14" x14ac:dyDescent="0.25">
      <c r="B77" s="19" t="s">
        <v>23</v>
      </c>
      <c r="C77" s="73"/>
      <c r="D77" s="73"/>
      <c r="E77" s="12" t="s">
        <v>3</v>
      </c>
      <c r="F77" s="31">
        <v>0</v>
      </c>
      <c r="G77" s="52">
        <v>507090</v>
      </c>
      <c r="H77" s="54">
        <v>400368</v>
      </c>
      <c r="I77" s="304">
        <v>400368</v>
      </c>
      <c r="J77" s="150"/>
      <c r="K77" s="1"/>
      <c r="L77" s="54"/>
    </row>
    <row r="78" spans="2:14" x14ac:dyDescent="0.25">
      <c r="B78" s="15" t="s">
        <v>24</v>
      </c>
      <c r="C78" s="74"/>
      <c r="D78" s="74"/>
      <c r="E78" s="12" t="s">
        <v>25</v>
      </c>
      <c r="F78" s="31">
        <v>0</v>
      </c>
      <c r="G78" s="52">
        <v>500000</v>
      </c>
      <c r="H78" s="35">
        <v>300000</v>
      </c>
      <c r="I78" s="286">
        <v>300000</v>
      </c>
      <c r="J78" s="155" t="s">
        <v>96</v>
      </c>
      <c r="K78" s="1"/>
      <c r="L78" s="176"/>
    </row>
    <row r="79" spans="2:14" s="72" customFormat="1" x14ac:dyDescent="0.25">
      <c r="B79" s="307" t="s">
        <v>166</v>
      </c>
      <c r="C79" s="74"/>
      <c r="D79" s="74"/>
      <c r="E79" s="23" t="s">
        <v>25</v>
      </c>
      <c r="F79" s="31"/>
      <c r="G79" s="52"/>
      <c r="H79" s="35"/>
      <c r="I79" s="306">
        <v>300000</v>
      </c>
      <c r="J79" s="155"/>
      <c r="L79" s="176"/>
    </row>
    <row r="80" spans="2:14" x14ac:dyDescent="0.25">
      <c r="B80" s="310" t="s">
        <v>26</v>
      </c>
      <c r="C80" s="141"/>
      <c r="D80" s="141"/>
      <c r="E80" s="142" t="s">
        <v>25</v>
      </c>
      <c r="F80" s="143">
        <v>0</v>
      </c>
      <c r="G80" s="143">
        <v>0</v>
      </c>
      <c r="H80" s="308">
        <v>190000</v>
      </c>
      <c r="I80" s="309">
        <v>130000</v>
      </c>
      <c r="J80" s="282" t="s">
        <v>92</v>
      </c>
      <c r="K80" s="140"/>
      <c r="L80" s="281"/>
    </row>
    <row r="81" spans="1:12" ht="14.45" hidden="1" x14ac:dyDescent="0.3">
      <c r="B81" s="49" t="s">
        <v>27</v>
      </c>
      <c r="C81" s="50"/>
      <c r="D81" s="50"/>
      <c r="E81" s="50" t="s">
        <v>28</v>
      </c>
      <c r="F81" s="53">
        <v>0</v>
      </c>
      <c r="G81" s="53">
        <v>400000</v>
      </c>
      <c r="H81" s="302"/>
      <c r="I81" s="305"/>
      <c r="J81" s="156"/>
      <c r="K81" s="1"/>
      <c r="L81" s="175"/>
    </row>
    <row r="82" spans="1:12" x14ac:dyDescent="0.25">
      <c r="B82" s="15" t="s">
        <v>29</v>
      </c>
      <c r="C82" s="74"/>
      <c r="D82" s="74"/>
      <c r="E82" s="13" t="s">
        <v>25</v>
      </c>
      <c r="F82" s="31">
        <v>0</v>
      </c>
      <c r="G82" s="31">
        <v>75000</v>
      </c>
      <c r="H82" s="35">
        <v>297000</v>
      </c>
      <c r="I82" s="288">
        <v>297000</v>
      </c>
      <c r="J82" s="155" t="s">
        <v>107</v>
      </c>
      <c r="K82" s="1"/>
      <c r="L82" s="176"/>
    </row>
    <row r="83" spans="1:12" x14ac:dyDescent="0.25">
      <c r="B83" s="15" t="s">
        <v>75</v>
      </c>
      <c r="C83" s="74"/>
      <c r="D83" s="74"/>
      <c r="E83" s="13" t="s">
        <v>25</v>
      </c>
      <c r="F83" s="31">
        <v>0</v>
      </c>
      <c r="G83" s="31">
        <v>320000</v>
      </c>
      <c r="H83" s="35">
        <v>75000</v>
      </c>
      <c r="I83" s="288">
        <v>75000</v>
      </c>
      <c r="J83" s="155" t="s">
        <v>92</v>
      </c>
      <c r="K83" s="1"/>
      <c r="L83" s="176"/>
    </row>
    <row r="84" spans="1:12" x14ac:dyDescent="0.25">
      <c r="B84" s="15" t="s">
        <v>30</v>
      </c>
      <c r="C84" s="74"/>
      <c r="D84" s="74"/>
      <c r="E84" s="13" t="s">
        <v>16</v>
      </c>
      <c r="F84" s="31">
        <v>0</v>
      </c>
      <c r="G84" s="31">
        <v>350000</v>
      </c>
      <c r="H84" s="35">
        <v>75000</v>
      </c>
      <c r="I84" s="288">
        <v>75000</v>
      </c>
      <c r="J84" s="154" t="s">
        <v>92</v>
      </c>
      <c r="K84" s="139"/>
      <c r="L84" s="176"/>
    </row>
    <row r="85" spans="1:12" x14ac:dyDescent="0.25">
      <c r="B85" s="15" t="s">
        <v>112</v>
      </c>
      <c r="C85" s="74"/>
      <c r="D85" s="74"/>
      <c r="E85" s="13" t="s">
        <v>16</v>
      </c>
      <c r="F85" s="31">
        <v>0</v>
      </c>
      <c r="G85" s="31">
        <v>210000</v>
      </c>
      <c r="H85" s="35">
        <v>127000</v>
      </c>
      <c r="I85" s="288">
        <v>127000</v>
      </c>
      <c r="J85" s="154" t="s">
        <v>92</v>
      </c>
      <c r="K85" s="139"/>
      <c r="L85" s="176"/>
    </row>
    <row r="86" spans="1:12" s="72" customFormat="1" x14ac:dyDescent="0.25">
      <c r="B86" s="15" t="s">
        <v>113</v>
      </c>
      <c r="C86" s="74"/>
      <c r="D86" s="74"/>
      <c r="E86" s="74" t="s">
        <v>16</v>
      </c>
      <c r="F86" s="143">
        <v>0</v>
      </c>
      <c r="G86" s="143">
        <v>0</v>
      </c>
      <c r="H86" s="35">
        <v>180000</v>
      </c>
      <c r="I86" s="288">
        <v>180000</v>
      </c>
      <c r="J86" s="154" t="s">
        <v>92</v>
      </c>
      <c r="K86" s="139"/>
      <c r="L86" s="176"/>
    </row>
    <row r="87" spans="1:12" s="72" customFormat="1" x14ac:dyDescent="0.25">
      <c r="B87" s="15" t="s">
        <v>114</v>
      </c>
      <c r="C87" s="74"/>
      <c r="D87" s="74"/>
      <c r="E87" s="74" t="s">
        <v>16</v>
      </c>
      <c r="F87" s="143">
        <v>0</v>
      </c>
      <c r="G87" s="143">
        <v>0</v>
      </c>
      <c r="H87" s="35">
        <v>30000</v>
      </c>
      <c r="I87" s="288">
        <v>30000</v>
      </c>
      <c r="J87" s="154" t="s">
        <v>92</v>
      </c>
      <c r="K87" s="139"/>
      <c r="L87" s="176"/>
    </row>
    <row r="88" spans="1:12" ht="15.75" thickBot="1" x14ac:dyDescent="0.3">
      <c r="B88" s="20" t="s">
        <v>31</v>
      </c>
      <c r="C88" s="77"/>
      <c r="D88" s="77"/>
      <c r="E88" s="21"/>
      <c r="F88" s="57">
        <v>650000</v>
      </c>
      <c r="G88" s="57">
        <v>650000</v>
      </c>
      <c r="H88" s="58">
        <f>(H75+H76+H77+H78+H80+H82+H83+H84+H85)*0.3</f>
        <v>580309.79999999993</v>
      </c>
      <c r="I88" s="311">
        <f>(I75+I76+I77+I78+I79+I80+I82+I83+I84+I85)*0.3</f>
        <v>652309.79999999993</v>
      </c>
      <c r="J88" s="150"/>
      <c r="K88" s="9"/>
      <c r="L88" s="58"/>
    </row>
    <row r="89" spans="1:12" ht="15.75" thickBot="1" x14ac:dyDescent="0.3">
      <c r="B89" s="28" t="s">
        <v>66</v>
      </c>
      <c r="C89" s="59"/>
      <c r="D89" s="59"/>
      <c r="E89" s="59"/>
      <c r="F89" s="43">
        <f>SUM(F75:F88)</f>
        <v>1238221.82</v>
      </c>
      <c r="G89" s="43">
        <f>SUM(G75:G88)</f>
        <v>3600311.82</v>
      </c>
      <c r="H89" s="44">
        <f>SUM(H75:H88)</f>
        <v>2724675.8</v>
      </c>
      <c r="I89" s="44">
        <f>SUM(I75:I88)</f>
        <v>3036675.8</v>
      </c>
      <c r="J89" s="166"/>
      <c r="K89" s="1"/>
      <c r="L89" s="44"/>
    </row>
    <row r="90" spans="1:12" s="11" customFormat="1" ht="15.75" thickBot="1" x14ac:dyDescent="0.3">
      <c r="A90" s="72"/>
      <c r="B90" s="72"/>
      <c r="C90" s="74"/>
      <c r="D90" s="74"/>
      <c r="E90" s="13"/>
      <c r="F90" s="14"/>
      <c r="G90" s="14"/>
      <c r="H90" s="14"/>
      <c r="I90" s="14"/>
      <c r="J90" s="14"/>
      <c r="K90" s="12"/>
    </row>
    <row r="91" spans="1:12" ht="44.45" customHeight="1" thickBot="1" x14ac:dyDescent="0.3">
      <c r="B91" s="359" t="s">
        <v>69</v>
      </c>
      <c r="C91" s="360"/>
      <c r="D91" s="360"/>
      <c r="E91" s="71" t="s">
        <v>1</v>
      </c>
      <c r="F91" s="80" t="s">
        <v>61</v>
      </c>
      <c r="G91" s="81" t="s">
        <v>62</v>
      </c>
      <c r="H91" s="82" t="s">
        <v>63</v>
      </c>
      <c r="I91" s="167"/>
      <c r="J91" s="167"/>
      <c r="K91" s="1"/>
      <c r="L91" s="296" t="s">
        <v>165</v>
      </c>
    </row>
    <row r="92" spans="1:12" x14ac:dyDescent="0.25">
      <c r="B92" s="19" t="s">
        <v>32</v>
      </c>
      <c r="C92" s="73"/>
      <c r="D92" s="73"/>
      <c r="E92" s="12" t="s">
        <v>3</v>
      </c>
      <c r="F92" s="39">
        <v>0</v>
      </c>
      <c r="G92" s="39">
        <v>0</v>
      </c>
      <c r="H92" s="35">
        <v>286463.99</v>
      </c>
      <c r="I92" s="290">
        <f>H92</f>
        <v>286463.99</v>
      </c>
      <c r="J92" s="149"/>
      <c r="K92" s="1"/>
      <c r="L92" s="35"/>
    </row>
    <row r="93" spans="1:12" x14ac:dyDescent="0.25">
      <c r="B93" s="49" t="s">
        <v>163</v>
      </c>
      <c r="C93" s="50"/>
      <c r="D93" s="50"/>
      <c r="E93" s="50" t="s">
        <v>33</v>
      </c>
      <c r="F93" s="53">
        <v>0</v>
      </c>
      <c r="G93" s="53">
        <v>250000</v>
      </c>
      <c r="H93" s="55"/>
      <c r="I93" s="305"/>
      <c r="J93" s="156"/>
      <c r="K93" s="1"/>
      <c r="L93" s="55"/>
    </row>
    <row r="94" spans="1:12" x14ac:dyDescent="0.25">
      <c r="B94" s="15" t="s">
        <v>94</v>
      </c>
      <c r="C94" s="74"/>
      <c r="D94" s="74"/>
      <c r="E94" s="74" t="s">
        <v>25</v>
      </c>
      <c r="F94" s="157">
        <v>0</v>
      </c>
      <c r="G94" s="157">
        <v>402550</v>
      </c>
      <c r="H94" s="158">
        <v>456206.5</v>
      </c>
      <c r="I94" s="288">
        <f>H94</f>
        <v>456206.5</v>
      </c>
      <c r="J94" s="156"/>
      <c r="K94" s="1"/>
      <c r="L94" s="158"/>
    </row>
    <row r="95" spans="1:12" ht="15.75" thickBot="1" x14ac:dyDescent="0.3">
      <c r="B95" s="15" t="s">
        <v>34</v>
      </c>
      <c r="C95" s="74"/>
      <c r="D95" s="74"/>
      <c r="E95" s="74" t="s">
        <v>25</v>
      </c>
      <c r="F95" s="157">
        <v>0</v>
      </c>
      <c r="G95" s="157">
        <v>0</v>
      </c>
      <c r="H95" s="158">
        <v>242568</v>
      </c>
      <c r="I95" s="289">
        <f>H95</f>
        <v>242568</v>
      </c>
      <c r="J95" s="156"/>
      <c r="K95" s="1"/>
      <c r="L95" s="158"/>
    </row>
    <row r="96" spans="1:12" ht="15.75" thickBot="1" x14ac:dyDescent="0.3">
      <c r="B96" s="28" t="s">
        <v>67</v>
      </c>
      <c r="C96" s="59"/>
      <c r="D96" s="59"/>
      <c r="E96" s="59"/>
      <c r="F96" s="60">
        <f>SUM(F92:F95)</f>
        <v>0</v>
      </c>
      <c r="G96" s="45">
        <f>SUM(G92:G95)</f>
        <v>652550</v>
      </c>
      <c r="H96" s="44">
        <f>SUM(H92:H95)</f>
        <v>985238.49</v>
      </c>
      <c r="I96" s="44">
        <f>SUM(I92:I95)</f>
        <v>985238.49</v>
      </c>
      <c r="J96" s="168"/>
      <c r="K96" s="1"/>
      <c r="L96" s="44"/>
    </row>
    <row r="97" spans="2:12" ht="15.75" thickBot="1" x14ac:dyDescent="0.3">
      <c r="B97" s="1"/>
      <c r="E97" s="1"/>
      <c r="F97" s="1"/>
      <c r="G97" s="1"/>
      <c r="H97" s="1"/>
      <c r="I97" s="76"/>
      <c r="J97" s="76"/>
      <c r="K97" s="1"/>
      <c r="L97" s="295"/>
    </row>
    <row r="98" spans="2:12" ht="44.45" customHeight="1" thickBot="1" x14ac:dyDescent="0.3">
      <c r="B98" s="357" t="s">
        <v>70</v>
      </c>
      <c r="C98" s="358"/>
      <c r="D98" s="358"/>
      <c r="E98" s="66" t="s">
        <v>1</v>
      </c>
      <c r="F98" s="62" t="s">
        <v>61</v>
      </c>
      <c r="G98" s="63" t="s">
        <v>62</v>
      </c>
      <c r="H98" s="64" t="s">
        <v>63</v>
      </c>
      <c r="I98" s="165"/>
      <c r="J98" s="165"/>
      <c r="K98" s="1"/>
      <c r="L98" s="296" t="s">
        <v>165</v>
      </c>
    </row>
    <row r="99" spans="2:12" x14ac:dyDescent="0.25">
      <c r="B99" s="19" t="s">
        <v>35</v>
      </c>
      <c r="C99" s="73"/>
      <c r="D99" s="73"/>
      <c r="E99" s="12" t="s">
        <v>3</v>
      </c>
      <c r="F99" s="31">
        <v>0</v>
      </c>
      <c r="G99" s="31">
        <v>0</v>
      </c>
      <c r="H99" s="35">
        <v>273380.46000000002</v>
      </c>
      <c r="I99" s="290">
        <f>H99</f>
        <v>273380.46000000002</v>
      </c>
      <c r="J99" s="149"/>
      <c r="K99" s="1"/>
      <c r="L99" s="35"/>
    </row>
    <row r="100" spans="2:12" ht="14.45" hidden="1" customHeight="1" x14ac:dyDescent="0.3">
      <c r="B100" s="19" t="s">
        <v>36</v>
      </c>
      <c r="C100" s="73"/>
      <c r="D100" s="73"/>
      <c r="E100" s="12" t="s">
        <v>3</v>
      </c>
      <c r="F100" s="31">
        <v>0</v>
      </c>
      <c r="G100" s="31">
        <v>0</v>
      </c>
      <c r="H100" s="35">
        <v>0</v>
      </c>
      <c r="I100" s="288"/>
      <c r="J100" s="149"/>
      <c r="K100" s="1"/>
      <c r="L100" s="35"/>
    </row>
    <row r="101" spans="2:12" x14ac:dyDescent="0.25">
      <c r="B101" s="19" t="s">
        <v>37</v>
      </c>
      <c r="C101" s="73"/>
      <c r="D101" s="73"/>
      <c r="E101" s="23" t="s">
        <v>7</v>
      </c>
      <c r="F101" s="31">
        <v>0</v>
      </c>
      <c r="G101" s="31">
        <v>0</v>
      </c>
      <c r="H101" s="276">
        <v>0</v>
      </c>
      <c r="I101" s="288"/>
      <c r="J101" s="149"/>
      <c r="K101" s="1"/>
      <c r="L101" s="276"/>
    </row>
    <row r="102" spans="2:12" x14ac:dyDescent="0.25">
      <c r="B102" s="19" t="s">
        <v>38</v>
      </c>
      <c r="C102" s="73"/>
      <c r="D102" s="73"/>
      <c r="E102" s="23" t="s">
        <v>25</v>
      </c>
      <c r="F102" s="31">
        <v>0</v>
      </c>
      <c r="G102" s="31">
        <v>0</v>
      </c>
      <c r="H102" s="277">
        <v>200000</v>
      </c>
      <c r="I102" s="288">
        <f>H102</f>
        <v>200000</v>
      </c>
      <c r="J102" s="149"/>
      <c r="K102" s="139"/>
      <c r="L102" s="277"/>
    </row>
    <row r="103" spans="2:12" s="72" customFormat="1" x14ac:dyDescent="0.25">
      <c r="B103" s="19" t="s">
        <v>161</v>
      </c>
      <c r="C103" s="73"/>
      <c r="D103" s="73"/>
      <c r="E103" s="23" t="s">
        <v>25</v>
      </c>
      <c r="F103" s="31">
        <v>0</v>
      </c>
      <c r="G103" s="31">
        <v>0</v>
      </c>
      <c r="H103" s="35">
        <v>200000</v>
      </c>
      <c r="I103" s="288">
        <f t="shared" ref="I103:I107" si="3">H103</f>
        <v>200000</v>
      </c>
      <c r="J103" s="149"/>
      <c r="K103" s="139"/>
      <c r="L103" s="35"/>
    </row>
    <row r="104" spans="2:12" x14ac:dyDescent="0.25">
      <c r="B104" s="19" t="s">
        <v>115</v>
      </c>
      <c r="C104" s="73"/>
      <c r="D104" s="73"/>
      <c r="E104" s="23" t="s">
        <v>16</v>
      </c>
      <c r="F104" s="31">
        <v>0</v>
      </c>
      <c r="G104" s="31">
        <v>0</v>
      </c>
      <c r="H104" s="35">
        <v>260000</v>
      </c>
      <c r="I104" s="288">
        <f t="shared" si="3"/>
        <v>260000</v>
      </c>
      <c r="J104" s="149"/>
      <c r="K104" s="1"/>
      <c r="L104" s="35"/>
    </row>
    <row r="105" spans="2:12" x14ac:dyDescent="0.25">
      <c r="B105" s="19" t="s">
        <v>39</v>
      </c>
      <c r="C105" s="73"/>
      <c r="D105" s="73"/>
      <c r="E105" s="23" t="s">
        <v>16</v>
      </c>
      <c r="F105" s="31">
        <v>0</v>
      </c>
      <c r="G105" s="31">
        <v>0</v>
      </c>
      <c r="H105" s="35">
        <v>340000</v>
      </c>
      <c r="I105" s="288">
        <f t="shared" si="3"/>
        <v>340000</v>
      </c>
      <c r="J105" s="149"/>
      <c r="K105" s="1"/>
      <c r="L105" s="35"/>
    </row>
    <row r="106" spans="2:12" s="72" customFormat="1" x14ac:dyDescent="0.25">
      <c r="B106" s="19" t="s">
        <v>160</v>
      </c>
      <c r="C106" s="73"/>
      <c r="D106" s="73"/>
      <c r="E106" s="23" t="s">
        <v>25</v>
      </c>
      <c r="F106" s="31"/>
      <c r="G106" s="31"/>
      <c r="H106" s="35">
        <v>90000</v>
      </c>
      <c r="I106" s="288">
        <f t="shared" si="3"/>
        <v>90000</v>
      </c>
      <c r="J106" s="149"/>
      <c r="L106" s="35"/>
    </row>
    <row r="107" spans="2:12" ht="15.75" thickBot="1" x14ac:dyDescent="0.3">
      <c r="B107" s="19" t="s">
        <v>40</v>
      </c>
      <c r="C107" s="73"/>
      <c r="D107" s="73"/>
      <c r="E107" s="12" t="s">
        <v>25</v>
      </c>
      <c r="F107" s="31">
        <v>0</v>
      </c>
      <c r="G107" s="31">
        <v>0</v>
      </c>
      <c r="H107" s="35">
        <f>(H102+H99+H100+H104+H105+H106)*0.3</f>
        <v>349014.13799999998</v>
      </c>
      <c r="I107" s="289">
        <f t="shared" si="3"/>
        <v>349014.13799999998</v>
      </c>
      <c r="J107" s="149"/>
      <c r="K107" s="10"/>
      <c r="L107" s="35"/>
    </row>
    <row r="108" spans="2:12" ht="15.75" thickBot="1" x14ac:dyDescent="0.3">
      <c r="B108" s="28" t="s">
        <v>68</v>
      </c>
      <c r="C108" s="59"/>
      <c r="D108" s="59"/>
      <c r="E108" s="59"/>
      <c r="F108" s="61">
        <v>0</v>
      </c>
      <c r="G108" s="61">
        <v>0</v>
      </c>
      <c r="H108" s="44">
        <f>SUM(H99:H107)</f>
        <v>1712394.598</v>
      </c>
      <c r="I108" s="44">
        <f>SUM(I99:I107)</f>
        <v>1712394.598</v>
      </c>
      <c r="J108" s="168"/>
      <c r="K108" s="1"/>
      <c r="L108" s="44"/>
    </row>
    <row r="109" spans="2:12" x14ac:dyDescent="0.25">
      <c r="B109" s="1"/>
      <c r="E109" s="1"/>
      <c r="F109" s="1"/>
      <c r="G109" s="1"/>
      <c r="H109" s="1"/>
      <c r="K109" s="1"/>
      <c r="L109" s="1"/>
    </row>
    <row r="110" spans="2:12" ht="15.75" thickBot="1" x14ac:dyDescent="0.3">
      <c r="B110" s="7"/>
      <c r="C110" s="76"/>
      <c r="D110" s="76"/>
      <c r="E110" s="7"/>
      <c r="F110" s="7"/>
      <c r="G110" s="7"/>
      <c r="H110" s="7"/>
      <c r="I110" s="76"/>
      <c r="J110" s="76"/>
      <c r="K110" s="7"/>
      <c r="L110" s="7"/>
    </row>
    <row r="111" spans="2:12" ht="15.75" thickBot="1" x14ac:dyDescent="0.3">
      <c r="B111" s="357" t="s">
        <v>70</v>
      </c>
      <c r="C111" s="358"/>
      <c r="D111" s="358"/>
      <c r="E111" s="66" t="s">
        <v>1</v>
      </c>
      <c r="F111" s="62" t="s">
        <v>61</v>
      </c>
      <c r="G111" s="63" t="s">
        <v>62</v>
      </c>
      <c r="H111" s="64" t="s">
        <v>63</v>
      </c>
      <c r="I111" s="76"/>
      <c r="J111" s="76"/>
      <c r="K111" s="7"/>
      <c r="L111" s="292" t="s">
        <v>165</v>
      </c>
    </row>
    <row r="112" spans="2:12" x14ac:dyDescent="0.25">
      <c r="B112" s="19" t="s">
        <v>35</v>
      </c>
      <c r="C112" s="73"/>
      <c r="D112" s="73"/>
      <c r="E112" s="73" t="s">
        <v>3</v>
      </c>
      <c r="F112" s="31">
        <v>0</v>
      </c>
      <c r="G112" s="31">
        <v>0</v>
      </c>
      <c r="H112" s="35">
        <v>273380.46000000002</v>
      </c>
      <c r="I112" s="290">
        <f>H112</f>
        <v>273380.46000000002</v>
      </c>
      <c r="J112" s="76"/>
      <c r="K112" s="7"/>
      <c r="L112" s="35"/>
    </row>
    <row r="113" spans="2:12" x14ac:dyDescent="0.25">
      <c r="B113" s="19" t="s">
        <v>37</v>
      </c>
      <c r="C113" s="73"/>
      <c r="D113" s="73"/>
      <c r="E113" s="23" t="s">
        <v>7</v>
      </c>
      <c r="F113" s="31">
        <v>0</v>
      </c>
      <c r="G113" s="31">
        <v>0</v>
      </c>
      <c r="H113" s="288">
        <v>450000</v>
      </c>
      <c r="I113" s="288">
        <f t="shared" ref="I113:I118" si="4">H113</f>
        <v>450000</v>
      </c>
      <c r="J113" s="76"/>
      <c r="K113" s="7"/>
      <c r="L113" s="35"/>
    </row>
    <row r="114" spans="2:12" x14ac:dyDescent="0.25">
      <c r="B114" s="19" t="s">
        <v>175</v>
      </c>
      <c r="C114" s="73"/>
      <c r="D114" s="73"/>
      <c r="E114" s="23" t="s">
        <v>25</v>
      </c>
      <c r="F114" s="31">
        <v>0</v>
      </c>
      <c r="G114" s="31">
        <v>0</v>
      </c>
      <c r="H114" s="277"/>
      <c r="I114" s="288">
        <v>60000</v>
      </c>
      <c r="J114" s="76"/>
      <c r="K114" s="7"/>
      <c r="L114" s="277"/>
    </row>
    <row r="115" spans="2:12" s="72" customFormat="1" x14ac:dyDescent="0.25">
      <c r="B115" s="19" t="s">
        <v>174</v>
      </c>
      <c r="C115" s="73"/>
      <c r="D115" s="73"/>
      <c r="E115" s="23"/>
      <c r="F115" s="31"/>
      <c r="G115" s="31"/>
      <c r="H115" s="277">
        <v>280000</v>
      </c>
      <c r="I115" s="288"/>
      <c r="J115" s="76"/>
      <c r="K115" s="76"/>
      <c r="L115" s="277"/>
    </row>
    <row r="116" spans="2:12" x14ac:dyDescent="0.25">
      <c r="B116" s="19" t="s">
        <v>161</v>
      </c>
      <c r="C116" s="73"/>
      <c r="D116" s="73"/>
      <c r="E116" s="23" t="s">
        <v>25</v>
      </c>
      <c r="F116" s="31">
        <v>0</v>
      </c>
      <c r="G116" s="31">
        <v>0</v>
      </c>
      <c r="H116" s="35">
        <v>200000</v>
      </c>
      <c r="I116" s="288">
        <f t="shared" si="4"/>
        <v>200000</v>
      </c>
      <c r="J116" s="76"/>
      <c r="K116" s="7"/>
      <c r="L116" s="35"/>
    </row>
    <row r="117" spans="2:12" x14ac:dyDescent="0.25">
      <c r="B117" s="19" t="s">
        <v>115</v>
      </c>
      <c r="C117" s="73"/>
      <c r="D117" s="73"/>
      <c r="E117" s="23" t="s">
        <v>16</v>
      </c>
      <c r="F117" s="31">
        <v>0</v>
      </c>
      <c r="G117" s="31">
        <v>0</v>
      </c>
      <c r="H117" s="35">
        <v>260000</v>
      </c>
      <c r="I117" s="288">
        <f t="shared" si="4"/>
        <v>260000</v>
      </c>
      <c r="J117" s="76"/>
      <c r="K117" s="7"/>
      <c r="L117" s="35"/>
    </row>
    <row r="118" spans="2:12" x14ac:dyDescent="0.25">
      <c r="B118" s="19" t="s">
        <v>39</v>
      </c>
      <c r="C118" s="73"/>
      <c r="D118" s="73"/>
      <c r="E118" s="23" t="s">
        <v>16</v>
      </c>
      <c r="F118" s="31">
        <v>0</v>
      </c>
      <c r="G118" s="31">
        <v>0</v>
      </c>
      <c r="H118" s="35">
        <v>340000</v>
      </c>
      <c r="I118" s="288">
        <f t="shared" si="4"/>
        <v>340000</v>
      </c>
      <c r="J118" s="76"/>
      <c r="K118" s="7"/>
      <c r="L118" s="35"/>
    </row>
    <row r="119" spans="2:12" x14ac:dyDescent="0.25">
      <c r="B119" s="19" t="s">
        <v>160</v>
      </c>
      <c r="C119" s="73"/>
      <c r="D119" s="73"/>
      <c r="E119" s="23" t="s">
        <v>25</v>
      </c>
      <c r="F119" s="31"/>
      <c r="G119" s="31"/>
      <c r="H119" s="35">
        <v>90000</v>
      </c>
      <c r="I119" s="288"/>
      <c r="J119" s="76"/>
      <c r="K119" s="7"/>
      <c r="L119" s="35"/>
    </row>
    <row r="120" spans="2:12" s="72" customFormat="1" x14ac:dyDescent="0.25">
      <c r="B120" s="19" t="s">
        <v>173</v>
      </c>
      <c r="C120" s="73"/>
      <c r="D120" s="73"/>
      <c r="E120" s="23"/>
      <c r="F120" s="31"/>
      <c r="G120" s="31"/>
      <c r="H120" s="35"/>
      <c r="I120" s="276">
        <v>0</v>
      </c>
      <c r="J120" s="76"/>
      <c r="K120" s="76"/>
      <c r="L120" s="35"/>
    </row>
    <row r="121" spans="2:12" ht="15.75" thickBot="1" x14ac:dyDescent="0.3">
      <c r="B121" s="19" t="s">
        <v>40</v>
      </c>
      <c r="C121" s="73"/>
      <c r="D121" s="73"/>
      <c r="E121" s="73" t="s">
        <v>25</v>
      </c>
      <c r="F121" s="31">
        <v>0</v>
      </c>
      <c r="G121" s="31">
        <v>0</v>
      </c>
      <c r="H121" s="35">
        <f>(H114+H112+H115+H116+H117+H118+H119)*0.3</f>
        <v>433014.13799999998</v>
      </c>
      <c r="I121" s="35">
        <f>(I114+I112+I115+I116+I117+I118+I119)*0.3</f>
        <v>340014.13799999998</v>
      </c>
      <c r="J121" s="76"/>
      <c r="K121" s="7"/>
      <c r="L121" s="35"/>
    </row>
    <row r="122" spans="2:12" ht="15.75" thickBot="1" x14ac:dyDescent="0.3">
      <c r="B122" s="28" t="s">
        <v>68</v>
      </c>
      <c r="C122" s="59"/>
      <c r="D122" s="59"/>
      <c r="E122" s="59"/>
      <c r="F122" s="61">
        <v>0</v>
      </c>
      <c r="G122" s="61">
        <v>0</v>
      </c>
      <c r="H122" s="44">
        <f>SUM(H112:H121)</f>
        <v>2326394.5979999998</v>
      </c>
      <c r="I122" s="44">
        <f>SUM(I112:I121)</f>
        <v>1923394.598</v>
      </c>
      <c r="J122" s="76"/>
      <c r="K122" s="7"/>
      <c r="L122" s="44"/>
    </row>
    <row r="123" spans="2:12" x14ac:dyDescent="0.25">
      <c r="B123" s="7"/>
      <c r="C123" s="76"/>
      <c r="D123" s="76"/>
      <c r="E123" s="7"/>
      <c r="F123" s="7"/>
      <c r="G123" s="7"/>
      <c r="H123" s="7"/>
      <c r="I123" s="76"/>
      <c r="J123" s="76"/>
      <c r="K123" s="7"/>
      <c r="L123" s="7"/>
    </row>
    <row r="124" spans="2:12" x14ac:dyDescent="0.25">
      <c r="B124" s="7"/>
      <c r="C124" s="76"/>
      <c r="D124" s="76"/>
      <c r="E124" s="7"/>
      <c r="F124" s="7"/>
      <c r="G124" s="7"/>
      <c r="H124" s="7"/>
      <c r="I124" s="76"/>
      <c r="J124" s="76"/>
      <c r="K124" s="7"/>
      <c r="L124" s="7"/>
    </row>
    <row r="125" spans="2:12" x14ac:dyDescent="0.25">
      <c r="B125" s="7"/>
      <c r="C125" s="76"/>
      <c r="D125" s="76"/>
      <c r="E125" s="7"/>
      <c r="F125" s="7"/>
      <c r="G125" s="7"/>
      <c r="H125" s="7"/>
      <c r="I125" s="76"/>
      <c r="J125" s="76"/>
      <c r="K125" s="7"/>
      <c r="L125" s="7"/>
    </row>
    <row r="126" spans="2:12" x14ac:dyDescent="0.25">
      <c r="B126" s="7"/>
      <c r="C126" s="76"/>
      <c r="D126" s="76"/>
      <c r="E126" s="7"/>
      <c r="F126" s="7"/>
      <c r="G126" s="7"/>
      <c r="H126" s="7"/>
      <c r="I126" s="76"/>
      <c r="J126" s="76"/>
      <c r="K126" s="7"/>
      <c r="L126" s="7"/>
    </row>
    <row r="127" spans="2:12" x14ac:dyDescent="0.25">
      <c r="B127" s="7"/>
      <c r="C127" s="76"/>
      <c r="D127" s="76"/>
      <c r="E127" s="7"/>
      <c r="F127" s="7"/>
      <c r="G127" s="7"/>
      <c r="H127" s="7"/>
      <c r="I127" s="76"/>
      <c r="J127" s="76"/>
      <c r="K127" s="7"/>
      <c r="L127" s="7"/>
    </row>
    <row r="128" spans="2:12" x14ac:dyDescent="0.25">
      <c r="B128" s="7"/>
      <c r="C128" s="76"/>
      <c r="D128" s="76"/>
      <c r="E128" s="7"/>
      <c r="F128" s="7"/>
      <c r="G128" s="7"/>
      <c r="H128" s="7"/>
      <c r="I128" s="76"/>
      <c r="J128" s="76"/>
      <c r="K128" s="7"/>
      <c r="L128" s="7"/>
    </row>
    <row r="129" spans="2:12" x14ac:dyDescent="0.25">
      <c r="B129" s="7"/>
      <c r="C129" s="76"/>
      <c r="D129" s="76"/>
      <c r="E129" s="7"/>
      <c r="F129" s="7"/>
      <c r="G129" s="7"/>
      <c r="H129" s="7"/>
      <c r="I129" s="76"/>
      <c r="J129" s="76"/>
      <c r="K129" s="7"/>
      <c r="L129" s="7"/>
    </row>
    <row r="130" spans="2:12" x14ac:dyDescent="0.25">
      <c r="B130" s="7"/>
      <c r="C130" s="76"/>
      <c r="D130" s="76"/>
      <c r="E130" s="7"/>
      <c r="F130" s="7"/>
      <c r="G130" s="7"/>
      <c r="H130" s="7"/>
      <c r="I130" s="76"/>
      <c r="J130" s="76"/>
      <c r="K130" s="7"/>
      <c r="L130" s="7"/>
    </row>
    <row r="131" spans="2:12" x14ac:dyDescent="0.25">
      <c r="B131" s="7"/>
      <c r="C131" s="76"/>
      <c r="D131" s="76"/>
      <c r="E131" s="7"/>
      <c r="F131" s="7"/>
      <c r="G131" s="7"/>
      <c r="H131" s="7"/>
      <c r="I131" s="76"/>
      <c r="J131" s="76"/>
      <c r="K131" s="7"/>
      <c r="L131" s="7"/>
    </row>
    <row r="132" spans="2:12" x14ac:dyDescent="0.25">
      <c r="B132" s="7"/>
      <c r="C132" s="76"/>
      <c r="D132" s="76"/>
      <c r="E132" s="7"/>
      <c r="F132" s="7"/>
      <c r="G132" s="7"/>
      <c r="H132" s="7"/>
      <c r="I132" s="76"/>
      <c r="J132" s="76"/>
      <c r="K132" s="7"/>
      <c r="L132" s="7"/>
    </row>
    <row r="133" spans="2:12" x14ac:dyDescent="0.25">
      <c r="B133" s="7"/>
      <c r="C133" s="76"/>
      <c r="D133" s="76"/>
      <c r="E133" s="7"/>
      <c r="F133" s="7"/>
      <c r="G133" s="7"/>
      <c r="H133" s="7"/>
      <c r="I133" s="76"/>
      <c r="J133" s="76"/>
      <c r="K133" s="7"/>
      <c r="L133" s="7"/>
    </row>
    <row r="134" spans="2:12" x14ac:dyDescent="0.25">
      <c r="B134" s="7"/>
      <c r="C134" s="76"/>
      <c r="D134" s="76"/>
      <c r="E134" s="7"/>
      <c r="F134" s="7"/>
      <c r="G134" s="7"/>
      <c r="H134" s="7"/>
      <c r="I134" s="76"/>
      <c r="J134" s="76"/>
      <c r="K134" s="7"/>
      <c r="L134" s="7"/>
    </row>
    <row r="135" spans="2:12" x14ac:dyDescent="0.25">
      <c r="B135" s="7"/>
      <c r="C135" s="76"/>
      <c r="D135" s="76"/>
      <c r="E135" s="7"/>
      <c r="F135" s="7"/>
      <c r="G135" s="7"/>
      <c r="H135" s="7"/>
      <c r="I135" s="76"/>
      <c r="J135" s="76"/>
      <c r="K135" s="7"/>
      <c r="L135" s="7"/>
    </row>
    <row r="136" spans="2:12" x14ac:dyDescent="0.25">
      <c r="B136" s="7"/>
      <c r="C136" s="76"/>
      <c r="D136" s="76"/>
      <c r="E136" s="7"/>
      <c r="F136" s="7"/>
      <c r="G136" s="7"/>
      <c r="H136" s="7"/>
      <c r="I136" s="76"/>
      <c r="J136" s="76"/>
      <c r="K136" s="7"/>
      <c r="L136" s="7"/>
    </row>
    <row r="137" spans="2:12" x14ac:dyDescent="0.25">
      <c r="B137" s="7"/>
      <c r="C137" s="76"/>
      <c r="D137" s="76"/>
      <c r="E137" s="7"/>
      <c r="F137" s="7"/>
      <c r="G137" s="7"/>
      <c r="H137" s="7"/>
      <c r="I137" s="76"/>
      <c r="J137" s="76"/>
      <c r="K137" s="7"/>
      <c r="L137" s="7"/>
    </row>
    <row r="138" spans="2:12" x14ac:dyDescent="0.25">
      <c r="B138" s="7"/>
      <c r="C138" s="76"/>
      <c r="D138" s="76"/>
      <c r="E138" s="7"/>
      <c r="F138" s="7"/>
      <c r="G138" s="7"/>
      <c r="H138" s="7"/>
      <c r="I138" s="76"/>
      <c r="J138" s="76"/>
      <c r="K138" s="7"/>
      <c r="L138" s="7"/>
    </row>
    <row r="139" spans="2:12" x14ac:dyDescent="0.25">
      <c r="B139" s="7"/>
      <c r="C139" s="76"/>
      <c r="D139" s="76"/>
      <c r="E139" s="7"/>
      <c r="F139" s="7"/>
      <c r="G139" s="7"/>
      <c r="H139" s="7"/>
      <c r="I139" s="76"/>
      <c r="J139" s="76"/>
      <c r="K139" s="7"/>
      <c r="L139" s="7"/>
    </row>
    <row r="140" spans="2:12" x14ac:dyDescent="0.25">
      <c r="B140" s="7"/>
      <c r="C140" s="76"/>
      <c r="D140" s="76"/>
      <c r="E140" s="7"/>
      <c r="F140" s="7"/>
      <c r="G140" s="7"/>
      <c r="H140" s="7"/>
      <c r="I140" s="76"/>
      <c r="J140" s="76"/>
      <c r="K140" s="7"/>
      <c r="L140" s="7"/>
    </row>
    <row r="141" spans="2:12" x14ac:dyDescent="0.25">
      <c r="B141" s="7"/>
      <c r="C141" s="76"/>
      <c r="D141" s="76"/>
      <c r="E141" s="7"/>
      <c r="F141" s="7"/>
      <c r="G141" s="7"/>
      <c r="H141" s="7"/>
      <c r="I141" s="76"/>
      <c r="J141" s="76"/>
      <c r="K141" s="7"/>
      <c r="L141" s="7"/>
    </row>
    <row r="142" spans="2:12" x14ac:dyDescent="0.25">
      <c r="B142" s="7"/>
      <c r="C142" s="76"/>
      <c r="D142" s="76"/>
      <c r="E142" s="7"/>
      <c r="F142" s="7"/>
      <c r="G142" s="7"/>
      <c r="H142" s="7"/>
      <c r="I142" s="76"/>
      <c r="J142" s="76"/>
      <c r="K142" s="7"/>
      <c r="L142" s="7"/>
    </row>
    <row r="143" spans="2:12" x14ac:dyDescent="0.25">
      <c r="B143" s="7"/>
      <c r="C143" s="76"/>
      <c r="D143" s="76"/>
      <c r="E143" s="7"/>
      <c r="F143" s="7"/>
      <c r="G143" s="7"/>
      <c r="H143" s="7"/>
      <c r="I143" s="76"/>
      <c r="J143" s="76"/>
      <c r="K143" s="7"/>
      <c r="L143" s="7"/>
    </row>
    <row r="144" spans="2:12" x14ac:dyDescent="0.25">
      <c r="B144" s="7"/>
      <c r="C144" s="76"/>
      <c r="D144" s="76"/>
      <c r="E144" s="7"/>
      <c r="F144" s="7"/>
      <c r="G144" s="7"/>
      <c r="H144" s="7"/>
      <c r="I144" s="76"/>
      <c r="J144" s="76"/>
      <c r="K144" s="7"/>
      <c r="L144" s="7"/>
    </row>
    <row r="145" spans="2:12" x14ac:dyDescent="0.25">
      <c r="B145" s="7"/>
      <c r="C145" s="76"/>
      <c r="D145" s="76"/>
      <c r="E145" s="7"/>
      <c r="F145" s="7"/>
      <c r="G145" s="7"/>
      <c r="H145" s="7"/>
      <c r="I145" s="76"/>
      <c r="J145" s="76"/>
      <c r="K145" s="7"/>
      <c r="L145" s="7"/>
    </row>
    <row r="146" spans="2:12" x14ac:dyDescent="0.25">
      <c r="B146" s="7"/>
      <c r="C146" s="76"/>
      <c r="D146" s="76"/>
      <c r="E146" s="7"/>
      <c r="F146" s="7"/>
      <c r="G146" s="7"/>
      <c r="H146" s="7"/>
      <c r="I146" s="76"/>
      <c r="J146" s="76"/>
      <c r="K146" s="7"/>
      <c r="L146" s="7"/>
    </row>
    <row r="147" spans="2:12" x14ac:dyDescent="0.25">
      <c r="B147" s="7"/>
      <c r="C147" s="76"/>
      <c r="D147" s="76"/>
      <c r="E147" s="7"/>
      <c r="F147" s="7"/>
      <c r="G147" s="7"/>
      <c r="H147" s="7"/>
      <c r="I147" s="76"/>
      <c r="J147" s="76"/>
      <c r="K147" s="7"/>
      <c r="L147" s="7"/>
    </row>
    <row r="148" spans="2:12" x14ac:dyDescent="0.25">
      <c r="B148" s="7"/>
      <c r="C148" s="76"/>
      <c r="D148" s="76"/>
      <c r="E148" s="7"/>
      <c r="F148" s="7"/>
      <c r="G148" s="7"/>
      <c r="H148" s="7"/>
      <c r="I148" s="76"/>
      <c r="J148" s="76"/>
      <c r="K148" s="7"/>
      <c r="L148" s="7"/>
    </row>
    <row r="149" spans="2:12" x14ac:dyDescent="0.25">
      <c r="B149" s="7"/>
      <c r="C149" s="76"/>
      <c r="D149" s="76"/>
      <c r="E149" s="7"/>
      <c r="F149" s="7"/>
      <c r="G149" s="7"/>
      <c r="H149" s="7"/>
      <c r="I149" s="76"/>
      <c r="J149" s="76"/>
      <c r="K149" s="7"/>
      <c r="L149" s="7"/>
    </row>
    <row r="150" spans="2:12" x14ac:dyDescent="0.25">
      <c r="B150" s="7"/>
      <c r="C150" s="76"/>
      <c r="D150" s="76"/>
      <c r="E150" s="7"/>
      <c r="F150" s="7"/>
      <c r="G150" s="7"/>
      <c r="H150" s="7"/>
      <c r="I150" s="76"/>
      <c r="J150" s="76"/>
      <c r="K150" s="7"/>
      <c r="L150" s="7"/>
    </row>
    <row r="151" spans="2:12" x14ac:dyDescent="0.25">
      <c r="B151" s="7"/>
      <c r="C151" s="76"/>
      <c r="D151" s="76"/>
      <c r="E151" s="7"/>
      <c r="F151" s="7"/>
      <c r="G151" s="7"/>
      <c r="H151" s="7"/>
      <c r="I151" s="76"/>
      <c r="J151" s="76"/>
      <c r="K151" s="7"/>
      <c r="L151" s="7"/>
    </row>
    <row r="152" spans="2:12" x14ac:dyDescent="0.25">
      <c r="B152" s="7"/>
      <c r="C152" s="76"/>
      <c r="D152" s="76"/>
      <c r="E152" s="7"/>
      <c r="F152" s="7"/>
      <c r="G152" s="7"/>
      <c r="H152" s="7"/>
      <c r="I152" s="76"/>
      <c r="J152" s="76"/>
      <c r="K152" s="7"/>
      <c r="L152" s="7"/>
    </row>
    <row r="153" spans="2:12" x14ac:dyDescent="0.25">
      <c r="B153" s="7"/>
      <c r="C153" s="76"/>
      <c r="D153" s="76"/>
      <c r="E153" s="7"/>
      <c r="F153" s="7"/>
      <c r="G153" s="7"/>
      <c r="H153" s="7"/>
      <c r="I153" s="76"/>
      <c r="J153" s="76"/>
      <c r="K153" s="7"/>
      <c r="L153" s="7"/>
    </row>
    <row r="154" spans="2:12" x14ac:dyDescent="0.25">
      <c r="B154" s="7"/>
      <c r="C154" s="76"/>
      <c r="D154" s="76"/>
      <c r="E154" s="7"/>
      <c r="F154" s="7"/>
      <c r="G154" s="7"/>
      <c r="H154" s="7"/>
      <c r="I154" s="76"/>
      <c r="J154" s="76"/>
      <c r="K154" s="7"/>
      <c r="L154" s="7"/>
    </row>
    <row r="155" spans="2:12" x14ac:dyDescent="0.25">
      <c r="B155" s="7"/>
      <c r="C155" s="76"/>
      <c r="D155" s="76"/>
      <c r="E155" s="7"/>
      <c r="F155" s="7"/>
      <c r="G155" s="7"/>
      <c r="H155" s="7"/>
      <c r="I155" s="76"/>
      <c r="J155" s="76"/>
      <c r="K155" s="7"/>
      <c r="L155" s="7"/>
    </row>
    <row r="156" spans="2:12" x14ac:dyDescent="0.25">
      <c r="B156" s="7"/>
      <c r="C156" s="76"/>
      <c r="D156" s="76"/>
      <c r="E156" s="7"/>
      <c r="F156" s="7"/>
      <c r="G156" s="7"/>
      <c r="H156" s="7"/>
      <c r="I156" s="76"/>
      <c r="J156" s="76"/>
      <c r="K156" s="7"/>
      <c r="L156" s="7"/>
    </row>
    <row r="157" spans="2:12" x14ac:dyDescent="0.25">
      <c r="B157" s="7"/>
      <c r="C157" s="76"/>
      <c r="D157" s="76"/>
      <c r="E157" s="7"/>
      <c r="F157" s="7"/>
      <c r="G157" s="7"/>
      <c r="H157" s="7"/>
      <c r="I157" s="76"/>
      <c r="J157" s="76"/>
      <c r="K157" s="7"/>
      <c r="L157" s="7"/>
    </row>
    <row r="158" spans="2:12" x14ac:dyDescent="0.25">
      <c r="B158" s="7"/>
      <c r="C158" s="76"/>
      <c r="D158" s="76"/>
      <c r="E158" s="7"/>
      <c r="F158" s="7"/>
      <c r="G158" s="7"/>
      <c r="H158" s="7"/>
      <c r="I158" s="76"/>
      <c r="J158" s="76"/>
      <c r="K158" s="7"/>
      <c r="L158" s="7"/>
    </row>
    <row r="159" spans="2:12" x14ac:dyDescent="0.25">
      <c r="B159" s="7"/>
      <c r="C159" s="76"/>
      <c r="D159" s="76"/>
      <c r="E159" s="7"/>
      <c r="F159" s="7"/>
      <c r="G159" s="7"/>
      <c r="H159" s="7"/>
      <c r="I159" s="76"/>
      <c r="J159" s="76"/>
      <c r="K159" s="7"/>
      <c r="L159" s="7"/>
    </row>
    <row r="160" spans="2:12" x14ac:dyDescent="0.25">
      <c r="B160" s="7"/>
      <c r="C160" s="76"/>
      <c r="D160" s="76"/>
      <c r="E160" s="7"/>
      <c r="F160" s="7"/>
      <c r="G160" s="7"/>
      <c r="H160" s="7"/>
      <c r="I160" s="76"/>
      <c r="J160" s="76"/>
      <c r="K160" s="7"/>
      <c r="L160" s="7"/>
    </row>
    <row r="161" spans="2:12" x14ac:dyDescent="0.25">
      <c r="B161" s="7"/>
      <c r="C161" s="76"/>
      <c r="D161" s="76"/>
      <c r="E161" s="7"/>
      <c r="F161" s="7"/>
      <c r="G161" s="7"/>
      <c r="H161" s="7"/>
      <c r="I161" s="76"/>
      <c r="J161" s="76"/>
      <c r="K161" s="7"/>
      <c r="L161" s="7"/>
    </row>
    <row r="162" spans="2:12" x14ac:dyDescent="0.25">
      <c r="B162" s="7"/>
      <c r="C162" s="76"/>
      <c r="D162" s="76"/>
      <c r="E162" s="7"/>
      <c r="F162" s="7"/>
      <c r="G162" s="7"/>
      <c r="H162" s="7"/>
      <c r="I162" s="76"/>
      <c r="J162" s="76"/>
      <c r="K162" s="7"/>
      <c r="L162" s="7"/>
    </row>
    <row r="163" spans="2:12" x14ac:dyDescent="0.25">
      <c r="B163" s="7"/>
      <c r="C163" s="76"/>
      <c r="D163" s="76"/>
      <c r="E163" s="7"/>
      <c r="F163" s="7"/>
      <c r="G163" s="7"/>
      <c r="H163" s="7"/>
      <c r="I163" s="76"/>
      <c r="J163" s="76"/>
      <c r="K163" s="7"/>
      <c r="L163" s="7"/>
    </row>
    <row r="164" spans="2:12" x14ac:dyDescent="0.25">
      <c r="B164" s="7"/>
      <c r="C164" s="76"/>
      <c r="D164" s="76"/>
      <c r="E164" s="7"/>
      <c r="F164" s="7"/>
      <c r="G164" s="7"/>
      <c r="H164" s="7"/>
      <c r="I164" s="76"/>
      <c r="J164" s="76"/>
      <c r="K164" s="7"/>
      <c r="L164" s="7"/>
    </row>
    <row r="165" spans="2:12" x14ac:dyDescent="0.25">
      <c r="B165" s="7"/>
      <c r="C165" s="76"/>
      <c r="D165" s="76"/>
      <c r="E165" s="7"/>
      <c r="F165" s="7"/>
      <c r="G165" s="7"/>
      <c r="H165" s="7"/>
      <c r="I165" s="76"/>
      <c r="J165" s="76"/>
      <c r="K165" s="7"/>
      <c r="L165" s="7"/>
    </row>
    <row r="166" spans="2:12" x14ac:dyDescent="0.25">
      <c r="B166" s="7"/>
      <c r="C166" s="76"/>
      <c r="D166" s="76"/>
      <c r="E166" s="7"/>
      <c r="F166" s="7"/>
      <c r="G166" s="7"/>
      <c r="H166" s="7"/>
      <c r="I166" s="76"/>
      <c r="J166" s="76"/>
      <c r="K166" s="7"/>
      <c r="L166" s="7"/>
    </row>
    <row r="167" spans="2:12" x14ac:dyDescent="0.25">
      <c r="B167" s="7"/>
      <c r="C167" s="76"/>
      <c r="D167" s="76"/>
      <c r="E167" s="7"/>
      <c r="F167" s="7"/>
      <c r="G167" s="7"/>
      <c r="H167" s="7"/>
      <c r="I167" s="76"/>
      <c r="J167" s="76"/>
      <c r="K167" s="7"/>
      <c r="L167" s="7"/>
    </row>
    <row r="168" spans="2:12" x14ac:dyDescent="0.25">
      <c r="B168" s="7"/>
      <c r="C168" s="76"/>
      <c r="D168" s="76"/>
      <c r="E168" s="7"/>
      <c r="F168" s="7"/>
      <c r="G168" s="7"/>
      <c r="H168" s="7"/>
      <c r="I168" s="76"/>
      <c r="J168" s="76"/>
      <c r="K168" s="7"/>
      <c r="L168" s="7"/>
    </row>
    <row r="169" spans="2:12" x14ac:dyDescent="0.25">
      <c r="B169" s="7"/>
      <c r="C169" s="76"/>
      <c r="D169" s="76"/>
      <c r="E169" s="7"/>
      <c r="F169" s="7"/>
      <c r="G169" s="7"/>
      <c r="H169" s="7"/>
      <c r="I169" s="76"/>
      <c r="J169" s="76"/>
      <c r="K169" s="7"/>
      <c r="L169" s="7"/>
    </row>
    <row r="170" spans="2:12" x14ac:dyDescent="0.25">
      <c r="B170" s="7"/>
      <c r="C170" s="76"/>
      <c r="D170" s="76"/>
      <c r="E170" s="7"/>
      <c r="F170" s="7"/>
      <c r="G170" s="7"/>
      <c r="H170" s="7"/>
      <c r="I170" s="76"/>
      <c r="J170" s="76"/>
      <c r="K170" s="7"/>
      <c r="L170" s="7"/>
    </row>
    <row r="171" spans="2:12" x14ac:dyDescent="0.25">
      <c r="B171" s="7"/>
      <c r="C171" s="76"/>
      <c r="D171" s="76"/>
      <c r="E171" s="7"/>
      <c r="F171" s="7"/>
      <c r="G171" s="7"/>
      <c r="H171" s="7"/>
      <c r="I171" s="76"/>
      <c r="J171" s="76"/>
      <c r="K171" s="7"/>
      <c r="L171" s="7"/>
    </row>
    <row r="172" spans="2:12" x14ac:dyDescent="0.25">
      <c r="B172" s="7"/>
      <c r="C172" s="76"/>
      <c r="D172" s="76"/>
      <c r="E172" s="7"/>
      <c r="F172" s="7"/>
      <c r="G172" s="7"/>
      <c r="H172" s="7"/>
      <c r="I172" s="76"/>
      <c r="J172" s="76"/>
      <c r="K172" s="7"/>
      <c r="L172" s="7"/>
    </row>
    <row r="173" spans="2:12" x14ac:dyDescent="0.25">
      <c r="B173" s="7"/>
      <c r="C173" s="76"/>
      <c r="D173" s="76"/>
      <c r="E173" s="7"/>
      <c r="F173" s="7"/>
      <c r="G173" s="7"/>
      <c r="H173" s="7"/>
      <c r="I173" s="76"/>
      <c r="J173" s="76"/>
      <c r="K173" s="7"/>
      <c r="L173" s="7"/>
    </row>
    <row r="174" spans="2:12" x14ac:dyDescent="0.25">
      <c r="B174" s="7"/>
      <c r="C174" s="76"/>
      <c r="D174" s="76"/>
      <c r="E174" s="7"/>
      <c r="F174" s="7"/>
      <c r="G174" s="7"/>
      <c r="H174" s="7"/>
      <c r="I174" s="76"/>
      <c r="J174" s="76"/>
      <c r="K174" s="7"/>
      <c r="L174" s="7"/>
    </row>
    <row r="175" spans="2:12" x14ac:dyDescent="0.25">
      <c r="B175" s="7"/>
      <c r="C175" s="76"/>
      <c r="D175" s="76"/>
      <c r="E175" s="7"/>
      <c r="F175" s="7"/>
      <c r="G175" s="7"/>
      <c r="H175" s="7"/>
      <c r="I175" s="76"/>
      <c r="J175" s="76"/>
      <c r="K175" s="7"/>
      <c r="L175" s="7"/>
    </row>
    <row r="176" spans="2:12" x14ac:dyDescent="0.25">
      <c r="B176" s="7"/>
      <c r="C176" s="76"/>
      <c r="D176" s="76"/>
      <c r="E176" s="7"/>
      <c r="F176" s="7"/>
      <c r="G176" s="7"/>
      <c r="H176" s="7"/>
      <c r="I176" s="76"/>
      <c r="J176" s="76"/>
      <c r="K176" s="7"/>
      <c r="L176" s="7"/>
    </row>
    <row r="177" spans="2:12" x14ac:dyDescent="0.25">
      <c r="B177" s="7"/>
      <c r="C177" s="76"/>
      <c r="D177" s="76"/>
      <c r="E177" s="7"/>
      <c r="F177" s="7"/>
      <c r="G177" s="7"/>
      <c r="H177" s="7"/>
      <c r="I177" s="76"/>
      <c r="J177" s="76"/>
      <c r="K177" s="7"/>
      <c r="L177" s="7"/>
    </row>
    <row r="178" spans="2:12" x14ac:dyDescent="0.25">
      <c r="B178" s="7"/>
      <c r="C178" s="76"/>
      <c r="D178" s="76"/>
      <c r="E178" s="7"/>
      <c r="F178" s="7"/>
      <c r="G178" s="7"/>
      <c r="H178" s="7"/>
      <c r="I178" s="76"/>
      <c r="J178" s="76"/>
      <c r="K178" s="7"/>
      <c r="L178" s="7"/>
    </row>
    <row r="179" spans="2:12" x14ac:dyDescent="0.25">
      <c r="B179" s="7"/>
      <c r="C179" s="76"/>
      <c r="D179" s="76"/>
      <c r="E179" s="7"/>
      <c r="F179" s="7"/>
      <c r="G179" s="7"/>
      <c r="H179" s="7"/>
      <c r="I179" s="76"/>
      <c r="J179" s="76"/>
      <c r="K179" s="7"/>
      <c r="L179" s="7"/>
    </row>
    <row r="180" spans="2:12" x14ac:dyDescent="0.25">
      <c r="B180" s="7"/>
      <c r="C180" s="76"/>
      <c r="D180" s="76"/>
      <c r="E180" s="7"/>
      <c r="F180" s="7"/>
      <c r="G180" s="7"/>
      <c r="H180" s="7"/>
      <c r="I180" s="76"/>
      <c r="J180" s="76"/>
      <c r="K180" s="7"/>
      <c r="L180" s="7"/>
    </row>
    <row r="181" spans="2:12" x14ac:dyDescent="0.25">
      <c r="B181" s="7"/>
      <c r="C181" s="76"/>
      <c r="D181" s="76"/>
      <c r="E181" s="7"/>
      <c r="F181" s="7"/>
      <c r="G181" s="7"/>
      <c r="H181" s="7"/>
      <c r="I181" s="76"/>
      <c r="J181" s="76"/>
      <c r="K181" s="7"/>
      <c r="L181" s="7"/>
    </row>
    <row r="182" spans="2:12" x14ac:dyDescent="0.25">
      <c r="B182" s="7"/>
      <c r="C182" s="76"/>
      <c r="D182" s="76"/>
      <c r="E182" s="7"/>
      <c r="F182" s="7"/>
      <c r="G182" s="7"/>
      <c r="H182" s="7"/>
      <c r="I182" s="76"/>
      <c r="J182" s="76"/>
      <c r="K182" s="7"/>
      <c r="L182" s="7"/>
    </row>
    <row r="183" spans="2:12" x14ac:dyDescent="0.25">
      <c r="B183" s="7"/>
      <c r="C183" s="76"/>
      <c r="D183" s="76"/>
      <c r="E183" s="7"/>
      <c r="F183" s="7"/>
      <c r="G183" s="7"/>
      <c r="H183" s="7"/>
      <c r="I183" s="76"/>
      <c r="J183" s="76"/>
      <c r="K183" s="7"/>
      <c r="L183" s="7"/>
    </row>
    <row r="184" spans="2:12" x14ac:dyDescent="0.25">
      <c r="B184" s="7"/>
      <c r="C184" s="76"/>
      <c r="D184" s="76"/>
      <c r="E184" s="7"/>
      <c r="F184" s="7"/>
      <c r="G184" s="7"/>
      <c r="H184" s="7"/>
      <c r="I184" s="76"/>
      <c r="J184" s="76"/>
      <c r="K184" s="7"/>
      <c r="L184" s="7"/>
    </row>
    <row r="185" spans="2:12" x14ac:dyDescent="0.25">
      <c r="B185" s="7"/>
      <c r="C185" s="76"/>
      <c r="D185" s="76"/>
      <c r="E185" s="7"/>
      <c r="F185" s="7"/>
      <c r="G185" s="7"/>
      <c r="H185" s="7"/>
      <c r="I185" s="76"/>
      <c r="J185" s="76"/>
      <c r="K185" s="7"/>
      <c r="L185" s="7"/>
    </row>
    <row r="186" spans="2:12" x14ac:dyDescent="0.25">
      <c r="B186" s="7"/>
      <c r="C186" s="76"/>
      <c r="D186" s="76"/>
      <c r="E186" s="7"/>
      <c r="F186" s="7"/>
      <c r="G186" s="7"/>
      <c r="H186" s="7"/>
      <c r="I186" s="76"/>
      <c r="J186" s="76"/>
      <c r="K186" s="7"/>
      <c r="L186" s="7"/>
    </row>
    <row r="187" spans="2:12" x14ac:dyDescent="0.25">
      <c r="B187" s="7"/>
      <c r="C187" s="76"/>
      <c r="D187" s="76"/>
      <c r="E187" s="7"/>
      <c r="F187" s="7"/>
      <c r="G187" s="7"/>
      <c r="H187" s="7"/>
      <c r="I187" s="76"/>
      <c r="J187" s="76"/>
      <c r="K187" s="7"/>
      <c r="L187" s="7"/>
    </row>
    <row r="188" spans="2:12" x14ac:dyDescent="0.25">
      <c r="B188" s="7"/>
      <c r="C188" s="76"/>
      <c r="D188" s="76"/>
      <c r="E188" s="7"/>
      <c r="F188" s="7"/>
      <c r="G188" s="7"/>
      <c r="H188" s="7"/>
      <c r="I188" s="76"/>
      <c r="J188" s="76"/>
      <c r="K188" s="7"/>
      <c r="L188" s="7"/>
    </row>
    <row r="189" spans="2:12" x14ac:dyDescent="0.25">
      <c r="B189" s="7"/>
      <c r="C189" s="76"/>
      <c r="D189" s="76"/>
      <c r="E189" s="7"/>
      <c r="F189" s="7"/>
      <c r="G189" s="7"/>
      <c r="H189" s="7"/>
      <c r="I189" s="76"/>
      <c r="J189" s="76"/>
      <c r="K189" s="7"/>
      <c r="L189" s="7"/>
    </row>
    <row r="190" spans="2:12" x14ac:dyDescent="0.25">
      <c r="B190" s="7"/>
      <c r="C190" s="76"/>
      <c r="D190" s="76"/>
      <c r="E190" s="7"/>
      <c r="F190" s="7"/>
      <c r="G190" s="7"/>
      <c r="H190" s="7"/>
      <c r="I190" s="76"/>
      <c r="J190" s="76"/>
      <c r="K190" s="7"/>
      <c r="L190" s="7"/>
    </row>
    <row r="191" spans="2:12" x14ac:dyDescent="0.25">
      <c r="B191" s="7"/>
      <c r="C191" s="76"/>
      <c r="D191" s="76"/>
      <c r="E191" s="7"/>
      <c r="F191" s="7"/>
      <c r="G191" s="7"/>
      <c r="H191" s="7"/>
      <c r="I191" s="76"/>
      <c r="J191" s="76"/>
      <c r="K191" s="7"/>
      <c r="L191" s="7"/>
    </row>
    <row r="192" spans="2:12" x14ac:dyDescent="0.25">
      <c r="B192" s="7"/>
      <c r="C192" s="76"/>
      <c r="D192" s="76"/>
      <c r="E192" s="7"/>
      <c r="F192" s="7"/>
      <c r="G192" s="7"/>
      <c r="H192" s="7"/>
      <c r="I192" s="76"/>
      <c r="J192" s="76"/>
      <c r="K192" s="7"/>
      <c r="L192" s="7"/>
    </row>
    <row r="193" spans="2:12" x14ac:dyDescent="0.25">
      <c r="B193" s="7"/>
      <c r="C193" s="76"/>
      <c r="D193" s="76"/>
      <c r="E193" s="7"/>
      <c r="F193" s="7"/>
      <c r="G193" s="7"/>
      <c r="H193" s="7"/>
      <c r="I193" s="76"/>
      <c r="J193" s="76"/>
      <c r="K193" s="7"/>
      <c r="L193" s="7"/>
    </row>
    <row r="194" spans="2:12" x14ac:dyDescent="0.25">
      <c r="B194" s="7"/>
      <c r="C194" s="76"/>
      <c r="D194" s="76"/>
      <c r="E194" s="7"/>
      <c r="F194" s="7"/>
      <c r="G194" s="7"/>
      <c r="H194" s="7"/>
      <c r="I194" s="76"/>
      <c r="J194" s="76"/>
      <c r="K194" s="7"/>
      <c r="L194" s="7"/>
    </row>
    <row r="195" spans="2:12" x14ac:dyDescent="0.25">
      <c r="B195" s="7"/>
      <c r="C195" s="76"/>
      <c r="D195" s="76"/>
      <c r="E195" s="7"/>
      <c r="F195" s="7"/>
      <c r="G195" s="7"/>
      <c r="H195" s="7"/>
      <c r="I195" s="76"/>
      <c r="J195" s="76"/>
      <c r="K195" s="7"/>
      <c r="L195" s="7"/>
    </row>
    <row r="196" spans="2:12" x14ac:dyDescent="0.25">
      <c r="B196" s="7"/>
      <c r="C196" s="76"/>
      <c r="D196" s="76"/>
      <c r="E196" s="7"/>
      <c r="F196" s="7"/>
      <c r="G196" s="7"/>
      <c r="H196" s="7"/>
      <c r="I196" s="76"/>
      <c r="J196" s="76"/>
      <c r="K196" s="7"/>
      <c r="L196" s="7"/>
    </row>
    <row r="197" spans="2:12" x14ac:dyDescent="0.25">
      <c r="B197" s="7"/>
      <c r="C197" s="76"/>
      <c r="D197" s="76"/>
      <c r="E197" s="7"/>
      <c r="F197" s="7"/>
      <c r="G197" s="7"/>
      <c r="H197" s="7"/>
      <c r="I197" s="76"/>
      <c r="J197" s="76"/>
      <c r="K197" s="7"/>
      <c r="L197" s="7"/>
    </row>
    <row r="198" spans="2:12" x14ac:dyDescent="0.25">
      <c r="B198" s="7"/>
      <c r="C198" s="76"/>
      <c r="D198" s="76"/>
      <c r="E198" s="7"/>
      <c r="F198" s="7"/>
      <c r="G198" s="7"/>
      <c r="H198" s="7"/>
      <c r="I198" s="76"/>
      <c r="J198" s="76"/>
      <c r="K198" s="7"/>
      <c r="L198" s="7"/>
    </row>
    <row r="199" spans="2:12" x14ac:dyDescent="0.25">
      <c r="B199" s="7"/>
      <c r="C199" s="76"/>
      <c r="D199" s="76"/>
      <c r="E199" s="7"/>
      <c r="F199" s="7"/>
      <c r="G199" s="7"/>
      <c r="H199" s="7"/>
      <c r="I199" s="76"/>
      <c r="J199" s="76"/>
      <c r="K199" s="7"/>
      <c r="L199" s="7"/>
    </row>
    <row r="200" spans="2:12" x14ac:dyDescent="0.25">
      <c r="B200" s="7"/>
      <c r="C200" s="76"/>
      <c r="D200" s="76"/>
      <c r="E200" s="7"/>
      <c r="F200" s="7"/>
      <c r="G200" s="7"/>
      <c r="H200" s="7"/>
      <c r="I200" s="76"/>
      <c r="J200" s="76"/>
      <c r="K200" s="7"/>
      <c r="L200" s="7"/>
    </row>
    <row r="201" spans="2:12" x14ac:dyDescent="0.25">
      <c r="B201" s="7"/>
      <c r="C201" s="76"/>
      <c r="D201" s="76"/>
      <c r="E201" s="7"/>
      <c r="F201" s="7"/>
      <c r="G201" s="7"/>
      <c r="H201" s="7"/>
      <c r="I201" s="76"/>
      <c r="J201" s="76"/>
      <c r="K201" s="7"/>
      <c r="L201" s="7"/>
    </row>
    <row r="202" spans="2:12" x14ac:dyDescent="0.25">
      <c r="B202" s="7"/>
      <c r="C202" s="76"/>
      <c r="D202" s="76"/>
      <c r="E202" s="7"/>
      <c r="F202" s="7"/>
      <c r="G202" s="7"/>
      <c r="H202" s="7"/>
      <c r="I202" s="76"/>
      <c r="J202" s="76"/>
      <c r="K202" s="7"/>
      <c r="L202" s="7"/>
    </row>
    <row r="203" spans="2:12" x14ac:dyDescent="0.25">
      <c r="B203" s="7"/>
      <c r="C203" s="76"/>
      <c r="D203" s="76"/>
      <c r="E203" s="7"/>
      <c r="F203" s="7"/>
      <c r="G203" s="7"/>
      <c r="H203" s="7"/>
      <c r="I203" s="76"/>
      <c r="J203" s="76"/>
      <c r="K203" s="7"/>
      <c r="L203" s="7"/>
    </row>
    <row r="204" spans="2:12" x14ac:dyDescent="0.25">
      <c r="B204" s="7"/>
      <c r="C204" s="76"/>
      <c r="D204" s="76"/>
      <c r="E204" s="7"/>
      <c r="F204" s="7"/>
      <c r="G204" s="7"/>
      <c r="H204" s="7"/>
      <c r="I204" s="76"/>
      <c r="J204" s="76"/>
      <c r="K204" s="7"/>
      <c r="L204" s="7"/>
    </row>
    <row r="205" spans="2:12" x14ac:dyDescent="0.25">
      <c r="B205" s="7"/>
      <c r="C205" s="76"/>
      <c r="D205" s="76"/>
      <c r="E205" s="7"/>
      <c r="F205" s="7"/>
      <c r="G205" s="7"/>
      <c r="H205" s="7"/>
      <c r="I205" s="76"/>
      <c r="J205" s="76"/>
      <c r="K205" s="7"/>
      <c r="L205" s="7"/>
    </row>
    <row r="206" spans="2:12" x14ac:dyDescent="0.25">
      <c r="B206" s="7"/>
      <c r="C206" s="76"/>
      <c r="D206" s="76"/>
      <c r="E206" s="7"/>
      <c r="F206" s="7"/>
      <c r="G206" s="7"/>
      <c r="H206" s="7"/>
      <c r="I206" s="76"/>
      <c r="J206" s="76"/>
      <c r="K206" s="7"/>
      <c r="L206" s="7"/>
    </row>
    <row r="207" spans="2:12" x14ac:dyDescent="0.25">
      <c r="B207" s="7"/>
      <c r="C207" s="76"/>
      <c r="D207" s="76"/>
      <c r="E207" s="7"/>
      <c r="F207" s="7"/>
      <c r="G207" s="7"/>
      <c r="H207" s="7"/>
      <c r="I207" s="76"/>
      <c r="J207" s="76"/>
      <c r="K207" s="7"/>
      <c r="L207" s="7"/>
    </row>
    <row r="208" spans="2:12" x14ac:dyDescent="0.25">
      <c r="B208" s="7"/>
      <c r="C208" s="76"/>
      <c r="D208" s="76"/>
      <c r="E208" s="7"/>
      <c r="F208" s="7"/>
      <c r="G208" s="7"/>
      <c r="H208" s="7"/>
      <c r="I208" s="76"/>
      <c r="J208" s="76"/>
      <c r="K208" s="7"/>
      <c r="L208" s="7"/>
    </row>
    <row r="209" spans="2:12" x14ac:dyDescent="0.25">
      <c r="B209" s="7"/>
      <c r="C209" s="76"/>
      <c r="D209" s="76"/>
      <c r="E209" s="7"/>
      <c r="F209" s="7"/>
      <c r="G209" s="7"/>
      <c r="H209" s="7"/>
      <c r="I209" s="76"/>
      <c r="J209" s="76"/>
      <c r="K209" s="7"/>
      <c r="L209" s="7"/>
    </row>
    <row r="210" spans="2:12" x14ac:dyDescent="0.25">
      <c r="B210" s="7"/>
      <c r="C210" s="76"/>
      <c r="D210" s="76"/>
      <c r="E210" s="7"/>
      <c r="F210" s="7"/>
      <c r="G210" s="7"/>
      <c r="H210" s="7"/>
      <c r="I210" s="76"/>
      <c r="J210" s="76"/>
      <c r="K210" s="7"/>
      <c r="L210" s="7"/>
    </row>
    <row r="211" spans="2:12" x14ac:dyDescent="0.25">
      <c r="B211" s="7"/>
      <c r="C211" s="76"/>
      <c r="D211" s="76"/>
      <c r="E211" s="7"/>
      <c r="F211" s="7"/>
      <c r="G211" s="7"/>
      <c r="H211" s="7"/>
      <c r="I211" s="76"/>
      <c r="J211" s="76"/>
      <c r="K211" s="7"/>
      <c r="L211" s="7"/>
    </row>
    <row r="212" spans="2:12" x14ac:dyDescent="0.25">
      <c r="B212" s="7"/>
      <c r="C212" s="76"/>
      <c r="D212" s="76"/>
      <c r="E212" s="7"/>
      <c r="F212" s="7"/>
      <c r="G212" s="7"/>
      <c r="H212" s="7"/>
      <c r="I212" s="76"/>
      <c r="J212" s="76"/>
      <c r="K212" s="7"/>
      <c r="L212" s="7"/>
    </row>
    <row r="213" spans="2:12" x14ac:dyDescent="0.25">
      <c r="B213" s="7"/>
      <c r="C213" s="76"/>
      <c r="D213" s="76"/>
      <c r="E213" s="7"/>
      <c r="F213" s="7"/>
      <c r="G213" s="7"/>
      <c r="H213" s="7"/>
      <c r="I213" s="76"/>
      <c r="J213" s="76"/>
      <c r="K213" s="7"/>
      <c r="L213" s="7"/>
    </row>
    <row r="214" spans="2:12" x14ac:dyDescent="0.25">
      <c r="B214" s="7"/>
      <c r="C214" s="76"/>
      <c r="D214" s="76"/>
      <c r="E214" s="7"/>
      <c r="F214" s="7"/>
      <c r="G214" s="7"/>
      <c r="H214" s="7"/>
      <c r="I214" s="76"/>
      <c r="J214" s="76"/>
      <c r="K214" s="7"/>
      <c r="L214" s="7"/>
    </row>
    <row r="215" spans="2:12" x14ac:dyDescent="0.25">
      <c r="B215" s="7"/>
      <c r="C215" s="76"/>
      <c r="D215" s="76"/>
      <c r="E215" s="7"/>
      <c r="F215" s="7"/>
      <c r="G215" s="7"/>
      <c r="H215" s="7"/>
      <c r="I215" s="76"/>
      <c r="J215" s="76"/>
      <c r="K215" s="7"/>
      <c r="L215" s="7"/>
    </row>
    <row r="216" spans="2:12" x14ac:dyDescent="0.25">
      <c r="B216" s="7"/>
      <c r="C216" s="76"/>
      <c r="D216" s="76"/>
      <c r="E216" s="7"/>
      <c r="F216" s="7"/>
      <c r="G216" s="7"/>
      <c r="H216" s="7"/>
      <c r="I216" s="76"/>
      <c r="J216" s="76"/>
      <c r="K216" s="7"/>
      <c r="L216" s="7"/>
    </row>
    <row r="217" spans="2:12" x14ac:dyDescent="0.25">
      <c r="B217" s="7"/>
      <c r="C217" s="76"/>
      <c r="D217" s="76"/>
      <c r="E217" s="7"/>
      <c r="F217" s="7"/>
      <c r="G217" s="7"/>
      <c r="H217" s="7"/>
      <c r="I217" s="76"/>
      <c r="J217" s="76"/>
      <c r="K217" s="7"/>
      <c r="L217" s="7"/>
    </row>
    <row r="218" spans="2:12" x14ac:dyDescent="0.25">
      <c r="B218" s="7"/>
      <c r="C218" s="76"/>
      <c r="D218" s="76"/>
      <c r="E218" s="7"/>
      <c r="F218" s="7"/>
      <c r="G218" s="7"/>
      <c r="H218" s="7"/>
      <c r="I218" s="76"/>
      <c r="J218" s="76"/>
      <c r="K218" s="7"/>
      <c r="L218" s="7"/>
    </row>
    <row r="219" spans="2:12" x14ac:dyDescent="0.25">
      <c r="B219" s="7"/>
      <c r="C219" s="76"/>
      <c r="D219" s="76"/>
      <c r="E219" s="7"/>
      <c r="F219" s="7"/>
      <c r="G219" s="7"/>
      <c r="H219" s="7"/>
      <c r="I219" s="76"/>
      <c r="J219" s="76"/>
      <c r="K219" s="7"/>
      <c r="L219" s="7"/>
    </row>
    <row r="220" spans="2:12" x14ac:dyDescent="0.25">
      <c r="B220" s="7"/>
      <c r="C220" s="76"/>
      <c r="D220" s="76"/>
      <c r="E220" s="7"/>
      <c r="F220" s="7"/>
      <c r="G220" s="7"/>
      <c r="H220" s="7"/>
      <c r="I220" s="76"/>
      <c r="J220" s="76"/>
      <c r="K220" s="7"/>
      <c r="L220" s="7"/>
    </row>
    <row r="221" spans="2:12" x14ac:dyDescent="0.25">
      <c r="B221" s="7"/>
      <c r="C221" s="76"/>
      <c r="D221" s="76"/>
      <c r="E221" s="7"/>
      <c r="F221" s="7"/>
      <c r="G221" s="7"/>
      <c r="H221" s="7"/>
      <c r="I221" s="76"/>
      <c r="J221" s="76"/>
      <c r="K221" s="7"/>
      <c r="L221" s="7"/>
    </row>
    <row r="222" spans="2:12" x14ac:dyDescent="0.25">
      <c r="B222" s="7"/>
      <c r="C222" s="76"/>
      <c r="D222" s="76"/>
      <c r="E222" s="7"/>
      <c r="F222" s="7"/>
      <c r="G222" s="7"/>
      <c r="H222" s="7"/>
      <c r="I222" s="76"/>
      <c r="J222" s="76"/>
      <c r="K222" s="7"/>
      <c r="L222" s="7"/>
    </row>
    <row r="223" spans="2:12" x14ac:dyDescent="0.25">
      <c r="B223" s="7"/>
      <c r="C223" s="76"/>
      <c r="D223" s="76"/>
      <c r="E223" s="7"/>
      <c r="F223" s="7"/>
      <c r="G223" s="7"/>
      <c r="H223" s="7"/>
      <c r="I223" s="76"/>
      <c r="J223" s="76"/>
      <c r="K223" s="7"/>
      <c r="L223" s="7"/>
    </row>
    <row r="224" spans="2:12" x14ac:dyDescent="0.25">
      <c r="B224" s="7"/>
      <c r="C224" s="76"/>
      <c r="D224" s="76"/>
      <c r="E224" s="7"/>
      <c r="F224" s="7"/>
      <c r="G224" s="7"/>
      <c r="H224" s="7"/>
      <c r="I224" s="76"/>
      <c r="J224" s="76"/>
      <c r="K224" s="7"/>
      <c r="L224" s="7"/>
    </row>
    <row r="225" spans="2:12" x14ac:dyDescent="0.25">
      <c r="B225" s="7"/>
      <c r="C225" s="76"/>
      <c r="D225" s="76"/>
      <c r="E225" s="7"/>
      <c r="F225" s="7"/>
      <c r="G225" s="7"/>
      <c r="H225" s="7"/>
      <c r="I225" s="76"/>
      <c r="J225" s="76"/>
      <c r="K225" s="7"/>
      <c r="L225" s="7"/>
    </row>
    <row r="226" spans="2:12" x14ac:dyDescent="0.25">
      <c r="B226" s="7"/>
      <c r="C226" s="76"/>
      <c r="D226" s="76"/>
      <c r="E226" s="7"/>
      <c r="F226" s="7"/>
      <c r="G226" s="7"/>
      <c r="H226" s="7"/>
      <c r="I226" s="76"/>
      <c r="J226" s="76"/>
      <c r="K226" s="7"/>
      <c r="L226" s="7"/>
    </row>
    <row r="227" spans="2:12" x14ac:dyDescent="0.25">
      <c r="B227" s="7"/>
      <c r="C227" s="76"/>
      <c r="D227" s="76"/>
      <c r="E227" s="7"/>
      <c r="F227" s="7"/>
      <c r="G227" s="7"/>
      <c r="H227" s="7"/>
      <c r="I227" s="76"/>
      <c r="J227" s="76"/>
      <c r="K227" s="7"/>
      <c r="L227" s="7"/>
    </row>
    <row r="228" spans="2:12" x14ac:dyDescent="0.25">
      <c r="B228" s="7"/>
      <c r="C228" s="76"/>
      <c r="D228" s="76"/>
      <c r="E228" s="7"/>
      <c r="F228" s="7"/>
      <c r="G228" s="7"/>
      <c r="H228" s="7"/>
      <c r="I228" s="76"/>
      <c r="J228" s="76"/>
      <c r="K228" s="7"/>
      <c r="L228" s="7"/>
    </row>
    <row r="229" spans="2:12" x14ac:dyDescent="0.25">
      <c r="B229" s="7"/>
      <c r="C229" s="76"/>
      <c r="D229" s="76"/>
      <c r="E229" s="7"/>
      <c r="F229" s="7"/>
      <c r="G229" s="7"/>
      <c r="H229" s="7"/>
      <c r="I229" s="76"/>
      <c r="J229" s="76"/>
      <c r="K229" s="7"/>
      <c r="L229" s="7"/>
    </row>
    <row r="230" spans="2:12" x14ac:dyDescent="0.25">
      <c r="B230" s="7"/>
      <c r="C230" s="76"/>
      <c r="D230" s="76"/>
      <c r="E230" s="7"/>
      <c r="F230" s="7"/>
      <c r="G230" s="7"/>
      <c r="H230" s="7"/>
      <c r="I230" s="76"/>
      <c r="J230" s="76"/>
      <c r="K230" s="7"/>
      <c r="L230" s="7"/>
    </row>
    <row r="231" spans="2:12" x14ac:dyDescent="0.25">
      <c r="B231" s="7"/>
      <c r="C231" s="76"/>
      <c r="D231" s="76"/>
      <c r="E231" s="7"/>
      <c r="F231" s="7"/>
      <c r="G231" s="7"/>
      <c r="H231" s="7"/>
      <c r="I231" s="76"/>
      <c r="J231" s="76"/>
      <c r="K231" s="7"/>
      <c r="L231" s="7"/>
    </row>
    <row r="232" spans="2:12" x14ac:dyDescent="0.25">
      <c r="B232" s="7"/>
      <c r="C232" s="76"/>
      <c r="D232" s="76"/>
      <c r="E232" s="7"/>
      <c r="F232" s="7"/>
      <c r="G232" s="7"/>
      <c r="H232" s="7"/>
      <c r="I232" s="76"/>
      <c r="J232" s="76"/>
      <c r="K232" s="7"/>
      <c r="L232" s="7"/>
    </row>
    <row r="233" spans="2:12" x14ac:dyDescent="0.25">
      <c r="B233" s="7"/>
      <c r="C233" s="76"/>
      <c r="D233" s="76"/>
      <c r="E233" s="7"/>
      <c r="F233" s="7"/>
      <c r="G233" s="7"/>
      <c r="H233" s="7"/>
      <c r="I233" s="76"/>
      <c r="J233" s="76"/>
      <c r="K233" s="7"/>
      <c r="L233" s="7"/>
    </row>
    <row r="234" spans="2:12" x14ac:dyDescent="0.25">
      <c r="B234" s="7"/>
      <c r="C234" s="76"/>
      <c r="D234" s="76"/>
      <c r="E234" s="7"/>
      <c r="F234" s="7"/>
      <c r="G234" s="7"/>
      <c r="H234" s="7"/>
      <c r="I234" s="76"/>
      <c r="J234" s="76"/>
      <c r="K234" s="7"/>
      <c r="L234" s="7"/>
    </row>
    <row r="235" spans="2:12" x14ac:dyDescent="0.25">
      <c r="B235" s="7"/>
      <c r="C235" s="76"/>
      <c r="D235" s="76"/>
      <c r="E235" s="7"/>
      <c r="F235" s="7"/>
      <c r="G235" s="7"/>
      <c r="H235" s="7"/>
      <c r="I235" s="76"/>
      <c r="J235" s="76"/>
      <c r="K235" s="7"/>
      <c r="L235" s="7"/>
    </row>
    <row r="236" spans="2:12" x14ac:dyDescent="0.25">
      <c r="B236" s="7"/>
      <c r="C236" s="76"/>
      <c r="D236" s="76"/>
      <c r="E236" s="7"/>
      <c r="F236" s="7"/>
      <c r="G236" s="7"/>
      <c r="H236" s="7"/>
      <c r="I236" s="76"/>
      <c r="J236" s="76"/>
      <c r="K236" s="7"/>
      <c r="L236" s="7"/>
    </row>
    <row r="237" spans="2:12" x14ac:dyDescent="0.25">
      <c r="B237" s="7"/>
      <c r="C237" s="76"/>
      <c r="D237" s="76"/>
      <c r="E237" s="7"/>
      <c r="F237" s="7"/>
      <c r="G237" s="7"/>
      <c r="H237" s="7"/>
      <c r="I237" s="76"/>
      <c r="J237" s="76"/>
      <c r="K237" s="7"/>
      <c r="L237" s="7"/>
    </row>
    <row r="238" spans="2:12" x14ac:dyDescent="0.25">
      <c r="B238" s="7"/>
      <c r="C238" s="76"/>
      <c r="D238" s="76"/>
      <c r="E238" s="7"/>
      <c r="F238" s="7"/>
      <c r="G238" s="7"/>
      <c r="H238" s="7"/>
      <c r="I238" s="76"/>
      <c r="J238" s="76"/>
      <c r="K238" s="7"/>
      <c r="L238" s="7"/>
    </row>
    <row r="239" spans="2:12" x14ac:dyDescent="0.25">
      <c r="B239" s="7"/>
      <c r="C239" s="76"/>
      <c r="D239" s="76"/>
      <c r="E239" s="7"/>
      <c r="F239" s="7"/>
      <c r="G239" s="7"/>
      <c r="H239" s="7"/>
      <c r="I239" s="76"/>
      <c r="J239" s="76"/>
      <c r="K239" s="7"/>
      <c r="L239" s="7"/>
    </row>
    <row r="240" spans="2:12" x14ac:dyDescent="0.25">
      <c r="B240" s="7"/>
      <c r="C240" s="76"/>
      <c r="D240" s="76"/>
      <c r="E240" s="7"/>
      <c r="F240" s="7"/>
      <c r="G240" s="7"/>
      <c r="H240" s="7"/>
      <c r="I240" s="76"/>
      <c r="J240" s="76"/>
      <c r="K240" s="7"/>
      <c r="L240" s="7"/>
    </row>
    <row r="241" spans="2:12" x14ac:dyDescent="0.25">
      <c r="B241" s="7"/>
      <c r="C241" s="76"/>
      <c r="D241" s="76"/>
      <c r="E241" s="7"/>
      <c r="F241" s="7"/>
      <c r="G241" s="7"/>
      <c r="H241" s="7"/>
      <c r="I241" s="76"/>
      <c r="J241" s="76"/>
      <c r="K241" s="7"/>
      <c r="L241" s="7"/>
    </row>
    <row r="242" spans="2:12" x14ac:dyDescent="0.25">
      <c r="B242" s="7"/>
      <c r="C242" s="76"/>
      <c r="D242" s="76"/>
      <c r="E242" s="7"/>
      <c r="F242" s="7"/>
      <c r="G242" s="7"/>
      <c r="H242" s="7"/>
      <c r="I242" s="76"/>
      <c r="J242" s="76"/>
      <c r="K242" s="7"/>
      <c r="L242" s="7"/>
    </row>
    <row r="243" spans="2:12" x14ac:dyDescent="0.25">
      <c r="B243" s="7"/>
      <c r="C243" s="76"/>
      <c r="D243" s="76"/>
      <c r="E243" s="7"/>
      <c r="F243" s="7"/>
      <c r="G243" s="7"/>
      <c r="H243" s="7"/>
      <c r="I243" s="76"/>
      <c r="J243" s="76"/>
      <c r="K243" s="7"/>
      <c r="L243" s="7"/>
    </row>
    <row r="244" spans="2:12" x14ac:dyDescent="0.25">
      <c r="B244" s="7"/>
      <c r="C244" s="76"/>
      <c r="D244" s="76"/>
      <c r="E244" s="7"/>
      <c r="F244" s="7"/>
      <c r="G244" s="7"/>
      <c r="H244" s="7"/>
      <c r="I244" s="76"/>
      <c r="J244" s="76"/>
      <c r="K244" s="7"/>
      <c r="L244" s="7"/>
    </row>
    <row r="245" spans="2:12" x14ac:dyDescent="0.25">
      <c r="B245" s="7"/>
      <c r="C245" s="76"/>
      <c r="D245" s="76"/>
      <c r="E245" s="7"/>
      <c r="F245" s="7"/>
      <c r="G245" s="7"/>
      <c r="H245" s="7"/>
      <c r="I245" s="76"/>
      <c r="J245" s="76"/>
      <c r="K245" s="7"/>
      <c r="L245" s="7"/>
    </row>
    <row r="246" spans="2:12" x14ac:dyDescent="0.25">
      <c r="B246" s="7"/>
      <c r="C246" s="76"/>
      <c r="D246" s="76"/>
      <c r="E246" s="7"/>
      <c r="F246" s="7"/>
      <c r="G246" s="7"/>
      <c r="H246" s="7"/>
      <c r="I246" s="76"/>
      <c r="J246" s="76"/>
      <c r="K246" s="7"/>
      <c r="L246" s="7"/>
    </row>
    <row r="247" spans="2:12" x14ac:dyDescent="0.25">
      <c r="B247" s="7"/>
      <c r="C247" s="76"/>
      <c r="D247" s="76"/>
      <c r="E247" s="7"/>
      <c r="F247" s="7"/>
      <c r="G247" s="7"/>
      <c r="H247" s="7"/>
      <c r="I247" s="76"/>
      <c r="J247" s="76"/>
      <c r="K247" s="7"/>
      <c r="L247" s="7"/>
    </row>
    <row r="248" spans="2:12" x14ac:dyDescent="0.25">
      <c r="B248" s="7"/>
      <c r="C248" s="76"/>
      <c r="D248" s="76"/>
      <c r="E248" s="7"/>
      <c r="F248" s="7"/>
      <c r="G248" s="7"/>
      <c r="H248" s="7"/>
      <c r="I248" s="76"/>
      <c r="J248" s="76"/>
      <c r="K248" s="7"/>
      <c r="L248" s="7"/>
    </row>
    <row r="249" spans="2:12" x14ac:dyDescent="0.25">
      <c r="B249" s="7"/>
      <c r="C249" s="76"/>
      <c r="D249" s="76"/>
      <c r="E249" s="7"/>
      <c r="F249" s="7"/>
      <c r="G249" s="7"/>
      <c r="H249" s="7"/>
      <c r="I249" s="76"/>
      <c r="J249" s="76"/>
      <c r="K249" s="7"/>
      <c r="L249" s="7"/>
    </row>
    <row r="250" spans="2:12" x14ac:dyDescent="0.25">
      <c r="B250" s="7"/>
      <c r="C250" s="76"/>
      <c r="D250" s="76"/>
      <c r="E250" s="7"/>
      <c r="F250" s="7"/>
      <c r="G250" s="7"/>
      <c r="H250" s="7"/>
      <c r="I250" s="76"/>
      <c r="J250" s="76"/>
      <c r="K250" s="7"/>
      <c r="L250" s="7"/>
    </row>
    <row r="251" spans="2:12" x14ac:dyDescent="0.25">
      <c r="B251" s="7"/>
      <c r="C251" s="76"/>
      <c r="D251" s="76"/>
      <c r="E251" s="7"/>
      <c r="F251" s="7"/>
      <c r="G251" s="7"/>
      <c r="H251" s="7"/>
      <c r="I251" s="76"/>
      <c r="J251" s="76"/>
      <c r="K251" s="7"/>
      <c r="L251" s="7"/>
    </row>
    <row r="252" spans="2:12" x14ac:dyDescent="0.25">
      <c r="B252" s="7"/>
      <c r="C252" s="76"/>
      <c r="D252" s="76"/>
      <c r="E252" s="7"/>
      <c r="F252" s="7"/>
      <c r="G252" s="7"/>
      <c r="H252" s="7"/>
      <c r="I252" s="76"/>
      <c r="J252" s="76"/>
      <c r="K252" s="7"/>
      <c r="L252" s="7"/>
    </row>
    <row r="253" spans="2:12" x14ac:dyDescent="0.25">
      <c r="B253" s="7"/>
      <c r="C253" s="76"/>
      <c r="D253" s="76"/>
      <c r="E253" s="7"/>
      <c r="F253" s="7"/>
      <c r="G253" s="7"/>
      <c r="H253" s="7"/>
      <c r="I253" s="76"/>
      <c r="J253" s="76"/>
      <c r="K253" s="7"/>
      <c r="L253" s="7"/>
    </row>
    <row r="254" spans="2:12" x14ac:dyDescent="0.25">
      <c r="B254" s="7"/>
      <c r="C254" s="76"/>
      <c r="D254" s="76"/>
      <c r="E254" s="7"/>
      <c r="F254" s="7"/>
      <c r="G254" s="7"/>
      <c r="H254" s="7"/>
      <c r="I254" s="76"/>
      <c r="J254" s="76"/>
      <c r="K254" s="7"/>
      <c r="L254" s="7"/>
    </row>
    <row r="255" spans="2:12" x14ac:dyDescent="0.25">
      <c r="B255" s="7"/>
      <c r="C255" s="76"/>
      <c r="D255" s="76"/>
      <c r="E255" s="7"/>
      <c r="F255" s="7"/>
      <c r="G255" s="7"/>
      <c r="H255" s="7"/>
      <c r="I255" s="76"/>
      <c r="J255" s="76"/>
      <c r="K255" s="7"/>
      <c r="L255" s="7"/>
    </row>
    <row r="256" spans="2:12" x14ac:dyDescent="0.25">
      <c r="B256" s="7"/>
      <c r="C256" s="76"/>
      <c r="D256" s="76"/>
      <c r="E256" s="7"/>
      <c r="F256" s="7"/>
      <c r="G256" s="7"/>
      <c r="H256" s="7"/>
      <c r="I256" s="76"/>
      <c r="J256" s="76"/>
      <c r="K256" s="7"/>
      <c r="L256" s="7"/>
    </row>
    <row r="257" spans="2:12" x14ac:dyDescent="0.25">
      <c r="B257" s="7"/>
      <c r="C257" s="76"/>
      <c r="D257" s="76"/>
      <c r="E257" s="7"/>
      <c r="F257" s="7"/>
      <c r="G257" s="7"/>
      <c r="H257" s="7"/>
      <c r="I257" s="76"/>
      <c r="J257" s="76"/>
      <c r="K257" s="7"/>
      <c r="L257" s="7"/>
    </row>
    <row r="258" spans="2:12" x14ac:dyDescent="0.25">
      <c r="B258" s="7"/>
      <c r="C258" s="76"/>
      <c r="D258" s="76"/>
      <c r="E258" s="7"/>
      <c r="F258" s="7"/>
      <c r="G258" s="7"/>
      <c r="H258" s="7"/>
      <c r="I258" s="76"/>
      <c r="J258" s="76"/>
      <c r="K258" s="7"/>
      <c r="L258" s="7"/>
    </row>
    <row r="259" spans="2:12" x14ac:dyDescent="0.25">
      <c r="B259" s="7"/>
      <c r="C259" s="76"/>
      <c r="D259" s="76"/>
      <c r="E259" s="7"/>
      <c r="F259" s="7"/>
      <c r="G259" s="7"/>
      <c r="H259" s="7"/>
      <c r="I259" s="76"/>
      <c r="J259" s="76"/>
      <c r="K259" s="7"/>
      <c r="L259" s="7"/>
    </row>
    <row r="260" spans="2:12" x14ac:dyDescent="0.25">
      <c r="B260" s="7"/>
      <c r="C260" s="76"/>
      <c r="D260" s="76"/>
      <c r="E260" s="7"/>
      <c r="F260" s="7"/>
      <c r="G260" s="7"/>
      <c r="H260" s="7"/>
      <c r="I260" s="76"/>
      <c r="J260" s="76"/>
      <c r="K260" s="7"/>
      <c r="L260" s="7"/>
    </row>
    <row r="261" spans="2:12" x14ac:dyDescent="0.25">
      <c r="B261" s="7"/>
      <c r="C261" s="76"/>
      <c r="D261" s="76"/>
      <c r="E261" s="7"/>
      <c r="F261" s="7"/>
      <c r="G261" s="7"/>
      <c r="H261" s="7"/>
      <c r="I261" s="76"/>
      <c r="J261" s="76"/>
      <c r="K261" s="7"/>
      <c r="L261" s="7"/>
    </row>
    <row r="262" spans="2:12" x14ac:dyDescent="0.25">
      <c r="B262" s="7"/>
      <c r="C262" s="76"/>
      <c r="D262" s="76"/>
      <c r="E262" s="7"/>
      <c r="F262" s="7"/>
      <c r="G262" s="7"/>
      <c r="H262" s="7"/>
      <c r="I262" s="76"/>
      <c r="J262" s="76"/>
      <c r="K262" s="7"/>
      <c r="L262" s="7"/>
    </row>
    <row r="263" spans="2:12" x14ac:dyDescent="0.25">
      <c r="B263" s="7"/>
      <c r="C263" s="76"/>
      <c r="D263" s="76"/>
      <c r="E263" s="7"/>
      <c r="F263" s="7"/>
      <c r="G263" s="7"/>
      <c r="H263" s="7"/>
      <c r="I263" s="76"/>
      <c r="J263" s="76"/>
      <c r="K263" s="7"/>
      <c r="L263" s="7"/>
    </row>
    <row r="264" spans="2:12" x14ac:dyDescent="0.25">
      <c r="B264" s="7"/>
      <c r="C264" s="76"/>
      <c r="D264" s="76"/>
      <c r="E264" s="7"/>
      <c r="F264" s="7"/>
      <c r="G264" s="7"/>
      <c r="H264" s="7"/>
      <c r="I264" s="76"/>
      <c r="J264" s="76"/>
      <c r="K264" s="7"/>
      <c r="L264" s="7"/>
    </row>
    <row r="265" spans="2:12" x14ac:dyDescent="0.25">
      <c r="B265" s="7"/>
      <c r="C265" s="76"/>
      <c r="D265" s="76"/>
      <c r="E265" s="7"/>
      <c r="F265" s="7"/>
      <c r="G265" s="7"/>
      <c r="H265" s="7"/>
      <c r="I265" s="76"/>
      <c r="J265" s="76"/>
      <c r="K265" s="7"/>
      <c r="L265" s="7"/>
    </row>
    <row r="266" spans="2:12" x14ac:dyDescent="0.25">
      <c r="B266" s="7"/>
      <c r="C266" s="76"/>
      <c r="D266" s="76"/>
      <c r="E266" s="7"/>
      <c r="F266" s="7"/>
      <c r="G266" s="7"/>
      <c r="H266" s="7"/>
      <c r="I266" s="76"/>
      <c r="J266" s="76"/>
      <c r="K266" s="7"/>
      <c r="L266" s="7"/>
    </row>
    <row r="267" spans="2:12" x14ac:dyDescent="0.25">
      <c r="B267" s="7"/>
      <c r="C267" s="76"/>
      <c r="D267" s="76"/>
      <c r="E267" s="7"/>
      <c r="F267" s="7"/>
      <c r="G267" s="7"/>
      <c r="H267" s="7"/>
      <c r="I267" s="76"/>
      <c r="J267" s="76"/>
      <c r="K267" s="7"/>
      <c r="L267" s="7"/>
    </row>
    <row r="268" spans="2:12" x14ac:dyDescent="0.25">
      <c r="B268" s="7"/>
      <c r="C268" s="76"/>
      <c r="D268" s="76"/>
      <c r="E268" s="7"/>
      <c r="F268" s="7"/>
      <c r="G268" s="7"/>
      <c r="H268" s="7"/>
      <c r="I268" s="76"/>
      <c r="J268" s="76"/>
      <c r="K268" s="7"/>
      <c r="L268" s="7"/>
    </row>
    <row r="269" spans="2:12" x14ac:dyDescent="0.25">
      <c r="B269" s="7"/>
      <c r="C269" s="76"/>
      <c r="D269" s="76"/>
      <c r="E269" s="7"/>
      <c r="F269" s="7"/>
      <c r="G269" s="7"/>
      <c r="H269" s="7"/>
      <c r="I269" s="76"/>
      <c r="J269" s="76"/>
      <c r="K269" s="7"/>
      <c r="L269" s="7"/>
    </row>
    <row r="270" spans="2:12" x14ac:dyDescent="0.25">
      <c r="B270" s="7"/>
      <c r="C270" s="76"/>
      <c r="D270" s="76"/>
      <c r="E270" s="7"/>
      <c r="F270" s="7"/>
      <c r="G270" s="7"/>
      <c r="H270" s="7"/>
      <c r="I270" s="76"/>
      <c r="J270" s="76"/>
      <c r="K270" s="7"/>
      <c r="L270" s="7"/>
    </row>
    <row r="271" spans="2:12" x14ac:dyDescent="0.25">
      <c r="B271" s="7"/>
      <c r="C271" s="76"/>
      <c r="D271" s="76"/>
      <c r="E271" s="7"/>
      <c r="F271" s="7"/>
      <c r="G271" s="7"/>
      <c r="H271" s="7"/>
      <c r="I271" s="76"/>
      <c r="J271" s="76"/>
      <c r="K271" s="7"/>
      <c r="L271" s="7"/>
    </row>
    <row r="272" spans="2:12" x14ac:dyDescent="0.25">
      <c r="B272" s="7"/>
      <c r="C272" s="76"/>
      <c r="D272" s="76"/>
      <c r="E272" s="7"/>
      <c r="F272" s="7"/>
      <c r="G272" s="7"/>
      <c r="H272" s="7"/>
      <c r="I272" s="76"/>
      <c r="J272" s="76"/>
      <c r="K272" s="7"/>
      <c r="L272" s="7"/>
    </row>
    <row r="273" spans="2:12" x14ac:dyDescent="0.25">
      <c r="B273" s="1"/>
      <c r="E273" s="1"/>
      <c r="F273" s="1"/>
      <c r="G273" s="1"/>
      <c r="H273" s="1"/>
      <c r="K273" s="7"/>
      <c r="L273" s="7"/>
    </row>
    <row r="274" spans="2:12" x14ac:dyDescent="0.25">
      <c r="B274" s="1"/>
      <c r="E274" s="1"/>
      <c r="F274" s="1"/>
      <c r="G274" s="1"/>
      <c r="H274" s="1"/>
      <c r="K274" s="7"/>
      <c r="L274" s="7"/>
    </row>
  </sheetData>
  <mergeCells count="7">
    <mergeCell ref="L48:L50"/>
    <mergeCell ref="L2:N2"/>
    <mergeCell ref="B2:E3"/>
    <mergeCell ref="B111:D111"/>
    <mergeCell ref="B74:D74"/>
    <mergeCell ref="B98:D98"/>
    <mergeCell ref="B91:D9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"/>
  <sheetViews>
    <sheetView showGridLines="0" topLeftCell="U36" zoomScale="79" zoomScaleNormal="79" workbookViewId="0">
      <selection activeCell="AC45" sqref="AC45:AH55"/>
    </sheetView>
  </sheetViews>
  <sheetFormatPr defaultRowHeight="15" x14ac:dyDescent="0.25"/>
  <cols>
    <col min="1" max="1" width="8.5703125" style="72" hidden="1" customWidth="1"/>
    <col min="2" max="2" width="5.7109375" style="72" customWidth="1"/>
    <col min="3" max="3" width="17" style="72" customWidth="1"/>
    <col min="4" max="4" width="9.7109375" style="72" hidden="1" customWidth="1"/>
    <col min="5" max="5" width="9.140625" style="72" customWidth="1"/>
    <col min="6" max="6" width="17.28515625" style="72" hidden="1" customWidth="1"/>
    <col min="7" max="7" width="12.5703125" style="72" hidden="1" customWidth="1"/>
    <col min="8" max="8" width="11.85546875" style="72" hidden="1" customWidth="1"/>
    <col min="9" max="9" width="11.7109375" style="72" hidden="1" customWidth="1"/>
    <col min="10" max="10" width="0.85546875" style="73" customWidth="1"/>
    <col min="11" max="11" width="7.7109375" style="72" hidden="1" customWidth="1"/>
    <col min="12" max="12" width="8.7109375" style="72" customWidth="1"/>
    <col min="13" max="13" width="10.7109375" style="72" customWidth="1"/>
    <col min="14" max="14" width="8.5703125" style="72" customWidth="1"/>
    <col min="15" max="15" width="9.5703125" style="72" customWidth="1"/>
    <col min="16" max="16" width="10.7109375" style="72" customWidth="1"/>
    <col min="17" max="18" width="9.28515625" style="72" customWidth="1"/>
    <col min="19" max="19" width="9.7109375" style="72" customWidth="1"/>
    <col min="20" max="20" width="9" style="72" customWidth="1"/>
    <col min="21" max="21" width="8.85546875" style="72" customWidth="1"/>
    <col min="22" max="22" width="9.7109375" style="72" customWidth="1"/>
    <col min="23" max="23" width="9.140625" style="72" bestFit="1" customWidth="1"/>
    <col min="24" max="24" width="7.7109375" style="72" hidden="1" customWidth="1"/>
    <col min="25" max="25" width="7.5703125" style="72" hidden="1" customWidth="1"/>
    <col min="26" max="26" width="8.7109375" style="72" hidden="1" customWidth="1"/>
    <col min="27" max="27" width="20.7109375" customWidth="1"/>
    <col min="30" max="30" width="22.7109375" customWidth="1"/>
    <col min="31" max="31" width="15.7109375" customWidth="1"/>
    <col min="32" max="32" width="14.140625" customWidth="1"/>
    <col min="33" max="33" width="0.85546875" customWidth="1"/>
    <col min="34" max="34" width="13.42578125" customWidth="1"/>
  </cols>
  <sheetData>
    <row r="1" spans="1:34" ht="14.45" customHeight="1" x14ac:dyDescent="0.25">
      <c r="A1" s="192" t="s">
        <v>144</v>
      </c>
      <c r="B1" s="193"/>
      <c r="C1" s="193"/>
      <c r="D1" s="193"/>
      <c r="E1" s="193" t="s">
        <v>155</v>
      </c>
      <c r="F1" s="210"/>
      <c r="G1" s="196" t="s">
        <v>54</v>
      </c>
      <c r="H1" s="186"/>
      <c r="I1" s="185" t="e">
        <f>SUM(K1:AO1)</f>
        <v>#REF!</v>
      </c>
      <c r="J1" s="200"/>
      <c r="K1" s="183" t="e">
        <f>SUM(K5:K38)</f>
        <v>#REF!</v>
      </c>
      <c r="L1" s="207">
        <f>L10+L12+L14+L16+L24+L38</f>
        <v>155214.99224999998</v>
      </c>
      <c r="M1" s="207">
        <f t="shared" ref="M1:Z1" si="0">M10+M12+M14+M16+M24+M38</f>
        <v>570697.47908333328</v>
      </c>
      <c r="N1" s="207">
        <f t="shared" si="0"/>
        <v>129547.083</v>
      </c>
      <c r="O1" s="207">
        <f t="shared" si="0"/>
        <v>762139.68033333332</v>
      </c>
      <c r="P1" s="207">
        <f t="shared" si="0"/>
        <v>2165433.7389166667</v>
      </c>
      <c r="Q1" s="207">
        <f t="shared" si="0"/>
        <v>443292.0726666667</v>
      </c>
      <c r="R1" s="207">
        <f t="shared" si="0"/>
        <v>354187.77733333333</v>
      </c>
      <c r="S1" s="207">
        <f t="shared" si="0"/>
        <v>496697.47908333328</v>
      </c>
      <c r="T1" s="207">
        <f t="shared" si="0"/>
        <v>537610.52766666678</v>
      </c>
      <c r="U1" s="207">
        <f t="shared" si="0"/>
        <v>410401.46666666667</v>
      </c>
      <c r="V1" s="207">
        <f t="shared" si="0"/>
        <v>893881.34699999995</v>
      </c>
      <c r="W1" s="207">
        <f t="shared" si="0"/>
        <v>814241.79600000009</v>
      </c>
      <c r="X1" s="207">
        <f t="shared" si="0"/>
        <v>0</v>
      </c>
      <c r="Y1" s="207">
        <f t="shared" si="0"/>
        <v>0</v>
      </c>
      <c r="Z1" s="207">
        <f t="shared" si="0"/>
        <v>0</v>
      </c>
    </row>
    <row r="2" spans="1:34" ht="14.45" customHeight="1" x14ac:dyDescent="0.3">
      <c r="A2" s="192"/>
      <c r="B2" s="193"/>
      <c r="C2" s="193"/>
      <c r="D2" s="193"/>
      <c r="E2" s="211"/>
      <c r="F2" s="212"/>
      <c r="G2" s="213" t="s">
        <v>142</v>
      </c>
      <c r="H2" s="214"/>
      <c r="I2" s="215" t="e">
        <f>SUM(K1:S1)</f>
        <v>#REF!</v>
      </c>
      <c r="J2" s="209"/>
      <c r="K2" s="204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</row>
    <row r="3" spans="1:34" ht="14.45" customHeight="1" x14ac:dyDescent="0.3">
      <c r="A3" s="194"/>
      <c r="B3" s="195"/>
      <c r="C3" s="216"/>
      <c r="D3" s="216"/>
      <c r="E3" s="216"/>
      <c r="F3" s="217"/>
      <c r="G3" s="213" t="s">
        <v>143</v>
      </c>
      <c r="H3" s="218"/>
      <c r="I3" s="219">
        <f>SUM(T1:Z1)</f>
        <v>2656135.1373333335</v>
      </c>
      <c r="J3" s="209"/>
      <c r="K3" s="205"/>
      <c r="L3" s="364">
        <v>2014</v>
      </c>
      <c r="M3" s="365"/>
      <c r="N3" s="365"/>
      <c r="O3" s="365"/>
      <c r="P3" s="365"/>
      <c r="Q3" s="365"/>
      <c r="R3" s="365"/>
      <c r="S3" s="366"/>
      <c r="T3" s="367">
        <v>2015</v>
      </c>
      <c r="U3" s="368"/>
      <c r="V3" s="368"/>
      <c r="W3" s="368"/>
      <c r="X3" s="368"/>
      <c r="Y3" s="368"/>
      <c r="Z3" s="369"/>
    </row>
    <row r="4" spans="1:34" x14ac:dyDescent="0.25">
      <c r="A4" s="190" t="s">
        <v>138</v>
      </c>
      <c r="B4" s="190" t="s">
        <v>120</v>
      </c>
      <c r="C4" s="197" t="s">
        <v>120</v>
      </c>
      <c r="D4" s="197" t="s">
        <v>132</v>
      </c>
      <c r="E4" s="197" t="s">
        <v>1</v>
      </c>
      <c r="F4" s="190" t="s">
        <v>121</v>
      </c>
      <c r="G4" s="190" t="s">
        <v>127</v>
      </c>
      <c r="H4" s="190" t="s">
        <v>128</v>
      </c>
      <c r="I4" s="198" t="s">
        <v>129</v>
      </c>
      <c r="J4" s="208"/>
      <c r="K4" s="199" t="s">
        <v>105</v>
      </c>
      <c r="L4" s="231" t="s">
        <v>77</v>
      </c>
      <c r="M4" s="232" t="s">
        <v>78</v>
      </c>
      <c r="N4" s="231" t="s">
        <v>79</v>
      </c>
      <c r="O4" s="232" t="s">
        <v>80</v>
      </c>
      <c r="P4" s="231" t="s">
        <v>81</v>
      </c>
      <c r="Q4" s="232" t="s">
        <v>82</v>
      </c>
      <c r="R4" s="231" t="s">
        <v>83</v>
      </c>
      <c r="S4" s="232" t="s">
        <v>84</v>
      </c>
      <c r="T4" s="233" t="s">
        <v>85</v>
      </c>
      <c r="U4" s="234" t="s">
        <v>86</v>
      </c>
      <c r="V4" s="233" t="s">
        <v>76</v>
      </c>
      <c r="W4" s="234" t="s">
        <v>105</v>
      </c>
      <c r="X4" s="237" t="s">
        <v>77</v>
      </c>
      <c r="Y4" s="238" t="s">
        <v>78</v>
      </c>
      <c r="Z4" s="237" t="s">
        <v>79</v>
      </c>
    </row>
    <row r="5" spans="1:34" ht="14.45" hidden="1" x14ac:dyDescent="0.3">
      <c r="A5" s="188" t="s">
        <v>140</v>
      </c>
      <c r="B5" s="228">
        <v>84200</v>
      </c>
      <c r="C5" s="243" t="s">
        <v>116</v>
      </c>
      <c r="D5" s="243" t="s">
        <v>116</v>
      </c>
      <c r="E5" s="243" t="s">
        <v>116</v>
      </c>
      <c r="F5" s="248" t="s">
        <v>87</v>
      </c>
      <c r="G5" s="249"/>
      <c r="H5" s="250" t="s">
        <v>118</v>
      </c>
      <c r="I5" s="251">
        <f>'Custo '!H6</f>
        <v>1805427.08</v>
      </c>
      <c r="J5" s="201"/>
      <c r="K5" s="252" t="e">
        <f>#REF!</f>
        <v>#REF!</v>
      </c>
      <c r="L5" s="253" t="e">
        <f>#REF!</f>
        <v>#REF!</v>
      </c>
      <c r="M5" s="253" t="e">
        <f>#REF!</f>
        <v>#REF!</v>
      </c>
      <c r="N5" s="253" t="e">
        <f>#REF!</f>
        <v>#REF!</v>
      </c>
      <c r="O5" s="253" t="e">
        <f>#REF!</f>
        <v>#REF!</v>
      </c>
      <c r="P5" s="253" t="e">
        <f>#REF!</f>
        <v>#REF!</v>
      </c>
      <c r="Q5" s="253" t="e">
        <f>#REF!</f>
        <v>#REF!</v>
      </c>
      <c r="R5" s="253" t="e">
        <f>#REF!</f>
        <v>#REF!</v>
      </c>
      <c r="S5" s="253" t="e">
        <f>#REF!</f>
        <v>#REF!</v>
      </c>
      <c r="T5" s="253" t="e">
        <f>#REF!</f>
        <v>#REF!</v>
      </c>
      <c r="U5" s="253" t="e">
        <f>#REF!</f>
        <v>#REF!</v>
      </c>
      <c r="V5" s="253" t="e">
        <f>#REF!</f>
        <v>#REF!</v>
      </c>
      <c r="W5" s="253" t="e">
        <f>#REF!</f>
        <v>#REF!</v>
      </c>
      <c r="X5" s="254" t="e">
        <f>#REF!</f>
        <v>#REF!</v>
      </c>
      <c r="Y5" s="254" t="e">
        <f>#REF!</f>
        <v>#REF!</v>
      </c>
      <c r="Z5" s="254" t="e">
        <f>#REF!</f>
        <v>#REF!</v>
      </c>
      <c r="AH5" s="72"/>
    </row>
    <row r="6" spans="1:34" s="72" customFormat="1" ht="6" customHeight="1" x14ac:dyDescent="0.3">
      <c r="A6" s="188"/>
      <c r="B6" s="229"/>
      <c r="C6" s="244"/>
      <c r="D6" s="244"/>
      <c r="E6" s="244"/>
      <c r="F6" s="256"/>
      <c r="G6" s="201"/>
      <c r="H6" s="257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</row>
    <row r="7" spans="1:34" s="72" customFormat="1" ht="20.45" customHeight="1" x14ac:dyDescent="0.25">
      <c r="A7" s="182" t="s">
        <v>140</v>
      </c>
      <c r="B7" s="228">
        <v>84137</v>
      </c>
      <c r="C7" s="370" t="s">
        <v>149</v>
      </c>
      <c r="D7" s="242" t="s">
        <v>133</v>
      </c>
      <c r="E7" s="259" t="s">
        <v>3</v>
      </c>
      <c r="F7" s="258"/>
      <c r="G7" s="189"/>
      <c r="H7" s="255"/>
      <c r="I7" s="202" t="e">
        <f>SUM(K7:Z7)</f>
        <v>#REF!</v>
      </c>
      <c r="J7" s="201"/>
      <c r="K7" s="189" t="e">
        <f>SUM(#REF!)</f>
        <v>#REF!</v>
      </c>
      <c r="L7" s="230"/>
      <c r="M7" s="230">
        <v>74000</v>
      </c>
      <c r="N7" s="230"/>
      <c r="O7" s="230"/>
      <c r="P7" s="230">
        <v>74000</v>
      </c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6"/>
    </row>
    <row r="8" spans="1:34" x14ac:dyDescent="0.25">
      <c r="A8" s="182" t="s">
        <v>140</v>
      </c>
      <c r="B8" s="228">
        <v>84137</v>
      </c>
      <c r="C8" s="371"/>
      <c r="D8" s="261" t="s">
        <v>133</v>
      </c>
      <c r="E8" s="259" t="s">
        <v>117</v>
      </c>
      <c r="F8" s="245"/>
      <c r="G8" s="177"/>
      <c r="H8" s="180"/>
      <c r="I8" s="203">
        <f>'Custo '!H8</f>
        <v>270000</v>
      </c>
      <c r="J8" s="201"/>
      <c r="K8" s="177" t="e">
        <f>#REF!</f>
        <v>#REF!</v>
      </c>
      <c r="L8" s="230">
        <v>18000</v>
      </c>
      <c r="M8" s="230">
        <v>18000</v>
      </c>
      <c r="N8" s="230">
        <v>18000</v>
      </c>
      <c r="O8" s="230">
        <v>18000</v>
      </c>
      <c r="P8" s="230">
        <v>18000</v>
      </c>
      <c r="Q8" s="230">
        <v>18000</v>
      </c>
      <c r="R8" s="230">
        <v>18000</v>
      </c>
      <c r="S8" s="230">
        <v>18000</v>
      </c>
      <c r="T8" s="230">
        <v>18000</v>
      </c>
      <c r="U8" s="230">
        <v>18000</v>
      </c>
      <c r="V8" s="230">
        <v>18000</v>
      </c>
      <c r="W8" s="230">
        <f>18000*4</f>
        <v>72000</v>
      </c>
      <c r="X8" s="230"/>
      <c r="Y8" s="230"/>
      <c r="Z8" s="230"/>
      <c r="AA8" s="236"/>
      <c r="AB8" s="72"/>
      <c r="AC8" s="72"/>
      <c r="AD8" s="72"/>
      <c r="AE8" s="72"/>
      <c r="AF8" s="72"/>
      <c r="AG8" s="72"/>
      <c r="AH8" s="72"/>
    </row>
    <row r="9" spans="1:34" s="72" customFormat="1" x14ac:dyDescent="0.25">
      <c r="A9" s="182"/>
      <c r="B9" s="228">
        <v>84200</v>
      </c>
      <c r="C9" s="372"/>
      <c r="D9" s="242" t="s">
        <v>116</v>
      </c>
      <c r="E9" s="260" t="s">
        <v>116</v>
      </c>
      <c r="F9" s="245"/>
      <c r="G9" s="177"/>
      <c r="H9" s="191" t="s">
        <v>118</v>
      </c>
      <c r="I9" s="203">
        <f>'Custo '!H6</f>
        <v>1805427.08</v>
      </c>
      <c r="J9" s="201"/>
      <c r="K9" s="177"/>
      <c r="L9" s="239"/>
      <c r="M9" s="239"/>
      <c r="N9" s="239"/>
      <c r="O9" s="239"/>
      <c r="P9" s="239">
        <v>1805427.08</v>
      </c>
      <c r="Q9" s="239"/>
      <c r="R9" s="239"/>
      <c r="S9" s="239"/>
      <c r="T9" s="239"/>
      <c r="U9" s="239"/>
      <c r="V9" s="239"/>
      <c r="W9" s="239"/>
      <c r="X9" s="239"/>
      <c r="Y9" s="239"/>
      <c r="Z9" s="230"/>
      <c r="AA9" s="236"/>
    </row>
    <row r="10" spans="1:34" s="72" customFormat="1" ht="14.45" x14ac:dyDescent="0.3">
      <c r="A10" s="182"/>
      <c r="B10" s="244"/>
      <c r="C10" s="244"/>
      <c r="D10" s="243"/>
      <c r="E10" s="263" t="s">
        <v>54</v>
      </c>
      <c r="F10" s="245"/>
      <c r="G10" s="177"/>
      <c r="H10" s="191"/>
      <c r="I10" s="202"/>
      <c r="J10" s="201"/>
      <c r="K10" s="177"/>
      <c r="L10" s="246">
        <f>SUM(L7:L9)</f>
        <v>18000</v>
      </c>
      <c r="M10" s="246">
        <f t="shared" ref="M10:Z10" si="1">SUM(M7:M9)</f>
        <v>92000</v>
      </c>
      <c r="N10" s="246">
        <f t="shared" si="1"/>
        <v>18000</v>
      </c>
      <c r="O10" s="246">
        <f t="shared" si="1"/>
        <v>18000</v>
      </c>
      <c r="P10" s="246">
        <f>SUM(P7:P9)</f>
        <v>1897427.08</v>
      </c>
      <c r="Q10" s="246">
        <f t="shared" si="1"/>
        <v>18000</v>
      </c>
      <c r="R10" s="246">
        <f t="shared" si="1"/>
        <v>18000</v>
      </c>
      <c r="S10" s="246">
        <f t="shared" si="1"/>
        <v>18000</v>
      </c>
      <c r="T10" s="246">
        <f t="shared" si="1"/>
        <v>18000</v>
      </c>
      <c r="U10" s="246">
        <f t="shared" si="1"/>
        <v>18000</v>
      </c>
      <c r="V10" s="246">
        <f t="shared" si="1"/>
        <v>18000</v>
      </c>
      <c r="W10" s="246">
        <f t="shared" si="1"/>
        <v>72000</v>
      </c>
      <c r="X10" s="246">
        <f t="shared" si="1"/>
        <v>0</v>
      </c>
      <c r="Y10" s="246">
        <f t="shared" si="1"/>
        <v>0</v>
      </c>
      <c r="Z10" s="247">
        <f t="shared" si="1"/>
        <v>0</v>
      </c>
      <c r="AA10" s="236">
        <f>SUM(L10:Z10)</f>
        <v>2223427.08</v>
      </c>
    </row>
    <row r="11" spans="1:34" s="72" customFormat="1" ht="4.9000000000000004" customHeight="1" x14ac:dyDescent="0.3">
      <c r="A11" s="182"/>
      <c r="B11" s="244"/>
      <c r="C11" s="244"/>
      <c r="D11" s="244"/>
      <c r="E11" s="244"/>
      <c r="F11" s="245"/>
      <c r="G11" s="177"/>
      <c r="H11" s="191"/>
      <c r="I11" s="202"/>
      <c r="J11" s="201"/>
      <c r="K11" s="177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</row>
    <row r="12" spans="1:34" s="72" customFormat="1" ht="20.45" x14ac:dyDescent="0.3">
      <c r="A12" s="182" t="s">
        <v>140</v>
      </c>
      <c r="B12" s="228">
        <v>83882</v>
      </c>
      <c r="C12" s="262" t="s">
        <v>150</v>
      </c>
      <c r="D12" s="242" t="s">
        <v>133</v>
      </c>
      <c r="E12" s="259" t="s">
        <v>3</v>
      </c>
      <c r="F12" s="181"/>
      <c r="G12" s="177"/>
      <c r="H12" s="180"/>
      <c r="I12" s="221">
        <f>SUM(K12:Z12)</f>
        <v>970797.15249999997</v>
      </c>
      <c r="J12" s="201"/>
      <c r="K12" s="177"/>
      <c r="L12" s="246"/>
      <c r="M12" s="246">
        <v>291239.14574999997</v>
      </c>
      <c r="N12" s="246"/>
      <c r="O12" s="246"/>
      <c r="P12" s="246"/>
      <c r="Q12" s="246"/>
      <c r="R12" s="246"/>
      <c r="S12" s="246">
        <v>291239.14574999997</v>
      </c>
      <c r="T12" s="246">
        <v>388318.86100000003</v>
      </c>
      <c r="U12" s="246"/>
      <c r="V12" s="246"/>
      <c r="W12" s="246"/>
      <c r="X12" s="246"/>
      <c r="Y12" s="246"/>
      <c r="Z12" s="247"/>
      <c r="AA12" s="236">
        <f>SUM(L12:Z12)</f>
        <v>970797.15249999997</v>
      </c>
    </row>
    <row r="13" spans="1:34" s="72" customFormat="1" ht="5.45" customHeight="1" x14ac:dyDescent="0.3">
      <c r="A13" s="182"/>
      <c r="B13" s="244"/>
      <c r="C13" s="244"/>
      <c r="D13" s="244"/>
      <c r="E13" s="244"/>
      <c r="F13" s="245"/>
      <c r="G13" s="177"/>
      <c r="H13" s="191"/>
      <c r="I13" s="202"/>
      <c r="J13" s="201"/>
      <c r="K13" s="177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</row>
    <row r="14" spans="1:34" s="72" customFormat="1" ht="22.5" x14ac:dyDescent="0.25">
      <c r="A14" s="182" t="s">
        <v>140</v>
      </c>
      <c r="B14" s="228">
        <v>83909</v>
      </c>
      <c r="C14" s="241" t="s">
        <v>151</v>
      </c>
      <c r="D14" s="182" t="s">
        <v>133</v>
      </c>
      <c r="E14" s="259" t="s">
        <v>3</v>
      </c>
      <c r="F14" s="181"/>
      <c r="G14" s="177"/>
      <c r="H14" s="180"/>
      <c r="I14" s="221">
        <f>SUM(K14:Z14)</f>
        <v>457383.3075</v>
      </c>
      <c r="J14" s="201"/>
      <c r="K14" s="177"/>
      <c r="L14" s="246">
        <v>137214.99224999998</v>
      </c>
      <c r="M14" s="246"/>
      <c r="N14" s="246"/>
      <c r="O14" s="246"/>
      <c r="P14" s="246">
        <v>137214.99224999998</v>
      </c>
      <c r="Q14" s="246">
        <v>182953.323</v>
      </c>
      <c r="R14" s="246"/>
      <c r="S14" s="246"/>
      <c r="T14" s="246"/>
      <c r="U14" s="246"/>
      <c r="V14" s="246"/>
      <c r="W14" s="246"/>
      <c r="X14" s="246"/>
      <c r="Y14" s="246"/>
      <c r="Z14" s="246"/>
      <c r="AA14" s="236">
        <f>SUM(L14:Z14)</f>
        <v>457383.3075</v>
      </c>
    </row>
    <row r="15" spans="1:34" s="72" customFormat="1" ht="5.45" customHeight="1" x14ac:dyDescent="0.3">
      <c r="A15" s="182"/>
      <c r="B15" s="244"/>
      <c r="C15" s="244"/>
      <c r="D15" s="244"/>
      <c r="E15" s="244"/>
      <c r="F15" s="245"/>
      <c r="G15" s="177"/>
      <c r="H15" s="191"/>
      <c r="I15" s="202"/>
      <c r="J15" s="201"/>
      <c r="K15" s="177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</row>
    <row r="16" spans="1:34" s="72" customFormat="1" x14ac:dyDescent="0.25">
      <c r="A16" s="182" t="s">
        <v>140</v>
      </c>
      <c r="B16" s="228">
        <v>83907</v>
      </c>
      <c r="C16" s="182" t="s">
        <v>152</v>
      </c>
      <c r="D16" s="182" t="s">
        <v>133</v>
      </c>
      <c r="E16" s="259" t="s">
        <v>3</v>
      </c>
      <c r="F16" s="181"/>
      <c r="G16" s="177"/>
      <c r="H16" s="180"/>
      <c r="I16" s="221" t="e">
        <f>SUM(K16:Z16)</f>
        <v>#REF!</v>
      </c>
      <c r="J16" s="201"/>
      <c r="K16" s="177" t="e">
        <f>SUM(#REF!)</f>
        <v>#REF!</v>
      </c>
      <c r="L16" s="246"/>
      <c r="M16" s="246"/>
      <c r="N16" s="246">
        <v>111547.083</v>
      </c>
      <c r="O16" s="246"/>
      <c r="P16" s="246"/>
      <c r="Q16" s="246">
        <v>111547.083</v>
      </c>
      <c r="R16" s="246">
        <v>148729.44399999999</v>
      </c>
      <c r="S16" s="246"/>
      <c r="T16" s="246"/>
      <c r="U16" s="246"/>
      <c r="V16" s="246"/>
      <c r="W16" s="246"/>
      <c r="X16" s="246"/>
      <c r="Y16" s="246"/>
      <c r="Z16" s="246"/>
      <c r="AA16" s="236">
        <f>SUM(L16:Z16)</f>
        <v>371823.61</v>
      </c>
    </row>
    <row r="17" spans="1:32" s="72" customFormat="1" ht="4.9000000000000004" customHeight="1" x14ac:dyDescent="0.3">
      <c r="A17" s="182"/>
      <c r="B17" s="244"/>
      <c r="C17" s="244"/>
      <c r="D17" s="244"/>
      <c r="E17" s="244"/>
      <c r="F17" s="245"/>
      <c r="G17" s="177"/>
      <c r="H17" s="191"/>
      <c r="I17" s="202"/>
      <c r="J17" s="201"/>
      <c r="K17" s="177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</row>
    <row r="18" spans="1:32" s="72" customFormat="1" ht="14.45" hidden="1" x14ac:dyDescent="0.3">
      <c r="A18" s="182"/>
      <c r="B18" s="182"/>
      <c r="C18" s="182"/>
      <c r="D18" s="182"/>
      <c r="E18" s="182"/>
      <c r="F18" s="181"/>
      <c r="G18" s="177"/>
      <c r="H18" s="180"/>
      <c r="I18" s="221">
        <f>SUM(I26:I35)</f>
        <v>2724675.8</v>
      </c>
      <c r="J18" s="201"/>
      <c r="K18" s="220">
        <f>SUM(K26:K35)</f>
        <v>0</v>
      </c>
      <c r="L18" s="220"/>
      <c r="M18" s="220">
        <f t="shared" ref="M18:T18" si="2">SUM(M26:M35)</f>
        <v>187458.33333333334</v>
      </c>
      <c r="N18" s="220">
        <f t="shared" si="2"/>
        <v>187458.33333333334</v>
      </c>
      <c r="O18" s="220">
        <f t="shared" si="2"/>
        <v>261109.8</v>
      </c>
      <c r="P18" s="220">
        <f t="shared" si="2"/>
        <v>74625</v>
      </c>
      <c r="Q18" s="220">
        <f t="shared" si="2"/>
        <v>74625</v>
      </c>
      <c r="R18" s="220">
        <f t="shared" si="2"/>
        <v>187458.33333333334</v>
      </c>
      <c r="S18" s="220">
        <f t="shared" si="2"/>
        <v>187458.33333333334</v>
      </c>
      <c r="T18" s="220">
        <f t="shared" si="2"/>
        <v>187458.33333333334</v>
      </c>
      <c r="U18" s="220"/>
      <c r="V18" s="220">
        <f>SUM(V26:V35)</f>
        <v>841419.59999999986</v>
      </c>
      <c r="W18" s="220">
        <f>SUM(W26:W35)</f>
        <v>535604.7333333334</v>
      </c>
      <c r="X18" s="220"/>
      <c r="Y18" s="220"/>
      <c r="Z18" s="230"/>
      <c r="AA18" s="220"/>
    </row>
    <row r="19" spans="1:32" s="72" customFormat="1" ht="14.45" hidden="1" x14ac:dyDescent="0.3">
      <c r="A19" s="182"/>
      <c r="B19" s="182"/>
      <c r="C19" s="182"/>
      <c r="D19" s="182"/>
      <c r="E19" s="182"/>
      <c r="F19" s="181"/>
      <c r="G19" s="177"/>
      <c r="H19" s="180"/>
      <c r="I19" s="221"/>
      <c r="J19" s="201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30"/>
      <c r="AA19" s="220"/>
    </row>
    <row r="20" spans="1:32" s="72" customFormat="1" x14ac:dyDescent="0.25">
      <c r="A20" s="182"/>
      <c r="B20" s="228">
        <v>84710</v>
      </c>
      <c r="C20" s="361" t="s">
        <v>153</v>
      </c>
      <c r="D20" s="182"/>
      <c r="E20" s="259" t="s">
        <v>3</v>
      </c>
      <c r="F20" s="181"/>
      <c r="G20" s="177"/>
      <c r="H20" s="180"/>
      <c r="I20" s="221"/>
      <c r="J20" s="201"/>
      <c r="K20" s="220"/>
      <c r="L20" s="230"/>
      <c r="M20" s="230"/>
      <c r="N20" s="230"/>
      <c r="O20" s="230">
        <v>261109.8</v>
      </c>
      <c r="P20" s="230"/>
      <c r="Q20" s="230"/>
      <c r="R20" s="230"/>
      <c r="S20" s="230"/>
      <c r="T20" s="230"/>
      <c r="U20" s="230">
        <v>261109.8</v>
      </c>
      <c r="V20" s="230"/>
      <c r="W20" s="230">
        <v>348146.4</v>
      </c>
      <c r="X20" s="230"/>
      <c r="Y20" s="230"/>
      <c r="Z20" s="230"/>
      <c r="AA20" s="236"/>
    </row>
    <row r="21" spans="1:32" s="72" customFormat="1" x14ac:dyDescent="0.25">
      <c r="A21" s="182"/>
      <c r="B21" s="228">
        <v>84710</v>
      </c>
      <c r="C21" s="373"/>
      <c r="D21" s="182"/>
      <c r="E21" s="259" t="s">
        <v>134</v>
      </c>
      <c r="F21" s="181"/>
      <c r="G21" s="177"/>
      <c r="H21" s="180"/>
      <c r="I21" s="221"/>
      <c r="J21" s="201"/>
      <c r="K21" s="220"/>
      <c r="L21" s="230"/>
      <c r="M21" s="230">
        <v>131291.66666666669</v>
      </c>
      <c r="N21" s="230"/>
      <c r="O21" s="230">
        <v>131291.66666666669</v>
      </c>
      <c r="P21" s="230">
        <v>74625</v>
      </c>
      <c r="Q21" s="230">
        <v>74625</v>
      </c>
      <c r="R21" s="230">
        <v>131291.66666666669</v>
      </c>
      <c r="S21" s="230">
        <v>131291.66666666669</v>
      </c>
      <c r="T21" s="230">
        <v>131291.66666666669</v>
      </c>
      <c r="U21" s="230">
        <v>131291.66666666669</v>
      </c>
      <c r="V21" s="230"/>
      <c r="W21" s="230"/>
      <c r="X21" s="230"/>
      <c r="Y21" s="230"/>
      <c r="Z21" s="230"/>
      <c r="AA21" s="236"/>
    </row>
    <row r="22" spans="1:32" s="72" customFormat="1" x14ac:dyDescent="0.25">
      <c r="A22" s="182"/>
      <c r="B22" s="228">
        <v>84710</v>
      </c>
      <c r="C22" s="373"/>
      <c r="D22" s="182"/>
      <c r="E22" s="259" t="s">
        <v>16</v>
      </c>
      <c r="F22" s="181"/>
      <c r="G22" s="177"/>
      <c r="H22" s="180"/>
      <c r="I22" s="221"/>
      <c r="J22" s="201"/>
      <c r="K22" s="220"/>
      <c r="L22" s="230"/>
      <c r="M22" s="230">
        <v>56166.666666666664</v>
      </c>
      <c r="N22" s="230"/>
      <c r="O22" s="230">
        <v>56166.666666666664</v>
      </c>
      <c r="P22" s="230">
        <v>56166.666666666664</v>
      </c>
      <c r="Q22" s="230">
        <v>56166.666666666664</v>
      </c>
      <c r="R22" s="230">
        <v>56166.666666666664</v>
      </c>
      <c r="S22" s="230">
        <v>56166.666666666664</v>
      </c>
      <c r="T22" s="230"/>
      <c r="U22" s="230"/>
      <c r="V22" s="230"/>
      <c r="W22" s="230"/>
      <c r="X22" s="230"/>
      <c r="Y22" s="230"/>
      <c r="Z22" s="230"/>
      <c r="AA22" s="236"/>
    </row>
    <row r="23" spans="1:32" s="72" customFormat="1" x14ac:dyDescent="0.25">
      <c r="A23" s="182"/>
      <c r="B23" s="228">
        <v>84710</v>
      </c>
      <c r="C23" s="362"/>
      <c r="D23" s="182"/>
      <c r="E23" s="259" t="s">
        <v>147</v>
      </c>
      <c r="F23" s="181"/>
      <c r="G23" s="177"/>
      <c r="H23" s="180"/>
      <c r="I23" s="221"/>
      <c r="J23" s="201"/>
      <c r="K23" s="22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>
        <f>'Custo '!H26</f>
        <v>580309.79999999993</v>
      </c>
      <c r="W23" s="230"/>
      <c r="X23" s="230"/>
      <c r="Y23" s="230"/>
      <c r="Z23" s="230"/>
      <c r="AA23" s="236"/>
    </row>
    <row r="24" spans="1:32" s="72" customFormat="1" ht="14.45" x14ac:dyDescent="0.3">
      <c r="A24" s="182"/>
      <c r="B24" s="244"/>
      <c r="C24" s="244"/>
      <c r="D24" s="182"/>
      <c r="E24" s="263" t="s">
        <v>54</v>
      </c>
      <c r="F24" s="181"/>
      <c r="G24" s="177"/>
      <c r="H24" s="180"/>
      <c r="I24" s="221"/>
      <c r="J24" s="201"/>
      <c r="K24" s="220"/>
      <c r="L24" s="246"/>
      <c r="M24" s="246">
        <f t="shared" ref="M24:W24" si="3">SUM(M20:M23)</f>
        <v>187458.33333333334</v>
      </c>
      <c r="N24" s="246"/>
      <c r="O24" s="246">
        <f>SUM(O20:O23)</f>
        <v>448568.13333333336</v>
      </c>
      <c r="P24" s="246">
        <f t="shared" si="3"/>
        <v>130791.66666666666</v>
      </c>
      <c r="Q24" s="246">
        <f t="shared" si="3"/>
        <v>130791.66666666666</v>
      </c>
      <c r="R24" s="246">
        <f t="shared" si="3"/>
        <v>187458.33333333334</v>
      </c>
      <c r="S24" s="246">
        <f t="shared" si="3"/>
        <v>187458.33333333334</v>
      </c>
      <c r="T24" s="246">
        <f>SUM(T20:T23)</f>
        <v>131291.66666666669</v>
      </c>
      <c r="U24" s="246">
        <f>SUM(U20:U23)</f>
        <v>392401.46666666667</v>
      </c>
      <c r="V24" s="246">
        <f t="shared" si="3"/>
        <v>580309.79999999993</v>
      </c>
      <c r="W24" s="246">
        <f t="shared" si="3"/>
        <v>348146.4</v>
      </c>
      <c r="X24" s="246"/>
      <c r="Y24" s="246"/>
      <c r="Z24" s="246"/>
      <c r="AA24" s="236">
        <f>SUM(L24:Z24)</f>
        <v>2724675.8</v>
      </c>
    </row>
    <row r="25" spans="1:32" s="72" customFormat="1" ht="4.9000000000000004" customHeight="1" x14ac:dyDescent="0.3">
      <c r="A25" s="182"/>
      <c r="B25" s="244"/>
      <c r="C25" s="244"/>
      <c r="D25" s="244"/>
      <c r="E25" s="244"/>
      <c r="F25" s="245"/>
      <c r="G25" s="177"/>
      <c r="H25" s="191"/>
      <c r="I25" s="202"/>
      <c r="J25" s="201"/>
      <c r="K25" s="177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</row>
    <row r="26" spans="1:32" ht="14.45" hidden="1" customHeight="1" x14ac:dyDescent="0.3">
      <c r="A26" s="187" t="s">
        <v>139</v>
      </c>
      <c r="B26" s="228">
        <v>84710</v>
      </c>
      <c r="C26" s="182" t="s">
        <v>131</v>
      </c>
      <c r="D26" s="182" t="s">
        <v>133</v>
      </c>
      <c r="E26" s="182" t="s">
        <v>3</v>
      </c>
      <c r="F26" s="181" t="s">
        <v>123</v>
      </c>
      <c r="G26" s="177">
        <f>'Custo '!$H$21+'Custo '!$H$23</f>
        <v>870366</v>
      </c>
      <c r="H26" s="180">
        <v>41821</v>
      </c>
      <c r="I26" s="203">
        <f>G26*0.3</f>
        <v>261109.8</v>
      </c>
      <c r="J26" s="201"/>
      <c r="K26" s="177"/>
      <c r="L26" s="177"/>
      <c r="M26" s="177"/>
      <c r="N26" s="177"/>
      <c r="O26" s="177">
        <f>I26</f>
        <v>261109.8</v>
      </c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230"/>
      <c r="AC26" s="72"/>
      <c r="AD26" s="72"/>
      <c r="AE26" s="72"/>
      <c r="AF26" s="72"/>
    </row>
    <row r="27" spans="1:32" ht="14.45" hidden="1" customHeight="1" x14ac:dyDescent="0.3">
      <c r="A27" s="187" t="s">
        <v>139</v>
      </c>
      <c r="B27" s="182">
        <v>84710</v>
      </c>
      <c r="C27" s="182" t="s">
        <v>131</v>
      </c>
      <c r="D27" s="182" t="s">
        <v>133</v>
      </c>
      <c r="E27" s="182" t="s">
        <v>3</v>
      </c>
      <c r="F27" s="181" t="s">
        <v>125</v>
      </c>
      <c r="G27" s="177">
        <f>'Custo '!$H$21+'Custo '!$H$23</f>
        <v>870366</v>
      </c>
      <c r="H27" s="180">
        <v>42064</v>
      </c>
      <c r="I27" s="203">
        <f>G27*0.3</f>
        <v>261109.8</v>
      </c>
      <c r="J27" s="201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>
        <f>I27</f>
        <v>261109.8</v>
      </c>
      <c r="W27" s="177"/>
      <c r="X27" s="177"/>
      <c r="Y27" s="177"/>
      <c r="Z27" s="230"/>
      <c r="AC27" s="72" t="s">
        <v>120</v>
      </c>
      <c r="AD27" s="72" t="s">
        <v>145</v>
      </c>
      <c r="AE27" s="72">
        <v>2014</v>
      </c>
      <c r="AF27" s="72">
        <v>2015</v>
      </c>
    </row>
    <row r="28" spans="1:32" ht="14.45" hidden="1" customHeight="1" x14ac:dyDescent="0.3">
      <c r="A28" s="187" t="s">
        <v>139</v>
      </c>
      <c r="B28" s="182">
        <v>84710</v>
      </c>
      <c r="C28" s="182" t="s">
        <v>131</v>
      </c>
      <c r="D28" s="182" t="s">
        <v>133</v>
      </c>
      <c r="E28" s="182" t="s">
        <v>3</v>
      </c>
      <c r="F28" s="181" t="s">
        <v>126</v>
      </c>
      <c r="G28" s="177">
        <f>'Custo '!$H$21+'Custo '!$H$23</f>
        <v>870366</v>
      </c>
      <c r="H28" s="180">
        <v>42036</v>
      </c>
      <c r="I28" s="203">
        <f>G28*0.4</f>
        <v>348146.4</v>
      </c>
      <c r="J28" s="201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>
        <f>I28</f>
        <v>348146.4</v>
      </c>
      <c r="X28" s="177"/>
      <c r="Y28" s="177"/>
      <c r="Z28" s="230"/>
      <c r="AC28" s="72">
        <v>84710</v>
      </c>
      <c r="AD28" s="72" t="s">
        <v>131</v>
      </c>
      <c r="AE28" s="72">
        <f>SUM(K18:S18)</f>
        <v>1160193.1333333333</v>
      </c>
      <c r="AF28" s="72">
        <f>SUM(T18:Z18)</f>
        <v>1564482.6666666665</v>
      </c>
    </row>
    <row r="29" spans="1:32" ht="14.45" hidden="1" customHeight="1" x14ac:dyDescent="0.3">
      <c r="A29" s="187" t="s">
        <v>139</v>
      </c>
      <c r="B29" s="182">
        <v>84710</v>
      </c>
      <c r="C29" s="182" t="s">
        <v>131</v>
      </c>
      <c r="D29" s="182" t="s">
        <v>98</v>
      </c>
      <c r="E29" s="182" t="s">
        <v>134</v>
      </c>
      <c r="F29" s="181" t="s">
        <v>135</v>
      </c>
      <c r="G29" s="177">
        <f>'Custo '!H82</f>
        <v>297000</v>
      </c>
      <c r="H29" s="184" t="s">
        <v>141</v>
      </c>
      <c r="I29" s="203">
        <f>'Custo '!H82</f>
        <v>297000</v>
      </c>
      <c r="J29" s="201"/>
      <c r="K29" s="177"/>
      <c r="L29" s="177"/>
      <c r="M29" s="177">
        <f>$I$29/8</f>
        <v>37125</v>
      </c>
      <c r="N29" s="177">
        <f>$I$29/8</f>
        <v>37125</v>
      </c>
      <c r="O29" s="177"/>
      <c r="P29" s="177">
        <f>$I$29/8</f>
        <v>37125</v>
      </c>
      <c r="Q29" s="177">
        <f>$I$29/8</f>
        <v>37125</v>
      </c>
      <c r="R29" s="177">
        <f>$I$29/8</f>
        <v>37125</v>
      </c>
      <c r="S29" s="177">
        <f>$I$29/8</f>
        <v>37125</v>
      </c>
      <c r="T29" s="177">
        <f>$I$29/8</f>
        <v>37125</v>
      </c>
      <c r="U29" s="177"/>
      <c r="V29" s="177"/>
      <c r="W29" s="177">
        <f>$I$29/8</f>
        <v>37125</v>
      </c>
      <c r="X29" s="177"/>
      <c r="Y29" s="177"/>
      <c r="Z29" s="230"/>
      <c r="AC29" s="72"/>
      <c r="AD29" s="72"/>
      <c r="AE29" s="72"/>
      <c r="AF29" s="72"/>
    </row>
    <row r="30" spans="1:32" ht="14.45" hidden="1" customHeight="1" x14ac:dyDescent="0.3">
      <c r="A30" s="187" t="s">
        <v>139</v>
      </c>
      <c r="B30" s="182">
        <v>84710</v>
      </c>
      <c r="C30" s="182" t="s">
        <v>131</v>
      </c>
      <c r="D30" s="182" t="s">
        <v>101</v>
      </c>
      <c r="E30" s="182" t="s">
        <v>134</v>
      </c>
      <c r="F30" s="181" t="s">
        <v>136</v>
      </c>
      <c r="G30" s="177">
        <f>'Custo '!H80</f>
        <v>190000</v>
      </c>
      <c r="H30" s="184" t="s">
        <v>141</v>
      </c>
      <c r="I30" s="203">
        <f>'Custo '!H80</f>
        <v>190000</v>
      </c>
      <c r="J30" s="201"/>
      <c r="K30" s="177"/>
      <c r="L30" s="177"/>
      <c r="M30" s="177">
        <f>$I$30/6</f>
        <v>31666.666666666668</v>
      </c>
      <c r="N30" s="177">
        <f>$I$30/6</f>
        <v>31666.666666666668</v>
      </c>
      <c r="O30" s="177"/>
      <c r="P30" s="177"/>
      <c r="Q30" s="177"/>
      <c r="R30" s="177">
        <f>$I$30/6</f>
        <v>31666.666666666668</v>
      </c>
      <c r="S30" s="177">
        <f>$I$30/6</f>
        <v>31666.666666666668</v>
      </c>
      <c r="T30" s="177">
        <f>$I$30/6</f>
        <v>31666.666666666668</v>
      </c>
      <c r="U30" s="177"/>
      <c r="V30" s="177"/>
      <c r="W30" s="177">
        <f>$I$30/6</f>
        <v>31666.666666666668</v>
      </c>
      <c r="X30" s="177"/>
      <c r="Y30" s="177"/>
      <c r="Z30" s="230"/>
      <c r="AC30" s="72"/>
      <c r="AD30" s="72"/>
      <c r="AE30" s="72"/>
      <c r="AF30" s="72"/>
    </row>
    <row r="31" spans="1:32" ht="14.45" hidden="1" customHeight="1" x14ac:dyDescent="0.3">
      <c r="A31" s="187" t="s">
        <v>139</v>
      </c>
      <c r="B31" s="182">
        <v>84710</v>
      </c>
      <c r="C31" s="182" t="s">
        <v>131</v>
      </c>
      <c r="D31" s="182" t="s">
        <v>99</v>
      </c>
      <c r="E31" s="182" t="s">
        <v>134</v>
      </c>
      <c r="F31" s="181" t="s">
        <v>136</v>
      </c>
      <c r="G31" s="177">
        <f>'Custo '!H83</f>
        <v>75000</v>
      </c>
      <c r="H31" s="184" t="s">
        <v>141</v>
      </c>
      <c r="I31" s="203">
        <f>'Custo '!H83</f>
        <v>75000</v>
      </c>
      <c r="J31" s="201"/>
      <c r="K31" s="177"/>
      <c r="L31" s="177"/>
      <c r="M31" s="177">
        <f>$I$31/6</f>
        <v>12500</v>
      </c>
      <c r="N31" s="177">
        <f>$I$31/6</f>
        <v>12500</v>
      </c>
      <c r="O31" s="177"/>
      <c r="P31" s="177"/>
      <c r="Q31" s="177"/>
      <c r="R31" s="177">
        <f>$I$31/6</f>
        <v>12500</v>
      </c>
      <c r="S31" s="177">
        <f>$I$31/6</f>
        <v>12500</v>
      </c>
      <c r="T31" s="177">
        <f>$I$31/6</f>
        <v>12500</v>
      </c>
      <c r="U31" s="177"/>
      <c r="V31" s="177"/>
      <c r="W31" s="177">
        <f>$I$31/6</f>
        <v>12500</v>
      </c>
      <c r="X31" s="177"/>
      <c r="Y31" s="177"/>
      <c r="Z31" s="230"/>
      <c r="AC31" s="72"/>
      <c r="AD31" s="72"/>
      <c r="AE31" s="72"/>
      <c r="AF31" s="72"/>
    </row>
    <row r="32" spans="1:32" ht="14.45" hidden="1" customHeight="1" x14ac:dyDescent="0.3">
      <c r="A32" s="187" t="s">
        <v>139</v>
      </c>
      <c r="B32" s="182">
        <v>84710</v>
      </c>
      <c r="C32" s="182" t="s">
        <v>131</v>
      </c>
      <c r="D32" s="182" t="s">
        <v>100</v>
      </c>
      <c r="E32" s="182" t="s">
        <v>134</v>
      </c>
      <c r="F32" s="181" t="s">
        <v>136</v>
      </c>
      <c r="G32" s="177">
        <f>'Custo '!H84</f>
        <v>75000</v>
      </c>
      <c r="H32" s="184" t="s">
        <v>141</v>
      </c>
      <c r="I32" s="203">
        <f>'Custo '!H84</f>
        <v>75000</v>
      </c>
      <c r="J32" s="201"/>
      <c r="K32" s="177"/>
      <c r="L32" s="177"/>
      <c r="M32" s="177">
        <f>$I$32/6</f>
        <v>12500</v>
      </c>
      <c r="N32" s="177">
        <f>$I$32/6</f>
        <v>12500</v>
      </c>
      <c r="O32" s="177"/>
      <c r="P32" s="177"/>
      <c r="Q32" s="177"/>
      <c r="R32" s="177">
        <f>$I$32/6</f>
        <v>12500</v>
      </c>
      <c r="S32" s="177">
        <f>$I$32/6</f>
        <v>12500</v>
      </c>
      <c r="T32" s="177">
        <f>$I$32/6</f>
        <v>12500</v>
      </c>
      <c r="U32" s="177"/>
      <c r="V32" s="177"/>
      <c r="W32" s="177">
        <f>$I$32/6</f>
        <v>12500</v>
      </c>
      <c r="X32" s="177"/>
      <c r="Y32" s="177"/>
      <c r="Z32" s="230"/>
      <c r="AC32" s="72"/>
      <c r="AD32" s="72"/>
      <c r="AE32" s="72">
        <v>2014</v>
      </c>
      <c r="AF32" s="72">
        <v>2015</v>
      </c>
    </row>
    <row r="33" spans="1:34" ht="14.45" hidden="1" customHeight="1" x14ac:dyDescent="0.3">
      <c r="A33" s="187" t="s">
        <v>139</v>
      </c>
      <c r="B33" s="182">
        <v>84710</v>
      </c>
      <c r="C33" s="182" t="s">
        <v>131</v>
      </c>
      <c r="D33" s="182" t="s">
        <v>102</v>
      </c>
      <c r="E33" s="182" t="s">
        <v>134</v>
      </c>
      <c r="F33" s="181" t="s">
        <v>135</v>
      </c>
      <c r="G33" s="177">
        <f>'Custo '!H78</f>
        <v>300000</v>
      </c>
      <c r="H33" s="184" t="s">
        <v>141</v>
      </c>
      <c r="I33" s="203">
        <f>'Custo '!H78</f>
        <v>300000</v>
      </c>
      <c r="J33" s="201"/>
      <c r="K33" s="177"/>
      <c r="L33" s="177"/>
      <c r="M33" s="177">
        <f>$I$33/8</f>
        <v>37500</v>
      </c>
      <c r="N33" s="177">
        <f>$I$33/8</f>
        <v>37500</v>
      </c>
      <c r="O33" s="177"/>
      <c r="P33" s="177">
        <f>$I$33/8</f>
        <v>37500</v>
      </c>
      <c r="Q33" s="177">
        <f>$I$33/8</f>
        <v>37500</v>
      </c>
      <c r="R33" s="177">
        <f>$I$33/8</f>
        <v>37500</v>
      </c>
      <c r="S33" s="177">
        <f>$I$33/8</f>
        <v>37500</v>
      </c>
      <c r="T33" s="177">
        <f>$I$33/8</f>
        <v>37500</v>
      </c>
      <c r="U33" s="177"/>
      <c r="V33" s="177"/>
      <c r="W33" s="177">
        <f>$I$33/8</f>
        <v>37500</v>
      </c>
      <c r="X33" s="177"/>
      <c r="Y33" s="177"/>
      <c r="Z33" s="230"/>
      <c r="AC33" s="72" t="s">
        <v>146</v>
      </c>
      <c r="AD33" s="72"/>
      <c r="AE33" s="72">
        <f>AE17+AE28</f>
        <v>1160193.1333333333</v>
      </c>
      <c r="AF33" s="72">
        <f>AF28+AF17</f>
        <v>1564482.6666666665</v>
      </c>
    </row>
    <row r="34" spans="1:34" ht="14.45" hidden="1" customHeight="1" x14ac:dyDescent="0.3">
      <c r="A34" s="187" t="s">
        <v>139</v>
      </c>
      <c r="B34" s="182">
        <v>84710</v>
      </c>
      <c r="C34" s="182" t="s">
        <v>131</v>
      </c>
      <c r="D34" s="182" t="s">
        <v>103</v>
      </c>
      <c r="E34" s="182" t="s">
        <v>16</v>
      </c>
      <c r="F34" s="181" t="s">
        <v>136</v>
      </c>
      <c r="G34" s="177">
        <f>'Custo '!H85+'Custo '!H86+'Custo '!H87</f>
        <v>337000</v>
      </c>
      <c r="H34" s="184" t="s">
        <v>141</v>
      </c>
      <c r="I34" s="203">
        <f>'Custo '!H85+'Custo '!H86+'Custo '!H87</f>
        <v>337000</v>
      </c>
      <c r="J34" s="201"/>
      <c r="K34" s="177"/>
      <c r="L34" s="177"/>
      <c r="M34" s="177">
        <f>$I$34/6</f>
        <v>56166.666666666664</v>
      </c>
      <c r="N34" s="177">
        <f>$I$34/6</f>
        <v>56166.666666666664</v>
      </c>
      <c r="O34" s="177"/>
      <c r="P34" s="177"/>
      <c r="Q34" s="177"/>
      <c r="R34" s="177">
        <f>$I$34/6</f>
        <v>56166.666666666664</v>
      </c>
      <c r="S34" s="177">
        <f>$I$34/6</f>
        <v>56166.666666666664</v>
      </c>
      <c r="T34" s="177">
        <f>$I$34/6</f>
        <v>56166.666666666664</v>
      </c>
      <c r="U34" s="177"/>
      <c r="V34" s="177"/>
      <c r="W34" s="177">
        <f>$I$34/6</f>
        <v>56166.666666666664</v>
      </c>
      <c r="X34" s="177"/>
      <c r="Y34" s="177"/>
      <c r="Z34" s="230"/>
      <c r="AC34" s="72"/>
      <c r="AD34" s="72"/>
      <c r="AE34" s="72"/>
      <c r="AF34" s="72"/>
    </row>
    <row r="35" spans="1:34" ht="14.45" hidden="1" customHeight="1" x14ac:dyDescent="0.3">
      <c r="A35" s="187" t="s">
        <v>139</v>
      </c>
      <c r="B35" s="182">
        <v>84710</v>
      </c>
      <c r="C35" s="182" t="s">
        <v>131</v>
      </c>
      <c r="D35" s="182" t="s">
        <v>72</v>
      </c>
      <c r="E35" s="182" t="s">
        <v>137</v>
      </c>
      <c r="F35" s="181" t="s">
        <v>119</v>
      </c>
      <c r="G35" s="177">
        <f>'Custo '!H88</f>
        <v>580309.79999999993</v>
      </c>
      <c r="H35" s="184" t="s">
        <v>141</v>
      </c>
      <c r="I35" s="203">
        <f>'Custo '!H26</f>
        <v>580309.79999999993</v>
      </c>
      <c r="J35" s="201"/>
      <c r="K35" s="177"/>
      <c r="L35" s="179"/>
      <c r="M35" s="177"/>
      <c r="N35" s="177"/>
      <c r="O35" s="177"/>
      <c r="P35" s="177"/>
      <c r="Q35" s="177"/>
      <c r="R35" s="177"/>
      <c r="S35" s="177"/>
      <c r="T35" s="177"/>
      <c r="U35" s="177"/>
      <c r="V35" s="177">
        <f>I35</f>
        <v>580309.79999999993</v>
      </c>
      <c r="W35" s="177"/>
      <c r="X35" s="177"/>
      <c r="Y35" s="177"/>
      <c r="Z35" s="230"/>
      <c r="AC35" s="72"/>
      <c r="AD35" s="72"/>
      <c r="AE35" s="72"/>
      <c r="AF35" s="72"/>
    </row>
    <row r="36" spans="1:34" s="72" customFormat="1" x14ac:dyDescent="0.25">
      <c r="A36" s="182" t="s">
        <v>140</v>
      </c>
      <c r="B36" s="228">
        <v>84711</v>
      </c>
      <c r="C36" s="361" t="s">
        <v>154</v>
      </c>
      <c r="D36" s="182" t="s">
        <v>133</v>
      </c>
      <c r="E36" s="259" t="s">
        <v>3</v>
      </c>
      <c r="F36" s="245"/>
      <c r="G36" s="177"/>
      <c r="H36" s="184"/>
      <c r="I36" s="202" t="e">
        <f t="shared" ref="I36:I37" si="4">SUM(K36:Z36)</f>
        <v>#REF!</v>
      </c>
      <c r="J36" s="201"/>
      <c r="K36" s="177" t="e">
        <f>SUM(#REF!)</f>
        <v>#REF!</v>
      </c>
      <c r="L36" s="230"/>
      <c r="M36" s="230"/>
      <c r="N36" s="230"/>
      <c r="O36" s="230">
        <v>85939.197</v>
      </c>
      <c r="P36" s="230"/>
      <c r="Q36" s="230"/>
      <c r="R36" s="230"/>
      <c r="S36" s="230"/>
      <c r="T36" s="230"/>
      <c r="U36" s="230"/>
      <c r="V36" s="230">
        <v>85939.197</v>
      </c>
      <c r="W36" s="230">
        <v>114585.59600000001</v>
      </c>
      <c r="X36" s="230"/>
      <c r="Y36" s="230"/>
      <c r="Z36" s="230"/>
      <c r="AA36" s="236"/>
    </row>
    <row r="37" spans="1:34" s="72" customFormat="1" x14ac:dyDescent="0.25">
      <c r="A37" s="182" t="s">
        <v>140</v>
      </c>
      <c r="B37" s="228">
        <v>84711</v>
      </c>
      <c r="C37" s="362"/>
      <c r="D37" s="182" t="s">
        <v>106</v>
      </c>
      <c r="E37" s="259" t="s">
        <v>134</v>
      </c>
      <c r="F37" s="245"/>
      <c r="G37" s="177"/>
      <c r="H37" s="184"/>
      <c r="I37" s="202" t="e">
        <f t="shared" si="4"/>
        <v>#REF!</v>
      </c>
      <c r="J37" s="201"/>
      <c r="K37" s="177" t="e">
        <f>SUM(#REF!)</f>
        <v>#REF!</v>
      </c>
      <c r="L37" s="230"/>
      <c r="M37" s="230"/>
      <c r="N37" s="230"/>
      <c r="O37" s="230">
        <v>209632.35</v>
      </c>
      <c r="P37" s="230"/>
      <c r="Q37" s="230"/>
      <c r="R37" s="230"/>
      <c r="S37" s="230"/>
      <c r="T37" s="230"/>
      <c r="U37" s="230"/>
      <c r="V37" s="230">
        <v>209632.35</v>
      </c>
      <c r="W37" s="230">
        <v>279509.8</v>
      </c>
      <c r="X37" s="230"/>
      <c r="Y37" s="230"/>
      <c r="Z37" s="230"/>
      <c r="AA37" s="236"/>
    </row>
    <row r="38" spans="1:34" s="72" customFormat="1" ht="14.45" x14ac:dyDescent="0.3">
      <c r="A38" s="182"/>
      <c r="B38" s="244"/>
      <c r="C38" s="244"/>
      <c r="D38" s="182"/>
      <c r="E38" s="263" t="s">
        <v>54</v>
      </c>
      <c r="F38" s="245"/>
      <c r="G38" s="177"/>
      <c r="H38" s="184"/>
      <c r="I38" s="222" t="e">
        <f>SUM(I36:I37)</f>
        <v>#REF!</v>
      </c>
      <c r="J38" s="201"/>
      <c r="K38" s="177"/>
      <c r="L38" s="246"/>
      <c r="M38" s="246"/>
      <c r="N38" s="246"/>
      <c r="O38" s="246">
        <f>SUM(O36:O37)</f>
        <v>295571.54700000002</v>
      </c>
      <c r="P38" s="246"/>
      <c r="Q38" s="246"/>
      <c r="R38" s="246"/>
      <c r="S38" s="246"/>
      <c r="T38" s="246"/>
      <c r="U38" s="246"/>
      <c r="V38" s="246">
        <f>SUM(V36:V37)</f>
        <v>295571.54700000002</v>
      </c>
      <c r="W38" s="246">
        <f>SUM(W36:W37)</f>
        <v>394095.39600000001</v>
      </c>
      <c r="X38" s="246"/>
      <c r="Y38" s="246"/>
      <c r="Z38" s="246"/>
      <c r="AA38" s="236">
        <f>SUM(N38:X38)</f>
        <v>985238.49</v>
      </c>
    </row>
    <row r="39" spans="1:34" ht="14.45" x14ac:dyDescent="0.3">
      <c r="A39" s="182"/>
    </row>
    <row r="41" spans="1:34" ht="14.45" x14ac:dyDescent="0.3">
      <c r="AA41" s="236">
        <f>AA38+AA24+AA16+AA14+AA12+AA10</f>
        <v>7733345.4399999995</v>
      </c>
    </row>
    <row r="45" spans="1:34" ht="23.45" x14ac:dyDescent="0.45">
      <c r="AC45" s="272" t="s">
        <v>159</v>
      </c>
    </row>
    <row r="46" spans="1:34" x14ac:dyDescent="0.25">
      <c r="AC46" s="270" t="s">
        <v>120</v>
      </c>
      <c r="AD46" s="270" t="s">
        <v>145</v>
      </c>
      <c r="AE46" s="271">
        <v>2014</v>
      </c>
      <c r="AF46" s="271">
        <v>2015</v>
      </c>
      <c r="AH46" s="271" t="s">
        <v>162</v>
      </c>
    </row>
    <row r="47" spans="1:34" ht="14.45" x14ac:dyDescent="0.3">
      <c r="AC47" s="264">
        <f>B7</f>
        <v>84137</v>
      </c>
      <c r="AD47" s="225" t="s">
        <v>122</v>
      </c>
      <c r="AE47" s="223">
        <f>SUM(L7:S8)</f>
        <v>292000</v>
      </c>
      <c r="AF47" s="223">
        <f>SUM(T8:W8)</f>
        <v>126000</v>
      </c>
      <c r="AH47" s="235">
        <f>AE47+AF47</f>
        <v>418000</v>
      </c>
    </row>
    <row r="48" spans="1:34" x14ac:dyDescent="0.25">
      <c r="AC48" s="265">
        <f>B9</f>
        <v>84200</v>
      </c>
      <c r="AD48" s="227" t="s">
        <v>116</v>
      </c>
      <c r="AE48" s="235">
        <f>SUM(L9:S9)</f>
        <v>1805427.08</v>
      </c>
      <c r="AF48" s="235"/>
      <c r="AH48" s="235">
        <f t="shared" ref="AH48:AH53" si="5">AE48+AF48</f>
        <v>1805427.08</v>
      </c>
    </row>
    <row r="49" spans="10:34" x14ac:dyDescent="0.25">
      <c r="AC49" s="265">
        <v>83882</v>
      </c>
      <c r="AD49" s="227" t="s">
        <v>124</v>
      </c>
      <c r="AE49" s="235">
        <f>SUM(L12:S12)</f>
        <v>582478.29149999993</v>
      </c>
      <c r="AF49" s="235">
        <f>SUM(T12:Z12)</f>
        <v>388318.86100000003</v>
      </c>
      <c r="AH49" s="235">
        <f t="shared" si="5"/>
        <v>970797.15249999997</v>
      </c>
    </row>
    <row r="50" spans="10:34" x14ac:dyDescent="0.25">
      <c r="AC50" s="266">
        <v>83909</v>
      </c>
      <c r="AD50" s="226" t="s">
        <v>130</v>
      </c>
      <c r="AE50" s="224">
        <f>SUM(L14:S14)</f>
        <v>457383.3075</v>
      </c>
      <c r="AF50" s="224"/>
      <c r="AH50" s="235">
        <f t="shared" si="5"/>
        <v>457383.3075</v>
      </c>
    </row>
    <row r="51" spans="10:34" x14ac:dyDescent="0.25">
      <c r="AC51" s="265">
        <v>83907</v>
      </c>
      <c r="AD51" s="227" t="s">
        <v>152</v>
      </c>
      <c r="AE51" s="235">
        <f>SUM(L16:S16)</f>
        <v>371823.61</v>
      </c>
      <c r="AF51" s="235"/>
      <c r="AH51" s="235">
        <f t="shared" si="5"/>
        <v>371823.61</v>
      </c>
    </row>
    <row r="52" spans="10:34" s="72" customFormat="1" x14ac:dyDescent="0.25">
      <c r="J52" s="73"/>
      <c r="AC52" s="266">
        <v>84710</v>
      </c>
      <c r="AD52" s="226" t="s">
        <v>156</v>
      </c>
      <c r="AE52" s="224">
        <f>SUM(L24:S24)</f>
        <v>1272526.4666666666</v>
      </c>
      <c r="AF52" s="224">
        <f>SUM($T$20:$Z$23)</f>
        <v>1452149.3333333335</v>
      </c>
      <c r="AH52" s="235">
        <f t="shared" si="5"/>
        <v>2724675.8</v>
      </c>
    </row>
    <row r="53" spans="10:34" x14ac:dyDescent="0.25">
      <c r="AC53" s="269">
        <v>84711</v>
      </c>
      <c r="AD53" s="267" t="s">
        <v>169</v>
      </c>
      <c r="AE53" s="268">
        <f>SUM(L36:S37)</f>
        <v>295571.54700000002</v>
      </c>
      <c r="AF53" s="268">
        <f>SUM(T36:Z37)</f>
        <v>689666.94299999997</v>
      </c>
      <c r="AH53" s="268">
        <f t="shared" si="5"/>
        <v>985238.49</v>
      </c>
    </row>
    <row r="54" spans="10:34" ht="5.45" customHeight="1" x14ac:dyDescent="0.25">
      <c r="AC54" s="244"/>
      <c r="AD54" s="244"/>
      <c r="AE54" s="201"/>
      <c r="AF54" s="201"/>
    </row>
    <row r="55" spans="10:34" ht="15.75" x14ac:dyDescent="0.25">
      <c r="AC55" s="363" t="s">
        <v>54</v>
      </c>
      <c r="AD55" s="363"/>
      <c r="AE55" s="274">
        <f>SUM(AE47:AE53)</f>
        <v>5077210.3026666669</v>
      </c>
      <c r="AF55" s="274">
        <f>SUM(AF47:AF53)</f>
        <v>2656135.1373333335</v>
      </c>
      <c r="AG55" s="72"/>
      <c r="AH55" s="274">
        <f>SUM(AH47:AH53)</f>
        <v>7733345.4399999995</v>
      </c>
    </row>
    <row r="57" spans="10:34" s="72" customFormat="1" x14ac:dyDescent="0.25">
      <c r="J57" s="73"/>
    </row>
    <row r="58" spans="10:34" ht="19.149999999999999" customHeight="1" x14ac:dyDescent="0.35">
      <c r="AC58" s="272" t="s">
        <v>158</v>
      </c>
    </row>
    <row r="59" spans="10:34" x14ac:dyDescent="0.25">
      <c r="AC59" s="270" t="s">
        <v>120</v>
      </c>
      <c r="AD59" s="270" t="s">
        <v>145</v>
      </c>
      <c r="AE59" s="271">
        <v>2014</v>
      </c>
      <c r="AF59" s="271">
        <v>2015</v>
      </c>
      <c r="AH59" s="271" t="s">
        <v>162</v>
      </c>
    </row>
    <row r="60" spans="10:34" x14ac:dyDescent="0.25">
      <c r="AC60" s="266">
        <v>84710</v>
      </c>
      <c r="AD60" s="226" t="s">
        <v>156</v>
      </c>
      <c r="AE60" s="224">
        <f>SUM(L20:S23)</f>
        <v>1272526.466666667</v>
      </c>
      <c r="AF60" s="224">
        <f>SUM($T$20:$Z$23)</f>
        <v>1452149.3333333335</v>
      </c>
      <c r="AH60" s="278">
        <f t="shared" ref="AH60" si="6">AE60+AF60</f>
        <v>2724675.8000000007</v>
      </c>
    </row>
    <row r="61" spans="10:34" s="72" customFormat="1" x14ac:dyDescent="0.25">
      <c r="J61" s="73"/>
      <c r="AC61" s="273"/>
      <c r="AD61" s="244"/>
      <c r="AE61" s="201"/>
      <c r="AF61" s="201"/>
    </row>
    <row r="62" spans="10:34" ht="6" customHeight="1" x14ac:dyDescent="0.25">
      <c r="AC62" s="244"/>
      <c r="AD62" s="244"/>
      <c r="AE62" s="201"/>
      <c r="AF62" s="201"/>
    </row>
    <row r="63" spans="10:34" ht="15.75" x14ac:dyDescent="0.25">
      <c r="AC63" s="363" t="s">
        <v>157</v>
      </c>
      <c r="AD63" s="363"/>
      <c r="AE63" s="274">
        <f>AE60+AE55</f>
        <v>6349736.7693333337</v>
      </c>
      <c r="AF63" s="274">
        <f>AF60+AF55</f>
        <v>4108284.470666667</v>
      </c>
      <c r="AH63" s="274">
        <f t="shared" ref="AH63" si="7">AE63+AF63</f>
        <v>10458021.24</v>
      </c>
    </row>
  </sheetData>
  <mergeCells count="7">
    <mergeCell ref="C36:C37"/>
    <mergeCell ref="AC55:AD55"/>
    <mergeCell ref="AC63:AD63"/>
    <mergeCell ref="L3:S3"/>
    <mergeCell ref="T3:Z3"/>
    <mergeCell ref="C7:C9"/>
    <mergeCell ref="C20:C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M1" workbookViewId="0">
      <selection activeCell="S1" sqref="S1:W9"/>
    </sheetView>
  </sheetViews>
  <sheetFormatPr defaultRowHeight="15" x14ac:dyDescent="0.25"/>
  <cols>
    <col min="1" max="1" width="40.7109375" bestFit="1" customWidth="1"/>
    <col min="2" max="2" width="14.28515625" style="72" bestFit="1" customWidth="1"/>
    <col min="4" max="4" width="15.85546875" hidden="1" customWidth="1"/>
    <col min="5" max="5" width="15.85546875" bestFit="1" customWidth="1"/>
    <col min="6" max="6" width="3.7109375" customWidth="1"/>
    <col min="7" max="7" width="40.7109375" bestFit="1" customWidth="1"/>
    <col min="8" max="8" width="14.28515625" bestFit="1" customWidth="1"/>
    <col min="9" max="9" width="0" hidden="1" customWidth="1"/>
    <col min="10" max="10" width="15.85546875" hidden="1" customWidth="1"/>
    <col min="11" max="11" width="15.85546875" bestFit="1" customWidth="1"/>
    <col min="13" max="13" width="40.7109375" bestFit="1" customWidth="1"/>
    <col min="14" max="14" width="14.28515625" bestFit="1" customWidth="1"/>
    <col min="15" max="15" width="7.5703125" hidden="1" customWidth="1"/>
    <col min="16" max="16" width="15.85546875" hidden="1" customWidth="1"/>
    <col min="17" max="17" width="15.85546875" bestFit="1" customWidth="1"/>
    <col min="19" max="19" width="40.7109375" bestFit="1" customWidth="1"/>
    <col min="20" max="20" width="14.28515625" bestFit="1" customWidth="1"/>
    <col min="21" max="21" width="7.5703125" hidden="1" customWidth="1"/>
    <col min="22" max="22" width="15.85546875" hidden="1" customWidth="1"/>
    <col min="23" max="23" width="15.85546875" bestFit="1" customWidth="1"/>
  </cols>
  <sheetData>
    <row r="1" spans="1:23" s="72" customFormat="1" x14ac:dyDescent="0.25">
      <c r="A1" s="333" t="s">
        <v>182</v>
      </c>
      <c r="B1" s="333" t="s">
        <v>192</v>
      </c>
      <c r="C1" s="333" t="s">
        <v>183</v>
      </c>
      <c r="D1" s="333" t="s">
        <v>184</v>
      </c>
      <c r="E1" s="333" t="s">
        <v>190</v>
      </c>
      <c r="G1" s="333" t="s">
        <v>182</v>
      </c>
      <c r="H1" s="333" t="s">
        <v>192</v>
      </c>
      <c r="I1" s="333" t="s">
        <v>183</v>
      </c>
      <c r="J1" s="333" t="s">
        <v>184</v>
      </c>
      <c r="K1" s="333" t="s">
        <v>190</v>
      </c>
      <c r="M1" s="333" t="s">
        <v>182</v>
      </c>
      <c r="N1" s="333" t="s">
        <v>192</v>
      </c>
      <c r="O1" s="333" t="s">
        <v>183</v>
      </c>
      <c r="P1" s="333" t="s">
        <v>184</v>
      </c>
      <c r="Q1" s="333" t="s">
        <v>190</v>
      </c>
      <c r="S1" s="333" t="s">
        <v>182</v>
      </c>
      <c r="T1" s="333" t="s">
        <v>192</v>
      </c>
      <c r="U1" s="333" t="s">
        <v>183</v>
      </c>
      <c r="V1" s="333" t="s">
        <v>184</v>
      </c>
      <c r="W1" s="333" t="s">
        <v>190</v>
      </c>
    </row>
    <row r="2" spans="1:23" s="72" customFormat="1" x14ac:dyDescent="0.25">
      <c r="A2" s="334" t="s">
        <v>185</v>
      </c>
      <c r="B2" s="334"/>
      <c r="C2" s="335"/>
      <c r="D2" s="335"/>
      <c r="E2" s="336"/>
      <c r="G2" s="334" t="s">
        <v>185</v>
      </c>
      <c r="H2" s="334"/>
      <c r="I2" s="335"/>
      <c r="J2" s="335"/>
      <c r="K2" s="336"/>
      <c r="M2" s="334" t="s">
        <v>185</v>
      </c>
      <c r="N2" s="343">
        <f>457383</f>
        <v>457383</v>
      </c>
      <c r="O2" s="342" t="e">
        <f>SUM(#REF!)</f>
        <v>#REF!</v>
      </c>
      <c r="P2" s="340" t="e">
        <f>SUM(#REF!)</f>
        <v>#REF!</v>
      </c>
      <c r="Q2" s="343">
        <v>512744.46</v>
      </c>
      <c r="S2" s="334" t="s">
        <v>185</v>
      </c>
      <c r="T2" s="343">
        <f>457383</f>
        <v>457383</v>
      </c>
      <c r="U2" s="342" t="e">
        <f>SUM(#REF!)</f>
        <v>#REF!</v>
      </c>
      <c r="V2" s="340" t="e">
        <f>SUM(#REF!)</f>
        <v>#REF!</v>
      </c>
      <c r="W2" s="343">
        <v>512744.46</v>
      </c>
    </row>
    <row r="3" spans="1:23" x14ac:dyDescent="0.25">
      <c r="A3" s="337" t="s">
        <v>177</v>
      </c>
      <c r="B3" s="339">
        <f t="shared" ref="B3:B4" si="0">(B4*E3)/E4</f>
        <v>358639.84580987092</v>
      </c>
      <c r="C3" s="338">
        <f>1962+887</f>
        <v>2849</v>
      </c>
      <c r="D3" s="339">
        <f>C3*141.75</f>
        <v>403845.75</v>
      </c>
      <c r="E3" s="339">
        <f>D3</f>
        <v>403845.75</v>
      </c>
      <c r="G3" s="337" t="s">
        <v>177</v>
      </c>
      <c r="H3" s="339">
        <f t="shared" ref="H3:H4" si="1">(H4*K3)/K4</f>
        <v>358639.84580987092</v>
      </c>
      <c r="I3" s="338">
        <f>1962+887</f>
        <v>2849</v>
      </c>
      <c r="J3" s="339">
        <f>I3*141.75</f>
        <v>403845.75</v>
      </c>
      <c r="K3" s="339">
        <f>J3</f>
        <v>403845.75</v>
      </c>
      <c r="M3" s="337" t="s">
        <v>177</v>
      </c>
      <c r="N3" s="339">
        <f t="shared" ref="N3:N4" si="2">(N4*Q3)/Q4</f>
        <v>360242.17994117027</v>
      </c>
      <c r="O3" s="338">
        <f>1962+887</f>
        <v>2849</v>
      </c>
      <c r="P3" s="339">
        <f>O3*141.75</f>
        <v>403845.75</v>
      </c>
      <c r="Q3" s="339">
        <f>P3</f>
        <v>403845.75</v>
      </c>
      <c r="S3" s="334" t="s">
        <v>186</v>
      </c>
      <c r="T3" s="334"/>
      <c r="U3" s="335"/>
      <c r="V3" s="335"/>
      <c r="W3" s="336"/>
    </row>
    <row r="4" spans="1:23" x14ac:dyDescent="0.25">
      <c r="A4" s="337" t="s">
        <v>178</v>
      </c>
      <c r="B4" s="339">
        <f t="shared" si="0"/>
        <v>7964.5791917974311</v>
      </c>
      <c r="C4" s="338">
        <f>4*18.5</f>
        <v>74</v>
      </c>
      <c r="D4" s="339">
        <f>C4*141.75</f>
        <v>10489.5</v>
      </c>
      <c r="E4" s="344">
        <v>8968.5</v>
      </c>
      <c r="G4" s="337" t="s">
        <v>178</v>
      </c>
      <c r="H4" s="339">
        <f t="shared" si="1"/>
        <v>7964.5791917974311</v>
      </c>
      <c r="I4" s="338">
        <f>4*18.5</f>
        <v>74</v>
      </c>
      <c r="J4" s="339">
        <f>I4*141.75</f>
        <v>10489.5</v>
      </c>
      <c r="K4" s="344">
        <v>8968.5</v>
      </c>
      <c r="M4" s="337" t="s">
        <v>178</v>
      </c>
      <c r="N4" s="339">
        <f t="shared" si="2"/>
        <v>8000.1634059597891</v>
      </c>
      <c r="O4" s="338">
        <f>4*18.5</f>
        <v>74</v>
      </c>
      <c r="P4" s="339">
        <f>O4*141.75</f>
        <v>10489.5</v>
      </c>
      <c r="Q4" s="344">
        <v>8968.5</v>
      </c>
      <c r="S4" s="337" t="s">
        <v>188</v>
      </c>
      <c r="T4" s="337" t="s">
        <v>191</v>
      </c>
      <c r="U4" s="338">
        <v>240.5</v>
      </c>
      <c r="V4" s="339">
        <f>U4*141.75</f>
        <v>34090.875</v>
      </c>
      <c r="W4" s="339">
        <f>V4</f>
        <v>34090.875</v>
      </c>
    </row>
    <row r="5" spans="1:23" s="72" customFormat="1" x14ac:dyDescent="0.25">
      <c r="A5" s="346" t="s">
        <v>181</v>
      </c>
      <c r="B5" s="339">
        <f>(B6*E5)/E6</f>
        <v>14548.264998331619</v>
      </c>
      <c r="C5" s="338">
        <v>115.57</v>
      </c>
      <c r="D5" s="339">
        <f>C5*141.75</f>
        <v>16382.047499999999</v>
      </c>
      <c r="E5" s="339">
        <f>D5</f>
        <v>16382.047499999999</v>
      </c>
      <c r="G5" s="346" t="s">
        <v>181</v>
      </c>
      <c r="H5" s="339">
        <f>(H6*K5)/K6</f>
        <v>14548.264998331619</v>
      </c>
      <c r="I5" s="338">
        <v>115.57</v>
      </c>
      <c r="J5" s="339">
        <f>I5*141.75</f>
        <v>16382.047499999999</v>
      </c>
      <c r="K5" s="339">
        <f>J5</f>
        <v>16382.047499999999</v>
      </c>
      <c r="M5" s="346" t="s">
        <v>181</v>
      </c>
      <c r="N5" s="339">
        <f>(N6*Q5)/Q6</f>
        <v>14613.263859530025</v>
      </c>
      <c r="O5" s="338">
        <v>115.57</v>
      </c>
      <c r="P5" s="339">
        <f>O5*141.75</f>
        <v>16382.047499999999</v>
      </c>
      <c r="Q5" s="339">
        <f>P5</f>
        <v>16382.047499999999</v>
      </c>
      <c r="S5" s="337" t="s">
        <v>189</v>
      </c>
      <c r="T5" s="337" t="s">
        <v>191</v>
      </c>
      <c r="U5" s="338">
        <f>(86+52)*18.5</f>
        <v>2553</v>
      </c>
      <c r="V5" s="339">
        <f>U5*141.75</f>
        <v>361887.75</v>
      </c>
      <c r="W5" s="344">
        <v>309413.45</v>
      </c>
    </row>
    <row r="6" spans="1:23" s="72" customFormat="1" x14ac:dyDescent="0.25">
      <c r="A6" s="345" t="s">
        <v>185</v>
      </c>
      <c r="B6" s="343">
        <f>457383-B12</f>
        <v>381152.69</v>
      </c>
      <c r="C6" s="342">
        <f>SUM(C3:C5)</f>
        <v>3038.57</v>
      </c>
      <c r="D6" s="340">
        <f>SUM(D3:D4)</f>
        <v>414335.25</v>
      </c>
      <c r="E6" s="343">
        <f>SUM(E3:E5)</f>
        <v>429196.29749999999</v>
      </c>
      <c r="G6" s="345" t="s">
        <v>185</v>
      </c>
      <c r="H6" s="343">
        <f>457383-H12</f>
        <v>381152.69</v>
      </c>
      <c r="I6" s="342">
        <f>SUM(I3:I5)</f>
        <v>3038.57</v>
      </c>
      <c r="J6" s="340">
        <f>SUM(J3:J4)</f>
        <v>414335.25</v>
      </c>
      <c r="K6" s="343">
        <f>SUM(K3:K5)</f>
        <v>429196.29749999999</v>
      </c>
      <c r="M6" s="345" t="s">
        <v>185</v>
      </c>
      <c r="N6" s="343">
        <f>457383</f>
        <v>457383</v>
      </c>
      <c r="O6" s="342">
        <f>SUM(O3:O5)</f>
        <v>3038.57</v>
      </c>
      <c r="P6" s="340">
        <f>SUM(P3:P4)</f>
        <v>414335.25</v>
      </c>
      <c r="Q6" s="343">
        <f>SUM(Q3:Q5)+Q18</f>
        <v>512744.45624999999</v>
      </c>
      <c r="S6" s="337" t="s">
        <v>179</v>
      </c>
      <c r="T6" s="337" t="s">
        <v>191</v>
      </c>
      <c r="U6" s="338">
        <f>28*18.5</f>
        <v>518</v>
      </c>
      <c r="V6" s="339">
        <f>U6*141.75</f>
        <v>73426.5</v>
      </c>
      <c r="W6" s="344">
        <v>62779.54</v>
      </c>
    </row>
    <row r="7" spans="1:23" s="72" customFormat="1" x14ac:dyDescent="0.25">
      <c r="A7" s="334" t="s">
        <v>186</v>
      </c>
      <c r="B7" s="334"/>
      <c r="C7" s="335"/>
      <c r="D7" s="335"/>
      <c r="E7" s="336"/>
      <c r="G7" s="334" t="s">
        <v>186</v>
      </c>
      <c r="H7" s="334"/>
      <c r="I7" s="335"/>
      <c r="J7" s="335"/>
      <c r="K7" s="336"/>
      <c r="M7" s="334" t="s">
        <v>186</v>
      </c>
      <c r="N7" s="334"/>
      <c r="O7" s="335"/>
      <c r="P7" s="335"/>
      <c r="Q7" s="336"/>
      <c r="S7" s="345" t="s">
        <v>187</v>
      </c>
      <c r="T7" s="345"/>
      <c r="U7" s="342">
        <f>SUM(U4:U6)</f>
        <v>3311.5</v>
      </c>
      <c r="V7" s="340">
        <f>SUM(V3:V6)</f>
        <v>469405.125</v>
      </c>
      <c r="W7" s="340">
        <f>SUM(W4:W6)+W14</f>
        <v>406283.86499999999</v>
      </c>
    </row>
    <row r="8" spans="1:23" x14ac:dyDescent="0.25">
      <c r="A8" s="337" t="s">
        <v>188</v>
      </c>
      <c r="B8" s="337" t="s">
        <v>191</v>
      </c>
      <c r="C8" s="338">
        <v>240.5</v>
      </c>
      <c r="D8" s="339">
        <f>C8*141.75</f>
        <v>34090.875</v>
      </c>
      <c r="E8" s="339">
        <f>D8</f>
        <v>34090.875</v>
      </c>
      <c r="G8" s="337" t="s">
        <v>188</v>
      </c>
      <c r="H8" s="337" t="s">
        <v>191</v>
      </c>
      <c r="I8" s="338">
        <v>240.5</v>
      </c>
      <c r="J8" s="339">
        <f>I8*141.75</f>
        <v>34090.875</v>
      </c>
      <c r="K8" s="339">
        <f>J8</f>
        <v>34090.875</v>
      </c>
      <c r="M8" s="337" t="s">
        <v>188</v>
      </c>
      <c r="N8" s="337" t="s">
        <v>191</v>
      </c>
      <c r="O8" s="338">
        <v>240.5</v>
      </c>
      <c r="P8" s="339">
        <f>O8*141.75</f>
        <v>34090.875</v>
      </c>
      <c r="Q8" s="339">
        <f>P8</f>
        <v>34090.875</v>
      </c>
      <c r="S8" s="72"/>
      <c r="T8" s="72"/>
      <c r="U8" s="72"/>
      <c r="V8" s="72"/>
      <c r="W8" s="72"/>
    </row>
    <row r="9" spans="1:23" x14ac:dyDescent="0.25">
      <c r="A9" s="337" t="s">
        <v>189</v>
      </c>
      <c r="B9" s="337" t="s">
        <v>191</v>
      </c>
      <c r="C9" s="338">
        <f>(86+52)*18.5</f>
        <v>2553</v>
      </c>
      <c r="D9" s="339">
        <f>C9*141.75</f>
        <v>361887.75</v>
      </c>
      <c r="E9" s="344">
        <v>309413.45</v>
      </c>
      <c r="G9" s="337" t="s">
        <v>189</v>
      </c>
      <c r="H9" s="337" t="s">
        <v>191</v>
      </c>
      <c r="I9" s="338">
        <f>(86+52)*18.5</f>
        <v>2553</v>
      </c>
      <c r="J9" s="339">
        <f>I9*141.75</f>
        <v>361887.75</v>
      </c>
      <c r="K9" s="344">
        <v>309413.45</v>
      </c>
      <c r="M9" s="337" t="s">
        <v>189</v>
      </c>
      <c r="N9" s="337" t="s">
        <v>191</v>
      </c>
      <c r="O9" s="338">
        <f>(86+52)*18.5</f>
        <v>2553</v>
      </c>
      <c r="P9" s="339">
        <f>O9*141.75</f>
        <v>361887.75</v>
      </c>
      <c r="Q9" s="344">
        <v>309413.45</v>
      </c>
      <c r="S9" s="347" t="s">
        <v>157</v>
      </c>
      <c r="T9" s="349">
        <f>T2</f>
        <v>457383</v>
      </c>
      <c r="U9" s="348" t="e">
        <f>#REF!+U7+U14</f>
        <v>#REF!</v>
      </c>
      <c r="V9" s="349" t="e">
        <f>V7+V14+#REF!</f>
        <v>#REF!</v>
      </c>
      <c r="W9" s="349">
        <f>SUM(W2,W7)+Q18</f>
        <v>1002576.4837499999</v>
      </c>
    </row>
    <row r="10" spans="1:23" x14ac:dyDescent="0.25">
      <c r="A10" s="337" t="s">
        <v>179</v>
      </c>
      <c r="B10" s="337" t="s">
        <v>191</v>
      </c>
      <c r="C10" s="338">
        <f>28*18.5</f>
        <v>518</v>
      </c>
      <c r="D10" s="339">
        <f>C10*141.75</f>
        <v>73426.5</v>
      </c>
      <c r="E10" s="344">
        <v>62779.54</v>
      </c>
      <c r="G10" s="337" t="s">
        <v>179</v>
      </c>
      <c r="H10" s="337" t="s">
        <v>191</v>
      </c>
      <c r="I10" s="338">
        <f>28*18.5</f>
        <v>518</v>
      </c>
      <c r="J10" s="339">
        <f>I10*141.75</f>
        <v>73426.5</v>
      </c>
      <c r="K10" s="344">
        <v>62779.54</v>
      </c>
      <c r="M10" s="337" t="s">
        <v>179</v>
      </c>
      <c r="N10" s="337" t="s">
        <v>191</v>
      </c>
      <c r="O10" s="338">
        <f>28*18.5</f>
        <v>518</v>
      </c>
      <c r="P10" s="339">
        <f>O10*141.75</f>
        <v>73426.5</v>
      </c>
      <c r="Q10" s="344">
        <v>62779.54</v>
      </c>
    </row>
    <row r="11" spans="1:23" x14ac:dyDescent="0.25">
      <c r="A11" s="345" t="s">
        <v>187</v>
      </c>
      <c r="B11" s="345"/>
      <c r="C11" s="342">
        <f>SUM(C8:C10)</f>
        <v>3311.5</v>
      </c>
      <c r="D11" s="340">
        <f>SUM(D3:D10)</f>
        <v>1314457.6724999999</v>
      </c>
      <c r="E11" s="340">
        <f>SUM(E8:E10)</f>
        <v>406283.86499999999</v>
      </c>
      <c r="G11" s="345" t="s">
        <v>187</v>
      </c>
      <c r="H11" s="345" t="s">
        <v>191</v>
      </c>
      <c r="I11" s="342">
        <f>SUM(I8:I10)</f>
        <v>3311.5</v>
      </c>
      <c r="J11" s="340">
        <f>SUM(J3:J10)</f>
        <v>1314457.6724999999</v>
      </c>
      <c r="K11" s="340">
        <f>SUM(K8:K10)</f>
        <v>406283.86499999999</v>
      </c>
      <c r="M11" s="345" t="s">
        <v>187</v>
      </c>
      <c r="N11" s="345"/>
      <c r="O11" s="342">
        <f>SUM(O8:O10)</f>
        <v>3311.5</v>
      </c>
      <c r="P11" s="340">
        <f>SUM(P3:P10)</f>
        <v>1314457.6724999999</v>
      </c>
      <c r="Q11" s="340">
        <f>SUM(Q8:Q10)+Q18</f>
        <v>489832.02374999999</v>
      </c>
    </row>
    <row r="12" spans="1:23" s="72" customFormat="1" x14ac:dyDescent="0.25">
      <c r="A12" s="341" t="s">
        <v>180</v>
      </c>
      <c r="B12" s="343">
        <v>76230.31</v>
      </c>
      <c r="C12" s="342">
        <v>1178.81</v>
      </c>
      <c r="D12" s="340">
        <f>C12*141.75</f>
        <v>167096.3175</v>
      </c>
      <c r="E12" s="340">
        <f>D12</f>
        <v>167096.3175</v>
      </c>
      <c r="G12" s="341" t="s">
        <v>180</v>
      </c>
      <c r="H12" s="343">
        <v>76230.31</v>
      </c>
      <c r="I12" s="342">
        <v>1178.81</v>
      </c>
      <c r="J12" s="340">
        <f>I12*141.75</f>
        <v>167096.3175</v>
      </c>
      <c r="K12" s="340">
        <f>J12</f>
        <v>167096.3175</v>
      </c>
      <c r="S12"/>
      <c r="T12"/>
      <c r="U12"/>
      <c r="V12"/>
      <c r="W12"/>
    </row>
    <row r="13" spans="1:23" x14ac:dyDescent="0.25">
      <c r="A13" s="347" t="s">
        <v>157</v>
      </c>
      <c r="B13" s="349">
        <f>SUM(B6,B12)</f>
        <v>457383</v>
      </c>
      <c r="C13" s="348">
        <f>C6+C11+C12</f>
        <v>7528.8799999999992</v>
      </c>
      <c r="D13" s="349" t="e">
        <f>D11+D12+#REF!</f>
        <v>#REF!</v>
      </c>
      <c r="E13" s="349">
        <f>E6+E11+E12</f>
        <v>1002576.48</v>
      </c>
      <c r="G13" s="347" t="s">
        <v>157</v>
      </c>
      <c r="H13" s="349">
        <f>SUM(H6,H12)</f>
        <v>457383</v>
      </c>
      <c r="I13" s="348">
        <f>I6+I11+I12</f>
        <v>7528.8799999999992</v>
      </c>
      <c r="J13" s="349" t="e">
        <f>J11+J12+#REF!</f>
        <v>#REF!</v>
      </c>
      <c r="K13" s="349">
        <f>K6+K11+K12</f>
        <v>1002576.48</v>
      </c>
      <c r="M13" s="347" t="s">
        <v>157</v>
      </c>
      <c r="N13" s="349">
        <f>SUM(N6,N18)</f>
        <v>457383</v>
      </c>
      <c r="O13" s="348">
        <f>O6+O11+O18</f>
        <v>7528.8799999999992</v>
      </c>
      <c r="P13" s="349" t="e">
        <f>P11+P18+#REF!</f>
        <v>#REF!</v>
      </c>
      <c r="Q13" s="349">
        <f>SUM(Q6,Q11)</f>
        <v>1002576.48</v>
      </c>
    </row>
    <row r="18" spans="13:17" x14ac:dyDescent="0.25">
      <c r="M18" s="341" t="s">
        <v>180</v>
      </c>
      <c r="N18" s="343"/>
      <c r="O18" s="342">
        <v>1178.81</v>
      </c>
      <c r="P18" s="340">
        <f>O18*141.75</f>
        <v>167096.3175</v>
      </c>
      <c r="Q18" s="340">
        <f>P18/2</f>
        <v>83548.158750000002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Custo </vt:lpstr>
      <vt:lpstr>Forecast (DRAFT) Resumido</vt:lpstr>
      <vt:lpstr>Racional PT 83909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profile</cp:lastModifiedBy>
  <cp:lastPrinted>2014-04-14T13:11:56Z</cp:lastPrinted>
  <dcterms:created xsi:type="dcterms:W3CDTF">2014-03-13T13:17:15Z</dcterms:created>
  <dcterms:modified xsi:type="dcterms:W3CDTF">2014-05-19T19:42:55Z</dcterms:modified>
</cp:coreProperties>
</file>