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15" windowWidth="14355" windowHeight="3630"/>
  </bookViews>
  <sheets>
    <sheet name="Custo " sheetId="3" r:id="rId1"/>
    <sheet name="Forecast (DRAFT) Resumido" sheetId="8" r:id="rId2"/>
    <sheet name="Racional Custo Final" sheetId="9" r:id="rId3"/>
  </sheets>
  <definedNames>
    <definedName name="_xlnm._FilterDatabase" localSheetId="1" hidden="1">'Forecast (DRAFT) Resumido'!$A$4:$Z$4</definedName>
  </definedNames>
  <calcPr calcId="145621"/>
</workbook>
</file>

<file path=xl/calcChain.xml><?xml version="1.0" encoding="utf-8"?>
<calcChain xmlns="http://schemas.openxmlformats.org/spreadsheetml/2006/main">
  <c r="O74" i="3" l="1"/>
  <c r="O75" i="3" l="1"/>
  <c r="O77" i="3"/>
  <c r="O76" i="3"/>
  <c r="O104" i="3" l="1"/>
  <c r="O100" i="3"/>
  <c r="O99" i="3"/>
  <c r="O97" i="3"/>
  <c r="O98" i="3"/>
  <c r="O73" i="3" l="1"/>
  <c r="G23" i="9"/>
  <c r="E23" i="9"/>
  <c r="O80" i="3" l="1"/>
  <c r="O83" i="3" s="1"/>
  <c r="G3" i="9" l="1"/>
  <c r="I34" i="9"/>
  <c r="I33" i="9"/>
  <c r="I27" i="9"/>
  <c r="I28" i="9"/>
  <c r="I29" i="9"/>
  <c r="I25" i="9"/>
  <c r="G35" i="9"/>
  <c r="E31" i="9"/>
  <c r="I31" i="9" s="1"/>
  <c r="I21" i="9"/>
  <c r="G12" i="9"/>
  <c r="I12" i="9" s="1"/>
  <c r="I14" i="9"/>
  <c r="I10" i="9"/>
  <c r="I6" i="9"/>
  <c r="I7" i="9"/>
  <c r="I8" i="9"/>
  <c r="I5" i="9"/>
  <c r="E18" i="9"/>
  <c r="E17" i="9"/>
  <c r="E16" i="9"/>
  <c r="I3" i="9" l="1"/>
  <c r="E37" i="9" l="1"/>
  <c r="H36" i="3"/>
  <c r="H37" i="3"/>
  <c r="H38" i="3"/>
  <c r="H39" i="3"/>
  <c r="H28" i="3"/>
  <c r="N28" i="3"/>
  <c r="L19" i="3"/>
  <c r="I23" i="9" l="1"/>
  <c r="G37" i="9"/>
  <c r="N13" i="3"/>
  <c r="N17" i="3"/>
  <c r="L17" i="3"/>
  <c r="O54" i="3" l="1"/>
  <c r="O67" i="3"/>
  <c r="O63" i="3" l="1"/>
  <c r="Q63" i="3" s="1"/>
  <c r="I86" i="3" l="1"/>
  <c r="O79" i="3"/>
  <c r="O68" i="3"/>
  <c r="O70" i="3"/>
  <c r="O64" i="3"/>
  <c r="O60" i="3"/>
  <c r="O58" i="3"/>
  <c r="O57" i="3"/>
  <c r="O48" i="3"/>
  <c r="O50" i="3"/>
  <c r="O49" i="3"/>
  <c r="R8" i="3"/>
  <c r="R13" i="3" s="1"/>
  <c r="R11" i="3"/>
  <c r="R9" i="3"/>
  <c r="R15" i="3" s="1"/>
  <c r="R6" i="3"/>
  <c r="G6" i="3"/>
  <c r="G7" i="3"/>
  <c r="G8" i="3"/>
  <c r="G10" i="3"/>
  <c r="G11" i="3"/>
  <c r="G21" i="3"/>
  <c r="G23" i="3"/>
  <c r="G24" i="3"/>
  <c r="G25" i="3"/>
  <c r="G26" i="3"/>
  <c r="G30" i="3"/>
  <c r="G31" i="3"/>
  <c r="G32" i="3"/>
  <c r="G34" i="3"/>
  <c r="G36" i="3"/>
  <c r="G39" i="3" s="1"/>
  <c r="G37" i="3"/>
  <c r="G38" i="3"/>
  <c r="G54" i="3"/>
  <c r="G4" i="3" s="1"/>
  <c r="G64" i="3"/>
  <c r="G15" i="3" s="1"/>
  <c r="G70" i="3"/>
  <c r="G17" i="3" s="1"/>
  <c r="G87" i="3"/>
  <c r="G94" i="3"/>
  <c r="G28" i="3" s="1"/>
  <c r="H6" i="3"/>
  <c r="H7" i="3"/>
  <c r="H8" i="3"/>
  <c r="H21" i="3"/>
  <c r="H23" i="3"/>
  <c r="H24" i="3"/>
  <c r="H25" i="3"/>
  <c r="H31" i="3"/>
  <c r="H54" i="3"/>
  <c r="H60" i="3"/>
  <c r="H13" i="3" s="1"/>
  <c r="H64" i="3"/>
  <c r="H15" i="3" s="1"/>
  <c r="H70" i="3"/>
  <c r="H17" i="3" s="1"/>
  <c r="H26" i="3"/>
  <c r="H94" i="3"/>
  <c r="H105" i="3"/>
  <c r="H119" i="3"/>
  <c r="H120" i="3" s="1"/>
  <c r="R12" i="3" l="1"/>
  <c r="G19" i="3"/>
  <c r="R14" i="3"/>
  <c r="H4" i="3"/>
  <c r="H34" i="3"/>
  <c r="H19" i="3"/>
  <c r="N19" i="3" s="1"/>
  <c r="H106" i="3"/>
  <c r="H87" i="3"/>
  <c r="I25" i="3"/>
  <c r="I23" i="3"/>
  <c r="I21" i="3"/>
  <c r="I116" i="3"/>
  <c r="I115" i="3"/>
  <c r="I114" i="3"/>
  <c r="I111" i="3"/>
  <c r="I110" i="3"/>
  <c r="I104" i="3"/>
  <c r="I103" i="3"/>
  <c r="I102" i="3"/>
  <c r="I101" i="3"/>
  <c r="I100" i="3"/>
  <c r="I97" i="3"/>
  <c r="I36" i="3" s="1"/>
  <c r="I93" i="3"/>
  <c r="I92" i="3"/>
  <c r="I90" i="3"/>
  <c r="I53" i="3"/>
  <c r="I52" i="3"/>
  <c r="I51" i="3"/>
  <c r="I8" i="3" s="1"/>
  <c r="I50" i="3"/>
  <c r="I49" i="3"/>
  <c r="I48" i="3"/>
  <c r="I59" i="3"/>
  <c r="I58" i="3"/>
  <c r="R7" i="3" s="1"/>
  <c r="I57" i="3"/>
  <c r="I63" i="3"/>
  <c r="I64" i="3" s="1"/>
  <c r="I68" i="3"/>
  <c r="I67" i="3"/>
  <c r="L6" i="3"/>
  <c r="AE52" i="8"/>
  <c r="AF47" i="8"/>
  <c r="AE47" i="8"/>
  <c r="W8" i="8"/>
  <c r="AE60" i="8"/>
  <c r="AA38" i="8"/>
  <c r="I26" i="3"/>
  <c r="I24" i="3"/>
  <c r="H40" i="3" l="1"/>
  <c r="L4" i="3"/>
  <c r="I70" i="3"/>
  <c r="I6" i="3"/>
  <c r="I7" i="3"/>
  <c r="I31" i="3"/>
  <c r="I119" i="3"/>
  <c r="I60" i="3"/>
  <c r="I94" i="3"/>
  <c r="I54" i="3"/>
  <c r="I87" i="3"/>
  <c r="I19" i="3"/>
  <c r="L60" i="3" l="1"/>
  <c r="L54" i="3"/>
  <c r="L64" i="3"/>
  <c r="L15" i="3" s="1"/>
  <c r="L40" i="3" l="1"/>
  <c r="M63" i="3"/>
  <c r="AF49" i="8" l="1"/>
  <c r="AH50" i="8"/>
  <c r="AH49" i="8"/>
  <c r="F37" i="3" l="1"/>
  <c r="I120" i="3" l="1"/>
  <c r="I105" i="3"/>
  <c r="I39" i="3" s="1"/>
  <c r="AE51" i="8"/>
  <c r="AH51" i="8" s="1"/>
  <c r="AE50" i="8"/>
  <c r="AE49" i="8"/>
  <c r="AC48" i="8"/>
  <c r="AC47" i="8"/>
  <c r="AA16" i="8"/>
  <c r="AA14" i="8"/>
  <c r="AA12" i="8"/>
  <c r="I106" i="3" l="1"/>
  <c r="K18" i="8"/>
  <c r="K8" i="8"/>
  <c r="K7" i="8"/>
  <c r="Z5" i="8"/>
  <c r="Y5" i="8"/>
  <c r="X5" i="8"/>
  <c r="W5" i="8"/>
  <c r="V5" i="8"/>
  <c r="U5" i="8"/>
  <c r="T5" i="8"/>
  <c r="S5" i="8"/>
  <c r="R5" i="8"/>
  <c r="Q5" i="8"/>
  <c r="P5" i="8"/>
  <c r="O5" i="8"/>
  <c r="N5" i="8"/>
  <c r="L5" i="8"/>
  <c r="K5" i="8"/>
  <c r="K37" i="8"/>
  <c r="K36" i="8"/>
  <c r="K16" i="8"/>
  <c r="I14" i="8"/>
  <c r="I12" i="8"/>
  <c r="I34" i="8"/>
  <c r="G34" i="8"/>
  <c r="I33" i="8"/>
  <c r="G33" i="8"/>
  <c r="I32" i="8"/>
  <c r="G32" i="8"/>
  <c r="I31" i="8"/>
  <c r="G31" i="8"/>
  <c r="I30" i="8"/>
  <c r="G30" i="8"/>
  <c r="I29" i="8"/>
  <c r="G29" i="8"/>
  <c r="I34" i="3" l="1"/>
  <c r="I40" i="3" s="1"/>
  <c r="O38" i="8"/>
  <c r="AE53" i="8"/>
  <c r="V38" i="8"/>
  <c r="AF53" i="8"/>
  <c r="P29" i="8"/>
  <c r="T29" i="8"/>
  <c r="Q29" i="8"/>
  <c r="R29" i="8"/>
  <c r="S29" i="8"/>
  <c r="R31" i="8"/>
  <c r="T31" i="8"/>
  <c r="S31" i="8"/>
  <c r="W33" i="8"/>
  <c r="R33" i="8"/>
  <c r="T33" i="8"/>
  <c r="S33" i="8"/>
  <c r="P33" i="8"/>
  <c r="Q33" i="8"/>
  <c r="R30" i="8"/>
  <c r="S30" i="8"/>
  <c r="T30" i="8"/>
  <c r="R32" i="8"/>
  <c r="S32" i="8"/>
  <c r="T32" i="8"/>
  <c r="T34" i="8"/>
  <c r="R34" i="8"/>
  <c r="S34" i="8"/>
  <c r="W38" i="8"/>
  <c r="K1" i="8"/>
  <c r="I36" i="8"/>
  <c r="I37" i="8"/>
  <c r="I16" i="8"/>
  <c r="M33" i="8"/>
  <c r="M31" i="8"/>
  <c r="W31" i="8"/>
  <c r="N32" i="8"/>
  <c r="M30" i="8"/>
  <c r="W30" i="8"/>
  <c r="N31" i="8"/>
  <c r="W32" i="8"/>
  <c r="N33" i="8"/>
  <c r="N30" i="8"/>
  <c r="M32" i="8"/>
  <c r="W29" i="8"/>
  <c r="M29" i="8"/>
  <c r="M34" i="8"/>
  <c r="N29" i="8"/>
  <c r="N34" i="8"/>
  <c r="W34" i="8"/>
  <c r="AH53" i="8" l="1"/>
  <c r="M18" i="8"/>
  <c r="P24" i="8"/>
  <c r="Q24" i="8"/>
  <c r="M24" i="8"/>
  <c r="S18" i="8"/>
  <c r="S24" i="8"/>
  <c r="R24" i="8"/>
  <c r="Q18" i="8"/>
  <c r="N18" i="8"/>
  <c r="T18" i="8"/>
  <c r="I38" i="8"/>
  <c r="P18" i="8"/>
  <c r="R18" i="8"/>
  <c r="G35" i="8" l="1"/>
  <c r="T24" i="8"/>
  <c r="F32" i="3" l="1"/>
  <c r="N6" i="3" l="1"/>
  <c r="F10" i="3"/>
  <c r="I9" i="8" l="1"/>
  <c r="AE48" i="8" s="1"/>
  <c r="AH48" i="8" s="1"/>
  <c r="I5" i="8"/>
  <c r="M5" i="8" l="1"/>
  <c r="F64" i="3"/>
  <c r="F15" i="3" s="1"/>
  <c r="F38" i="3"/>
  <c r="F36" i="3"/>
  <c r="F31" i="3"/>
  <c r="F30" i="3"/>
  <c r="F26" i="3"/>
  <c r="F25" i="3"/>
  <c r="F24" i="3"/>
  <c r="F23" i="3"/>
  <c r="F21" i="3"/>
  <c r="F7" i="3"/>
  <c r="F6" i="3"/>
  <c r="N7" i="3"/>
  <c r="F8" i="3"/>
  <c r="F11" i="3"/>
  <c r="V23" i="8"/>
  <c r="F34" i="3"/>
  <c r="F94" i="3"/>
  <c r="F28" i="3" s="1"/>
  <c r="F87" i="3"/>
  <c r="F70" i="3"/>
  <c r="F17" i="3" s="1"/>
  <c r="N15" i="3"/>
  <c r="F60" i="3"/>
  <c r="G60" i="3" s="1"/>
  <c r="G13" i="3" s="1"/>
  <c r="G40" i="3" s="1"/>
  <c r="F54" i="3"/>
  <c r="F4" i="3" s="1"/>
  <c r="AF52" i="8" l="1"/>
  <c r="AH52" i="8" s="1"/>
  <c r="AF60" i="8"/>
  <c r="G26" i="8"/>
  <c r="I26" i="8" s="1"/>
  <c r="G28" i="8"/>
  <c r="I28" i="8" s="1"/>
  <c r="W28" i="8" s="1"/>
  <c r="G27" i="8"/>
  <c r="I27" i="8" s="1"/>
  <c r="V27" i="8" s="1"/>
  <c r="I35" i="8"/>
  <c r="V35" i="8" s="1"/>
  <c r="V24" i="8" s="1"/>
  <c r="I8" i="8"/>
  <c r="F19" i="3"/>
  <c r="N4" i="3"/>
  <c r="F39" i="3"/>
  <c r="F13" i="3"/>
  <c r="P10" i="8" l="1"/>
  <c r="P1" i="8" s="1"/>
  <c r="W24" i="8"/>
  <c r="W18" i="8"/>
  <c r="V18" i="8"/>
  <c r="O26" i="8"/>
  <c r="I18" i="8"/>
  <c r="F40" i="3"/>
  <c r="AF28" i="8" l="1"/>
  <c r="AF33" i="8" s="1"/>
  <c r="O10" i="8"/>
  <c r="U10" i="8"/>
  <c r="L10" i="8"/>
  <c r="Z10" i="8"/>
  <c r="Z1" i="8" s="1"/>
  <c r="U24" i="8"/>
  <c r="Q10" i="8"/>
  <c r="Q1" i="8" s="1"/>
  <c r="S10" i="8"/>
  <c r="S1" i="8" s="1"/>
  <c r="N10" i="8"/>
  <c r="N1" i="8" s="1"/>
  <c r="X10" i="8"/>
  <c r="Y10" i="8"/>
  <c r="Y1" i="8" s="1"/>
  <c r="V10" i="8"/>
  <c r="V1" i="8" s="1"/>
  <c r="I7" i="8"/>
  <c r="O18" i="8"/>
  <c r="AE28" i="8" s="1"/>
  <c r="AE33" i="8" s="1"/>
  <c r="R10" i="8"/>
  <c r="R1" i="8" s="1"/>
  <c r="M10" i="8"/>
  <c r="M1" i="8" s="1"/>
  <c r="W10" i="8"/>
  <c r="W1" i="8" s="1"/>
  <c r="X1" i="8" l="1"/>
  <c r="AA10" i="8"/>
  <c r="T10" i="8"/>
  <c r="T1" i="8" s="1"/>
  <c r="AF55" i="8"/>
  <c r="AF63" i="8" s="1"/>
  <c r="L1" i="8"/>
  <c r="O24" i="8"/>
  <c r="AA24" i="8" s="1"/>
  <c r="AH60" i="8"/>
  <c r="U1" i="8"/>
  <c r="AA41" i="8" l="1"/>
  <c r="AE55" i="8"/>
  <c r="AE63" i="8" s="1"/>
  <c r="AH63" i="8" s="1"/>
  <c r="AH47" i="8"/>
  <c r="AH55" i="8" s="1"/>
  <c r="I3" i="8"/>
  <c r="O1" i="8"/>
  <c r="I1" i="8" s="1"/>
  <c r="I2" i="8" l="1"/>
</calcChain>
</file>

<file path=xl/sharedStrings.xml><?xml version="1.0" encoding="utf-8"?>
<sst xmlns="http://schemas.openxmlformats.org/spreadsheetml/2006/main" count="475" uniqueCount="229">
  <si>
    <t>84137 - Instalação RAID 7.0 Vanila</t>
  </si>
  <si>
    <t>Fornecedor</t>
  </si>
  <si>
    <t>Instalação Vanila Tráfego</t>
  </si>
  <si>
    <t>WEDO</t>
  </si>
  <si>
    <t>Instalação Vanila Integridade</t>
  </si>
  <si>
    <t>INFRA</t>
  </si>
  <si>
    <t>Gestão ( PMO )</t>
  </si>
  <si>
    <t>OI</t>
  </si>
  <si>
    <t>Construção JOBS Transmissão e OP</t>
  </si>
  <si>
    <t>Licenças Connect, Pelican, Control e etc.</t>
  </si>
  <si>
    <t>83882 - Volumetria R2 ( F+M )</t>
  </si>
  <si>
    <t>desenvolvimento WEDO</t>
  </si>
  <si>
    <t>suporte a testes (SFA, DETRAF, CPM e GENEVA )</t>
  </si>
  <si>
    <t>IBM</t>
  </si>
  <si>
    <t>suporte a testes ( mediação )</t>
  </si>
  <si>
    <t>83909 - Volumetria R1 ( M )</t>
  </si>
  <si>
    <t>Desenvolvimento SCF1</t>
  </si>
  <si>
    <t>Valor/hora WEDO</t>
  </si>
  <si>
    <t>desenvolvimento WEDO ( controles atuais )</t>
  </si>
  <si>
    <t>desenvolvimento WEDO ( pts )</t>
  </si>
  <si>
    <t>desenvolvimento WEDO ( 4 novos controles )</t>
  </si>
  <si>
    <t>Integração Informática ( controles atuais + novos )</t>
  </si>
  <si>
    <t>ACC</t>
  </si>
  <si>
    <t>Desenvolvimento ARBOR (dados de cadastro)</t>
  </si>
  <si>
    <t>Engenharia ( HLR Workstation)</t>
  </si>
  <si>
    <t>NOKIA</t>
  </si>
  <si>
    <t>Desenvolvimento SLB ( novos controles )</t>
  </si>
  <si>
    <t>Desenvolvimento SISRAF cadastro( novos controles )</t>
  </si>
  <si>
    <t>Testes Integrados</t>
  </si>
  <si>
    <t>Desenvolvimento WEDO ( controle CRMxREDE )</t>
  </si>
  <si>
    <t>Engenharia</t>
  </si>
  <si>
    <t>Desenvolvimento Central AXE/EWSD R2( MASC )</t>
  </si>
  <si>
    <t>Desenvolvimento WEDO ( controle CRMxFatura )</t>
  </si>
  <si>
    <t>Desenvolvimento WEDO ( Trafego Offnet )</t>
  </si>
  <si>
    <t>Infra para novas interfaces de fatura</t>
  </si>
  <si>
    <t>Desenvolvimento ARBOR ( dados de fatura )</t>
  </si>
  <si>
    <t>Desenvolvimento SFA ( dados de fatura)</t>
  </si>
  <si>
    <t>Testes integrados novas interfaces</t>
  </si>
  <si>
    <t>Instalação Tráfego + Integridade</t>
  </si>
  <si>
    <t>HW/Infra</t>
  </si>
  <si>
    <t>Serviços de instalação vanila (WEDO)</t>
  </si>
  <si>
    <t>Gestão PMO (15 meses)</t>
  </si>
  <si>
    <t>Instalação IM</t>
  </si>
  <si>
    <t>Serviços de instalação IM (WEDO)</t>
  </si>
  <si>
    <t>Migração e ajustes dos controles atuais</t>
  </si>
  <si>
    <t>Criação de 4 novos controles integridade (cadastro)</t>
  </si>
  <si>
    <t>Desenvolvimento WEDO (novos controles)</t>
  </si>
  <si>
    <t>Desenvolvimento interfaces(SAC/SFA/STC/SBL/ARB/SISRAF/INF)</t>
  </si>
  <si>
    <t>Novas interfaces e Controles CRMxREDE</t>
  </si>
  <si>
    <t>Novas interfaces e Controles CRMxFATURA</t>
  </si>
  <si>
    <t>Desenvolvimento (ARB/SAC/SFA/STC/INF)</t>
  </si>
  <si>
    <t>TOTAL</t>
  </si>
  <si>
    <t>TOTAL 84137</t>
  </si>
  <si>
    <t>TOTAL 83882</t>
  </si>
  <si>
    <t>TOTAL 83909</t>
  </si>
  <si>
    <t>TOTAL 83907</t>
  </si>
  <si>
    <t xml:space="preserve"> OUT/2013</t>
  </si>
  <si>
    <t xml:space="preserve"> DEZ/2013</t>
  </si>
  <si>
    <t>OG "as is"</t>
  </si>
  <si>
    <t>OG "as is"+ 4pts Sox</t>
  </si>
  <si>
    <t xml:space="preserve">ME (CSOL) </t>
  </si>
  <si>
    <t>Visão Detalhada</t>
  </si>
  <si>
    <t>84710 - PROJETO SINERGIA Oi-PT [RA]: R1/R2/R3 - Fixo e Móvel - Migração dos Controles Atuais de Integridade do RAID atual</t>
  </si>
  <si>
    <t>TOTAL 84710</t>
  </si>
  <si>
    <t>TOTAL 84711</t>
  </si>
  <si>
    <t>TOTAL 84728</t>
  </si>
  <si>
    <t>84711 - PROJETO SINERGIA Oi-PT [RA]: R1/R2/R3 - Fixo e Móvel - Migração dos Controles SOx de Integridade do RAID atual</t>
  </si>
  <si>
    <t>84728 - PROJETO SINERGIA Oi-PT [RA]: R1/R2/R3 - Fixo e Móvel - Criação de Interfaces e Controles Novos de Integridade no RAID</t>
  </si>
  <si>
    <t>Desenvolvimento Engenharia (HLR - NOKIA)</t>
  </si>
  <si>
    <t>TI</t>
  </si>
  <si>
    <t>Visão Resumida - PROJETO SINERGIA Oi-PT [RA]: R1/R2/R3 - Fixo e Móvel</t>
  </si>
  <si>
    <t>Desenvolvimento WEDO (controles + pts)</t>
  </si>
  <si>
    <t>Desenvolvimento STC cadastro ( novos controles )</t>
  </si>
  <si>
    <t>Mar</t>
  </si>
  <si>
    <t>Mai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</si>
  <si>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</si>
  <si>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</si>
  <si>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</si>
  <si>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</si>
  <si>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</si>
  <si>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</si>
  <si>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</si>
  <si>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</si>
  <si>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</si>
  <si>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Aprovação Financeira</t>
  </si>
  <si>
    <t>Migração de Dados para o RAID 7</t>
  </si>
  <si>
    <t xml:space="preserve">ME $ (CSOL) </t>
  </si>
  <si>
    <t xml:space="preserve">ME Prazo (CSOL) </t>
  </si>
  <si>
    <t xml:space="preserve">1 mês </t>
  </si>
  <si>
    <t>6 meses</t>
  </si>
  <si>
    <t>Desenvolvimento WEDO</t>
  </si>
  <si>
    <t>Desenvolvimento Central Tropico R1( SYS )</t>
  </si>
  <si>
    <t>Desenvolvimento Accenture (SYS/MASC)</t>
  </si>
  <si>
    <t>8 meses</t>
  </si>
  <si>
    <t>Desenvolvimento Engenharia(7IP)</t>
  </si>
  <si>
    <t>SBL</t>
  </si>
  <si>
    <t>STC</t>
  </si>
  <si>
    <t>SISRAF</t>
  </si>
  <si>
    <t>ARBOR R1</t>
  </si>
  <si>
    <t>INFORMÁTICA</t>
  </si>
  <si>
    <t>SAC / SFA / GENEVA</t>
  </si>
  <si>
    <r>
      <t xml:space="preserve">84728 -[Grupo IV] - Criação de Interf./Controles Novos de Integridade RAID </t>
    </r>
    <r>
      <rPr>
        <b/>
        <sz val="9"/>
        <color rgb="FFFF0000"/>
        <rFont val="Century Gothic"/>
        <family val="2"/>
      </rPr>
      <t>(Ñ FECHADO)</t>
    </r>
  </si>
  <si>
    <t>Abr</t>
  </si>
  <si>
    <t>SYS / MASC</t>
  </si>
  <si>
    <t>7 meses</t>
  </si>
  <si>
    <r>
      <t xml:space="preserve">83907 - Melhorias eCDR Legado </t>
    </r>
    <r>
      <rPr>
        <b/>
        <sz val="11"/>
        <color rgb="FFFF0000"/>
        <rFont val="Calibri"/>
        <family val="2"/>
        <scheme val="minor"/>
      </rPr>
      <t xml:space="preserve"> ( migração RAID 7)</t>
    </r>
  </si>
  <si>
    <t>83907 - Melhorias eCDR Legado (com migração para RAID 7)</t>
  </si>
  <si>
    <t xml:space="preserve">84710 - [GRUPO 1 e 2] - Migração dos Controles Atuais de Integridade do RAID </t>
  </si>
  <si>
    <t xml:space="preserve">84711 - [GRUPO 3] - Migração dos Controles SOx de Integridade do RAID atual </t>
  </si>
  <si>
    <t>Desenvolvimento SAC cadastro( novos controles )</t>
  </si>
  <si>
    <t>Desenvolvimento SFA cadastro( novos controles )</t>
  </si>
  <si>
    <t>Desenvolvimento GENEVA cadastro( novos controles )</t>
  </si>
  <si>
    <t>Desenvolvimento SISRAF (dados de fatura)</t>
  </si>
  <si>
    <t>Infra</t>
  </si>
  <si>
    <t>PMO</t>
  </si>
  <si>
    <t>Final Mai/14</t>
  </si>
  <si>
    <t>1 mês</t>
  </si>
  <si>
    <t>STI</t>
  </si>
  <si>
    <t>Milestone Desembolso</t>
  </si>
  <si>
    <t>Vanila</t>
  </si>
  <si>
    <t>Aprovação Fin (30%)</t>
  </si>
  <si>
    <t>Volumetria R2 ( F+M )</t>
  </si>
  <si>
    <t>PRD (30%)</t>
  </si>
  <si>
    <t>Pós PRD (40%)</t>
  </si>
  <si>
    <t>Custo Total da OG/Forn</t>
  </si>
  <si>
    <r>
      <t xml:space="preserve">Período </t>
    </r>
    <r>
      <rPr>
        <b/>
        <sz val="9"/>
        <color rgb="FFFF0000"/>
        <rFont val="Calibri"/>
        <family val="2"/>
        <scheme val="minor"/>
      </rPr>
      <t>OG</t>
    </r>
  </si>
  <si>
    <r>
      <t xml:space="preserve">Custo Total </t>
    </r>
    <r>
      <rPr>
        <b/>
        <sz val="9"/>
        <color rgb="FFFF0000"/>
        <rFont val="Calibri"/>
        <family val="2"/>
        <scheme val="minor"/>
      </rPr>
      <t>OG</t>
    </r>
  </si>
  <si>
    <t>Tráfego ARBOR</t>
  </si>
  <si>
    <t>Integridade - GRUPO 1 e 2</t>
  </si>
  <si>
    <t>Sistema</t>
  </si>
  <si>
    <t>RAID</t>
  </si>
  <si>
    <t>Accenture</t>
  </si>
  <si>
    <t>8 meses (Baseline)</t>
  </si>
  <si>
    <t>6 meses (Baseline)</t>
  </si>
  <si>
    <t>IBM / Accenture</t>
  </si>
  <si>
    <t>Priorizado?</t>
  </si>
  <si>
    <t>Não</t>
  </si>
  <si>
    <t>Sim</t>
  </si>
  <si>
    <t>Aprv. Fin. Jul/14</t>
  </si>
  <si>
    <t>Total 2014</t>
  </si>
  <si>
    <t>Total 2015</t>
  </si>
  <si>
    <t>Atenção: A projeção abaixo é baseada em Ogs de prazo e custo</t>
  </si>
  <si>
    <t>Descrição</t>
  </si>
  <si>
    <t xml:space="preserve">TOTAL </t>
  </si>
  <si>
    <t>TI (IBM/ACC)</t>
  </si>
  <si>
    <t>HW/Infra STI 84200</t>
  </si>
  <si>
    <t>STI 84137 e 84200
Vanila e Infra</t>
  </si>
  <si>
    <t>STI 83882 
Volumetria R2 ( F+M )</t>
  </si>
  <si>
    <t>STI 83909 
Tráfego ARBOR</t>
  </si>
  <si>
    <t>STI Tráfego ECDR</t>
  </si>
  <si>
    <t>STI 84710
Integridade - Grupos
 1 e 2</t>
  </si>
  <si>
    <t>STI 84711
Integridade - Grupo 3</t>
  </si>
  <si>
    <t>Totais</t>
  </si>
  <si>
    <t>Integridade - Grupos 1 e 2</t>
  </si>
  <si>
    <t>TOTAL GERAL</t>
  </si>
  <si>
    <t>STI não priorizado</t>
  </si>
  <si>
    <t>STIs priorizados</t>
  </si>
  <si>
    <t>Informática</t>
  </si>
  <si>
    <t>Desenvolvimento ARBOR ( dados de No Bill)</t>
  </si>
  <si>
    <t>Total</t>
  </si>
  <si>
    <t>Engenharia (7IP )      - R$ 250.000</t>
  </si>
  <si>
    <t xml:space="preserve"> Abr/2014</t>
  </si>
  <si>
    <t>Proposta Comercial</t>
  </si>
  <si>
    <t>Integração Informática ( consolidação ARBOR)</t>
  </si>
  <si>
    <t>ME (CDSOL)</t>
  </si>
  <si>
    <t>ME $ (CSOL) - Solução ARBOR Arquitetura</t>
  </si>
  <si>
    <t>Integridade - Grupo 3</t>
  </si>
  <si>
    <t>Variação</t>
  </si>
  <si>
    <t>Custo Final</t>
  </si>
  <si>
    <t>Maio/14 Sol. Arquitetura</t>
  </si>
  <si>
    <t>Informática para tratamento feed file</t>
  </si>
  <si>
    <t>Desenvolvimento ARBOR (arquivo final RAID)</t>
  </si>
  <si>
    <t>Desenvolvimento ARBOR ( Informações feed file )</t>
  </si>
  <si>
    <t>TBD</t>
  </si>
  <si>
    <t>Ficha ME</t>
  </si>
  <si>
    <t>Serviço WEDO</t>
  </si>
  <si>
    <t>Serviço IBM</t>
  </si>
  <si>
    <t>Teste integrado IBM</t>
  </si>
  <si>
    <t>Valor</t>
  </si>
  <si>
    <t>Serviço ACC II</t>
  </si>
  <si>
    <t>Serviço ACC IV</t>
  </si>
  <si>
    <t>Teste Integrado ACC II</t>
  </si>
  <si>
    <t>Teste integrado ACC IV</t>
  </si>
  <si>
    <t>HW IP + UC - STI 84200</t>
  </si>
  <si>
    <t>ME Infra</t>
  </si>
  <si>
    <t>ME WEDO</t>
  </si>
  <si>
    <t>ME Gestão</t>
  </si>
  <si>
    <t>ME IBM</t>
  </si>
  <si>
    <t>ME 84137 e 84200</t>
  </si>
  <si>
    <t>ME 83882</t>
  </si>
  <si>
    <t>ME 83909</t>
  </si>
  <si>
    <t>ME 83907</t>
  </si>
  <si>
    <t>ME 84710</t>
  </si>
  <si>
    <t>ME ACC II</t>
  </si>
  <si>
    <t>ME TI ACC II</t>
  </si>
  <si>
    <t>ME TI IBM</t>
  </si>
  <si>
    <t>ME 84711</t>
  </si>
  <si>
    <t xml:space="preserve">R$       286.463,99 </t>
  </si>
  <si>
    <t>ME ACC IV</t>
  </si>
  <si>
    <t xml:space="preserve">R$       698.774,50 </t>
  </si>
  <si>
    <t>ME TI ACC IV</t>
  </si>
  <si>
    <t xml:space="preserve">R$       209.632,35 </t>
  </si>
  <si>
    <t xml:space="preserve">R$         1.194.871 </t>
  </si>
  <si>
    <t>ME Operação</t>
  </si>
  <si>
    <t>Serviços de criação de cadeias e operação</t>
  </si>
  <si>
    <t>Racional de variação ME e CF</t>
  </si>
  <si>
    <t>Justificativa</t>
  </si>
  <si>
    <t>Testes Integrados (Baseline ACC)</t>
  </si>
  <si>
    <t>Desenvolvimento WEDO (AS IS)</t>
  </si>
  <si>
    <t>Novas Funcionalidades</t>
  </si>
  <si>
    <t>Balde Aging</t>
  </si>
  <si>
    <t>Conciliação de CDR (carga+consulta)</t>
  </si>
  <si>
    <t>Dashboard Margem</t>
  </si>
  <si>
    <t>Gestão</t>
  </si>
  <si>
    <t>-</t>
  </si>
  <si>
    <t>Variação do custo devido a testes de "HA"</t>
  </si>
  <si>
    <t>Variação do custo de infra devido a requisitos de "HA"</t>
  </si>
  <si>
    <t>sem variação</t>
  </si>
  <si>
    <t>variação devido a ajustes de controles atuais</t>
  </si>
  <si>
    <t>Nova funcionalidade solicitada pelo cliente</t>
  </si>
  <si>
    <t>Variação devido a ajustes de controles atuais</t>
  </si>
  <si>
    <t>sem variação até o momento</t>
  </si>
  <si>
    <t>Incluido esforço de testes integrados</t>
  </si>
  <si>
    <t>Ficha Financeira</t>
  </si>
  <si>
    <t>ME Ficha/CF</t>
  </si>
  <si>
    <t>ajuste no calculo de testes integrados</t>
  </si>
  <si>
    <t>ME  ACC II</t>
  </si>
  <si>
    <t xml:space="preserve">ME TI </t>
  </si>
  <si>
    <t>ME 84728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</si>
</sst>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R$&quot;\ #,##0;\-&quot;R$&quot;\ #,##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[$-416]d\-mmm;@"/>
    <numFmt numFmtId="166" formatCode="&quot;R$&quot;\ #,##0.00"/>
    <numFmt numFmtId="167" formatCode="_-* #,##0_-;\-* #,##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0"/>
      <name val="Century Gothic"/>
      <family val="2"/>
    </font>
    <font>
      <b/>
      <sz val="9"/>
      <color theme="1"/>
      <name val="Century Gothic"/>
      <family val="2"/>
    </font>
    <font>
      <sz val="9"/>
      <color rgb="FF002060"/>
      <name val="Century Gothic"/>
      <family val="2"/>
    </font>
    <font>
      <i/>
      <sz val="9"/>
      <color theme="1"/>
      <name val="Century Gothic"/>
      <family val="2"/>
    </font>
    <font>
      <i/>
      <sz val="9"/>
      <name val="Century Gothic"/>
      <family val="2"/>
    </font>
    <font>
      <sz val="9"/>
      <color theme="1"/>
      <name val="Century Gothic"/>
      <family val="2"/>
    </font>
    <font>
      <b/>
      <sz val="9"/>
      <color rgb="FFFF0000"/>
      <name val="Century Gothic"/>
      <family val="2"/>
    </font>
    <font>
      <i/>
      <sz val="9"/>
      <color rgb="FFFF0000"/>
      <name val="Century Gothic"/>
      <family val="2"/>
    </font>
    <font>
      <b/>
      <sz val="16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FFFF00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b/>
      <sz val="11"/>
      <color rgb="FF0070C0"/>
      <name val="Century Gothic"/>
      <family val="2"/>
    </font>
    <font>
      <b/>
      <sz val="9"/>
      <color theme="4" tint="-0.499984740745262"/>
      <name val="Century Gothic"/>
      <family val="2"/>
    </font>
    <font>
      <b/>
      <sz val="11"/>
      <color rgb="FF0070C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FF00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9"/>
      <name val="Century Gothic"/>
      <family val="2"/>
    </font>
    <font>
      <b/>
      <sz val="14"/>
      <color rgb="FF00B050"/>
      <name val="Century Gothic"/>
      <family val="2"/>
    </font>
    <font>
      <b/>
      <sz val="9"/>
      <color rgb="FFFFFFFF"/>
      <name val="Century Gothic"/>
      <family val="2"/>
    </font>
    <font>
      <sz val="9"/>
      <color rgb="FF000000"/>
      <name val="Century Gothic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darkUp">
        <bgColor theme="6" tint="0.59999389629810485"/>
      </patternFill>
    </fill>
    <fill>
      <patternFill patternType="solid">
        <fgColor rgb="FF538DD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F2F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-0.249977111117893"/>
      </left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indexed="64"/>
      </right>
      <top/>
      <bottom style="dotted">
        <color indexed="64"/>
      </bottom>
      <diagonal/>
    </border>
    <border>
      <left style="thin">
        <color theme="9" tint="-0.249977111117893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 style="dotted">
        <color indexed="64"/>
      </top>
      <bottom/>
      <diagonal/>
    </border>
    <border>
      <left style="thin">
        <color theme="9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dotted">
        <color indexed="64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dotted">
        <color indexed="64"/>
      </bottom>
      <diagonal/>
    </border>
    <border>
      <left style="thin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4">
    <xf numFmtId="165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5">
    <xf numFmtId="165" fontId="0" fillId="0" borderId="0" xfId="0"/>
    <xf numFmtId="165" fontId="0" fillId="0" borderId="0" xfId="0"/>
    <xf numFmtId="165" fontId="0" fillId="0" borderId="0" xfId="0" applyBorder="1"/>
    <xf numFmtId="165" fontId="0" fillId="3" borderId="0" xfId="0" applyFill="1" applyBorder="1"/>
    <xf numFmtId="165" fontId="0" fillId="3" borderId="3" xfId="0" applyFill="1" applyBorder="1"/>
    <xf numFmtId="165" fontId="0" fillId="3" borderId="4" xfId="0" applyFill="1" applyBorder="1"/>
    <xf numFmtId="165" fontId="0" fillId="3" borderId="5" xfId="0" applyFill="1" applyBorder="1"/>
    <xf numFmtId="165" fontId="0" fillId="3" borderId="0" xfId="0" applyFill="1"/>
    <xf numFmtId="44" fontId="0" fillId="3" borderId="0" xfId="1" applyFont="1" applyFill="1"/>
    <xf numFmtId="9" fontId="0" fillId="0" borderId="0" xfId="0" applyNumberFormat="1"/>
    <xf numFmtId="9" fontId="0" fillId="0" borderId="0" xfId="0" applyNumberFormat="1" applyFill="1" applyBorder="1"/>
    <xf numFmtId="165" fontId="0" fillId="0" borderId="0" xfId="0"/>
    <xf numFmtId="165" fontId="0" fillId="0" borderId="0" xfId="0" applyBorder="1"/>
    <xf numFmtId="165" fontId="0" fillId="3" borderId="0" xfId="0" applyFill="1" applyBorder="1"/>
    <xf numFmtId="44" fontId="0" fillId="3" borderId="0" xfId="1" applyFont="1" applyFill="1" applyBorder="1"/>
    <xf numFmtId="165" fontId="0" fillId="3" borderId="3" xfId="0" applyFill="1" applyBorder="1"/>
    <xf numFmtId="165" fontId="0" fillId="3" borderId="4" xfId="0" applyFill="1" applyBorder="1"/>
    <xf numFmtId="165" fontId="0" fillId="3" borderId="5" xfId="0" applyFill="1" applyBorder="1"/>
    <xf numFmtId="165" fontId="0" fillId="3" borderId="0" xfId="0" applyFill="1"/>
    <xf numFmtId="165" fontId="0" fillId="0" borderId="3" xfId="0" applyBorder="1"/>
    <xf numFmtId="165" fontId="0" fillId="0" borderId="4" xfId="0" applyBorder="1"/>
    <xf numFmtId="165" fontId="0" fillId="0" borderId="5" xfId="0" applyBorder="1"/>
    <xf numFmtId="165" fontId="4" fillId="3" borderId="0" xfId="0" applyFont="1" applyFill="1" applyBorder="1"/>
    <xf numFmtId="165" fontId="0" fillId="0" borderId="0" xfId="0" applyFill="1" applyBorder="1"/>
    <xf numFmtId="165" fontId="4" fillId="4" borderId="4" xfId="0" applyFont="1" applyFill="1" applyBorder="1"/>
    <xf numFmtId="165" fontId="0" fillId="4" borderId="5" xfId="0" applyFill="1" applyBorder="1"/>
    <xf numFmtId="165" fontId="0" fillId="3" borderId="1" xfId="0" applyFill="1" applyBorder="1"/>
    <xf numFmtId="165" fontId="0" fillId="3" borderId="2" xfId="0" applyFill="1" applyBorder="1"/>
    <xf numFmtId="165" fontId="4" fillId="4" borderId="6" xfId="0" applyFont="1" applyFill="1" applyBorder="1"/>
    <xf numFmtId="165" fontId="0" fillId="4" borderId="7" xfId="0" applyFill="1" applyBorder="1"/>
    <xf numFmtId="164" fontId="0" fillId="3" borderId="9" xfId="1" applyNumberFormat="1" applyFont="1" applyFill="1" applyBorder="1"/>
    <xf numFmtId="164" fontId="0" fillId="3" borderId="10" xfId="1" applyNumberFormat="1" applyFont="1" applyFill="1" applyBorder="1"/>
    <xf numFmtId="164" fontId="0" fillId="3" borderId="11" xfId="1" applyNumberFormat="1" applyFont="1" applyFill="1" applyBorder="1"/>
    <xf numFmtId="164" fontId="4" fillId="4" borderId="11" xfId="1" applyNumberFormat="1" applyFont="1" applyFill="1" applyBorder="1"/>
    <xf numFmtId="164" fontId="0" fillId="3" borderId="13" xfId="1" applyNumberFormat="1" applyFont="1" applyFill="1" applyBorder="1"/>
    <xf numFmtId="164" fontId="0" fillId="3" borderId="14" xfId="1" applyNumberFormat="1" applyFont="1" applyFill="1" applyBorder="1"/>
    <xf numFmtId="164" fontId="0" fillId="3" borderId="14" xfId="1" applyNumberFormat="1" applyFont="1" applyFill="1" applyBorder="1" applyAlignment="1">
      <alignment horizontal="right"/>
    </xf>
    <xf numFmtId="164" fontId="0" fillId="3" borderId="15" xfId="1" applyNumberFormat="1" applyFont="1" applyFill="1" applyBorder="1"/>
    <xf numFmtId="164" fontId="4" fillId="4" borderId="15" xfId="1" applyNumberFormat="1" applyFont="1" applyFill="1" applyBorder="1"/>
    <xf numFmtId="164" fontId="0" fillId="3" borderId="17" xfId="1" applyNumberFormat="1" applyFont="1" applyFill="1" applyBorder="1"/>
    <xf numFmtId="164" fontId="0" fillId="3" borderId="18" xfId="1" applyNumberFormat="1" applyFont="1" applyFill="1" applyBorder="1"/>
    <xf numFmtId="164" fontId="0" fillId="3" borderId="19" xfId="1" applyNumberFormat="1" applyFont="1" applyFill="1" applyBorder="1"/>
    <xf numFmtId="164" fontId="4" fillId="4" borderId="19" xfId="1" applyNumberFormat="1" applyFont="1" applyFill="1" applyBorder="1"/>
    <xf numFmtId="164" fontId="4" fillId="4" borderId="8" xfId="1" applyNumberFormat="1" applyFont="1" applyFill="1" applyBorder="1"/>
    <xf numFmtId="164" fontId="4" fillId="4" borderId="12" xfId="1" applyNumberFormat="1" applyFont="1" applyFill="1" applyBorder="1"/>
    <xf numFmtId="164" fontId="4" fillId="4" borderId="16" xfId="1" applyNumberFormat="1" applyFont="1" applyFill="1" applyBorder="1"/>
    <xf numFmtId="164" fontId="0" fillId="3" borderId="8" xfId="1" applyNumberFormat="1" applyFont="1" applyFill="1" applyBorder="1"/>
    <xf numFmtId="164" fontId="0" fillId="3" borderId="12" xfId="1" applyNumberFormat="1" applyFont="1" applyFill="1" applyBorder="1"/>
    <xf numFmtId="164" fontId="0" fillId="3" borderId="16" xfId="1" applyNumberFormat="1" applyFont="1" applyFill="1" applyBorder="1"/>
    <xf numFmtId="165" fontId="0" fillId="7" borderId="3" xfId="0" applyFill="1" applyBorder="1"/>
    <xf numFmtId="165" fontId="0" fillId="7" borderId="0" xfId="0" applyFill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3" fillId="7" borderId="10" xfId="1" applyNumberFormat="1" applyFont="1" applyFill="1" applyBorder="1"/>
    <xf numFmtId="164" fontId="0" fillId="0" borderId="14" xfId="1" applyNumberFormat="1" applyFont="1" applyBorder="1"/>
    <xf numFmtId="164" fontId="3" fillId="7" borderId="14" xfId="1" applyNumberFormat="1" applyFont="1" applyFill="1" applyBorder="1"/>
    <xf numFmtId="164" fontId="0" fillId="0" borderId="13" xfId="1" applyNumberFormat="1" applyFont="1" applyBorder="1"/>
    <xf numFmtId="164" fontId="0" fillId="0" borderId="11" xfId="1" applyNumberFormat="1" applyFont="1" applyBorder="1"/>
    <xf numFmtId="164" fontId="0" fillId="0" borderId="15" xfId="1" applyNumberFormat="1" applyFont="1" applyBorder="1"/>
    <xf numFmtId="165" fontId="4" fillId="4" borderId="7" xfId="0" applyFont="1" applyFill="1" applyBorder="1"/>
    <xf numFmtId="44" fontId="4" fillId="4" borderId="16" xfId="1" applyFont="1" applyFill="1" applyBorder="1"/>
    <xf numFmtId="44" fontId="4" fillId="4" borderId="8" xfId="1" applyFont="1" applyFill="1" applyBorder="1"/>
    <xf numFmtId="165" fontId="4" fillId="9" borderId="16" xfId="0" applyFont="1" applyFill="1" applyBorder="1" applyAlignment="1">
      <alignment horizontal="center"/>
    </xf>
    <xf numFmtId="165" fontId="4" fillId="9" borderId="8" xfId="0" applyFont="1" applyFill="1" applyBorder="1" applyAlignment="1">
      <alignment horizontal="center"/>
    </xf>
    <xf numFmtId="165" fontId="4" fillId="9" borderId="12" xfId="0" applyFont="1" applyFill="1" applyBorder="1" applyAlignment="1">
      <alignment horizontal="center"/>
    </xf>
    <xf numFmtId="165" fontId="4" fillId="9" borderId="6" xfId="0" applyFont="1" applyFill="1" applyBorder="1"/>
    <xf numFmtId="165" fontId="4" fillId="9" borderId="7" xfId="0" applyFont="1" applyFill="1" applyBorder="1"/>
    <xf numFmtId="17" fontId="2" fillId="11" borderId="4" xfId="0" applyNumberFormat="1" applyFont="1" applyFill="1" applyBorder="1" applyAlignment="1">
      <alignment horizontal="center"/>
    </xf>
    <xf numFmtId="17" fontId="2" fillId="11" borderId="11" xfId="0" applyNumberFormat="1" applyFont="1" applyFill="1" applyBorder="1" applyAlignment="1">
      <alignment horizontal="center"/>
    </xf>
    <xf numFmtId="17" fontId="2" fillId="11" borderId="15" xfId="0" applyNumberFormat="1" applyFont="1" applyFill="1" applyBorder="1" applyAlignment="1">
      <alignment horizontal="center"/>
    </xf>
    <xf numFmtId="17" fontId="2" fillId="3" borderId="0" xfId="0" applyNumberFormat="1" applyFont="1" applyFill="1" applyBorder="1" applyAlignment="1">
      <alignment horizontal="center"/>
    </xf>
    <xf numFmtId="165" fontId="4" fillId="9" borderId="7" xfId="0" applyFont="1" applyFill="1" applyBorder="1" applyAlignment="1">
      <alignment vertical="center"/>
    </xf>
    <xf numFmtId="165" fontId="0" fillId="0" borderId="0" xfId="0"/>
    <xf numFmtId="165" fontId="0" fillId="0" borderId="0" xfId="0" applyBorder="1"/>
    <xf numFmtId="165" fontId="0" fillId="3" borderId="0" xfId="0" applyFill="1" applyBorder="1"/>
    <xf numFmtId="165" fontId="0" fillId="3" borderId="5" xfId="0" applyFill="1" applyBorder="1"/>
    <xf numFmtId="165" fontId="0" fillId="3" borderId="0" xfId="0" applyFill="1"/>
    <xf numFmtId="165" fontId="0" fillId="0" borderId="5" xfId="0" applyBorder="1"/>
    <xf numFmtId="165" fontId="4" fillId="3" borderId="0" xfId="0" applyFont="1" applyFill="1" applyBorder="1"/>
    <xf numFmtId="165" fontId="4" fillId="9" borderId="16" xfId="0" applyFont="1" applyFill="1" applyBorder="1" applyAlignment="1">
      <alignment horizontal="center" vertical="center"/>
    </xf>
    <xf numFmtId="165" fontId="4" fillId="9" borderId="8" xfId="0" applyFont="1" applyFill="1" applyBorder="1" applyAlignment="1">
      <alignment horizontal="center" vertical="center"/>
    </xf>
    <xf numFmtId="165" fontId="4" fillId="9" borderId="12" xfId="0" applyFont="1" applyFill="1" applyBorder="1" applyAlignment="1">
      <alignment horizontal="center" vertical="center"/>
    </xf>
    <xf numFmtId="165" fontId="4" fillId="4" borderId="5" xfId="0" applyFont="1" applyFill="1" applyBorder="1"/>
    <xf numFmtId="17" fontId="6" fillId="11" borderId="6" xfId="0" applyNumberFormat="1" applyFont="1" applyFill="1" applyBorder="1" applyAlignment="1">
      <alignment horizontal="center"/>
    </xf>
    <xf numFmtId="17" fontId="6" fillId="11" borderId="8" xfId="0" applyNumberFormat="1" applyFont="1" applyFill="1" applyBorder="1" applyAlignment="1">
      <alignment horizontal="center"/>
    </xf>
    <xf numFmtId="17" fontId="6" fillId="11" borderId="12" xfId="0" applyNumberFormat="1" applyFont="1" applyFill="1" applyBorder="1" applyAlignment="1">
      <alignment horizontal="center"/>
    </xf>
    <xf numFmtId="165" fontId="7" fillId="9" borderId="16" xfId="0" applyFont="1" applyFill="1" applyBorder="1" applyAlignment="1">
      <alignment horizontal="center"/>
    </xf>
    <xf numFmtId="165" fontId="7" fillId="9" borderId="8" xfId="0" applyFont="1" applyFill="1" applyBorder="1" applyAlignment="1">
      <alignment horizontal="center"/>
    </xf>
    <xf numFmtId="165" fontId="7" fillId="9" borderId="12" xfId="0" applyFont="1" applyFill="1" applyBorder="1" applyAlignment="1">
      <alignment horizontal="center"/>
    </xf>
    <xf numFmtId="165" fontId="6" fillId="6" borderId="20" xfId="0" applyFont="1" applyFill="1" applyBorder="1"/>
    <xf numFmtId="165" fontId="6" fillId="6" borderId="21" xfId="0" applyFont="1" applyFill="1" applyBorder="1"/>
    <xf numFmtId="164" fontId="6" fillId="6" borderId="29" xfId="0" applyNumberFormat="1" applyFont="1" applyFill="1" applyBorder="1" applyAlignment="1">
      <alignment horizontal="center"/>
    </xf>
    <xf numFmtId="165" fontId="7" fillId="10" borderId="24" xfId="0" applyFont="1" applyFill="1" applyBorder="1"/>
    <xf numFmtId="165" fontId="7" fillId="10" borderId="25" xfId="0" applyFont="1" applyFill="1" applyBorder="1"/>
    <xf numFmtId="165" fontId="7" fillId="10" borderId="31" xfId="0" applyFont="1" applyFill="1" applyBorder="1"/>
    <xf numFmtId="164" fontId="8" fillId="2" borderId="31" xfId="0" applyNumberFormat="1" applyFont="1" applyFill="1" applyBorder="1" applyAlignment="1">
      <alignment horizontal="center"/>
    </xf>
    <xf numFmtId="164" fontId="8" fillId="2" borderId="27" xfId="0" applyNumberFormat="1" applyFont="1" applyFill="1" applyBorder="1" applyAlignment="1">
      <alignment horizontal="center"/>
    </xf>
    <xf numFmtId="165" fontId="11" fillId="10" borderId="25" xfId="0" applyFont="1" applyFill="1" applyBorder="1"/>
    <xf numFmtId="165" fontId="7" fillId="3" borderId="24" xfId="0" applyFont="1" applyFill="1" applyBorder="1"/>
    <xf numFmtId="165" fontId="7" fillId="3" borderId="25" xfId="0" applyFont="1" applyFill="1" applyBorder="1"/>
    <xf numFmtId="165" fontId="11" fillId="3" borderId="25" xfId="0" applyFont="1" applyFill="1" applyBorder="1"/>
    <xf numFmtId="165" fontId="7" fillId="3" borderId="31" xfId="0" applyFont="1" applyFill="1" applyBorder="1"/>
    <xf numFmtId="164" fontId="9" fillId="3" borderId="31" xfId="0" applyNumberFormat="1" applyFont="1" applyFill="1" applyBorder="1" applyAlignment="1">
      <alignment horizontal="center"/>
    </xf>
    <xf numFmtId="165" fontId="6" fillId="6" borderId="22" xfId="0" applyFont="1" applyFill="1" applyBorder="1"/>
    <xf numFmtId="165" fontId="6" fillId="6" borderId="23" xfId="0" applyFont="1" applyFill="1" applyBorder="1"/>
    <xf numFmtId="165" fontId="6" fillId="6" borderId="30" xfId="0" applyFont="1" applyFill="1" applyBorder="1"/>
    <xf numFmtId="164" fontId="6" fillId="6" borderId="30" xfId="0" applyNumberFormat="1" applyFont="1" applyFill="1" applyBorder="1" applyAlignment="1">
      <alignment horizontal="center"/>
    </xf>
    <xf numFmtId="164" fontId="6" fillId="6" borderId="26" xfId="0" applyNumberFormat="1" applyFont="1" applyFill="1" applyBorder="1" applyAlignment="1">
      <alignment horizontal="center"/>
    </xf>
    <xf numFmtId="165" fontId="6" fillId="3" borderId="22" xfId="0" applyFont="1" applyFill="1" applyBorder="1"/>
    <xf numFmtId="165" fontId="6" fillId="3" borderId="23" xfId="0" applyFont="1" applyFill="1" applyBorder="1"/>
    <xf numFmtId="165" fontId="6" fillId="3" borderId="30" xfId="0" applyFont="1" applyFill="1" applyBorder="1"/>
    <xf numFmtId="164" fontId="6" fillId="3" borderId="30" xfId="0" applyNumberFormat="1" applyFont="1" applyFill="1" applyBorder="1" applyAlignment="1">
      <alignment horizontal="center"/>
    </xf>
    <xf numFmtId="164" fontId="6" fillId="3" borderId="26" xfId="0" applyNumberFormat="1" applyFont="1" applyFill="1" applyBorder="1" applyAlignment="1">
      <alignment horizontal="center"/>
    </xf>
    <xf numFmtId="165" fontId="7" fillId="12" borderId="22" xfId="0" applyFont="1" applyFill="1" applyBorder="1"/>
    <xf numFmtId="165" fontId="7" fillId="12" borderId="23" xfId="0" applyFont="1" applyFill="1" applyBorder="1"/>
    <xf numFmtId="165" fontId="7" fillId="12" borderId="30" xfId="0" applyFont="1" applyFill="1" applyBorder="1"/>
    <xf numFmtId="164" fontId="10" fillId="2" borderId="26" xfId="0" applyNumberFormat="1" applyFont="1" applyFill="1" applyBorder="1" applyAlignment="1">
      <alignment horizontal="center"/>
    </xf>
    <xf numFmtId="165" fontId="9" fillId="12" borderId="23" xfId="0" applyFont="1" applyFill="1" applyBorder="1"/>
    <xf numFmtId="165" fontId="7" fillId="3" borderId="22" xfId="0" applyFont="1" applyFill="1" applyBorder="1"/>
    <xf numFmtId="165" fontId="7" fillId="3" borderId="23" xfId="0" applyFont="1" applyFill="1" applyBorder="1"/>
    <xf numFmtId="165" fontId="9" fillId="3" borderId="23" xfId="0" applyFont="1" applyFill="1" applyBorder="1"/>
    <xf numFmtId="165" fontId="7" fillId="3" borderId="30" xfId="0" applyFont="1" applyFill="1" applyBorder="1"/>
    <xf numFmtId="164" fontId="8" fillId="3" borderId="30" xfId="0" applyNumberFormat="1" applyFont="1" applyFill="1" applyBorder="1" applyAlignment="1">
      <alignment horizontal="center"/>
    </xf>
    <xf numFmtId="164" fontId="8" fillId="3" borderId="26" xfId="0" applyNumberFormat="1" applyFont="1" applyFill="1" applyBorder="1" applyAlignment="1">
      <alignment horizontal="center"/>
    </xf>
    <xf numFmtId="165" fontId="7" fillId="3" borderId="3" xfId="0" applyFont="1" applyFill="1" applyBorder="1"/>
    <xf numFmtId="165" fontId="7" fillId="3" borderId="0" xfId="0" applyFont="1" applyFill="1" applyBorder="1"/>
    <xf numFmtId="165" fontId="7" fillId="3" borderId="32" xfId="0" applyFont="1" applyFill="1" applyBorder="1"/>
    <xf numFmtId="44" fontId="8" fillId="3" borderId="32" xfId="0" applyNumberFormat="1" applyFont="1" applyFill="1" applyBorder="1" applyAlignment="1">
      <alignment horizontal="center"/>
    </xf>
    <xf numFmtId="44" fontId="8" fillId="3" borderId="33" xfId="0" applyNumberFormat="1" applyFont="1" applyFill="1" applyBorder="1" applyAlignment="1">
      <alignment horizontal="center"/>
    </xf>
    <xf numFmtId="164" fontId="6" fillId="6" borderId="35" xfId="0" applyNumberFormat="1" applyFont="1" applyFill="1" applyBorder="1" applyAlignment="1">
      <alignment horizontal="center"/>
    </xf>
    <xf numFmtId="165" fontId="7" fillId="12" borderId="3" xfId="0" applyFont="1" applyFill="1" applyBorder="1"/>
    <xf numFmtId="165" fontId="7" fillId="12" borderId="0" xfId="0" applyFont="1" applyFill="1" applyBorder="1"/>
    <xf numFmtId="165" fontId="7" fillId="12" borderId="32" xfId="0" applyFont="1" applyFill="1" applyBorder="1"/>
    <xf numFmtId="44" fontId="8" fillId="2" borderId="0" xfId="0" applyNumberFormat="1" applyFont="1" applyFill="1" applyBorder="1" applyAlignment="1">
      <alignment horizontal="center"/>
    </xf>
    <xf numFmtId="44" fontId="8" fillId="2" borderId="34" xfId="0" applyNumberFormat="1" applyFont="1" applyFill="1" applyBorder="1" applyAlignment="1">
      <alignment horizontal="center"/>
    </xf>
    <xf numFmtId="165" fontId="14" fillId="0" borderId="0" xfId="0" applyFont="1"/>
    <xf numFmtId="165" fontId="5" fillId="5" borderId="0" xfId="0" applyFont="1" applyFill="1" applyBorder="1"/>
    <xf numFmtId="17" fontId="5" fillId="5" borderId="0" xfId="0" applyNumberFormat="1" applyFont="1" applyFill="1" applyBorder="1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wrapText="1"/>
    </xf>
    <xf numFmtId="165" fontId="0" fillId="0" borderId="0" xfId="0" applyBorder="1" applyAlignment="1">
      <alignment vertical="center"/>
    </xf>
    <xf numFmtId="165" fontId="0" fillId="0" borderId="0" xfId="0" applyFill="1" applyBorder="1" applyAlignment="1">
      <alignment vertical="center"/>
    </xf>
    <xf numFmtId="164" fontId="0" fillId="3" borderId="10" xfId="1" applyNumberFormat="1" applyFont="1" applyFill="1" applyBorder="1" applyAlignment="1">
      <alignment vertical="center"/>
    </xf>
    <xf numFmtId="164" fontId="9" fillId="3" borderId="0" xfId="0" applyNumberFormat="1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164" fontId="8" fillId="3" borderId="0" xfId="0" applyNumberFormat="1" applyFont="1" applyFill="1" applyBorder="1" applyAlignment="1">
      <alignment horizontal="center"/>
    </xf>
    <xf numFmtId="44" fontId="8" fillId="3" borderId="0" xfId="0" applyNumberFormat="1" applyFont="1" applyFill="1" applyBorder="1" applyAlignment="1">
      <alignment horizontal="center"/>
    </xf>
    <xf numFmtId="17" fontId="2" fillId="11" borderId="0" xfId="0" applyNumberFormat="1" applyFont="1" applyFill="1" applyBorder="1" applyAlignment="1">
      <alignment horizontal="center"/>
    </xf>
    <xf numFmtId="164" fontId="0" fillId="3" borderId="0" xfId="1" applyNumberFormat="1" applyFont="1" applyFill="1" applyBorder="1"/>
    <xf numFmtId="164" fontId="0" fillId="0" borderId="0" xfId="1" applyNumberFormat="1" applyFont="1" applyBorder="1"/>
    <xf numFmtId="165" fontId="7" fillId="3" borderId="0" xfId="0" applyFont="1" applyFill="1" applyBorder="1" applyAlignment="1">
      <alignment horizontal="center"/>
    </xf>
    <xf numFmtId="164" fontId="10" fillId="3" borderId="0" xfId="0" applyNumberFormat="1" applyFont="1" applyFill="1" applyBorder="1" applyAlignment="1">
      <alignment horizontal="center"/>
    </xf>
    <xf numFmtId="164" fontId="13" fillId="3" borderId="0" xfId="0" applyNumberFormat="1" applyFont="1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3" fillId="3" borderId="0" xfId="1" applyNumberFormat="1" applyFont="1" applyFill="1" applyBorder="1"/>
    <xf numFmtId="164" fontId="16" fillId="3" borderId="10" xfId="1" applyNumberFormat="1" applyFont="1" applyFill="1" applyBorder="1"/>
    <xf numFmtId="164" fontId="16" fillId="3" borderId="14" xfId="1" applyNumberFormat="1" applyFont="1" applyFill="1" applyBorder="1"/>
    <xf numFmtId="165" fontId="19" fillId="6" borderId="23" xfId="0" applyFont="1" applyFill="1" applyBorder="1"/>
    <xf numFmtId="164" fontId="20" fillId="2" borderId="27" xfId="0" applyNumberFormat="1" applyFont="1" applyFill="1" applyBorder="1" applyAlignment="1">
      <alignment horizontal="center"/>
    </xf>
    <xf numFmtId="164" fontId="11" fillId="2" borderId="31" xfId="0" applyNumberFormat="1" applyFont="1" applyFill="1" applyBorder="1" applyAlignment="1">
      <alignment horizontal="center"/>
    </xf>
    <xf numFmtId="165" fontId="11" fillId="12" borderId="23" xfId="0" applyFont="1" applyFill="1" applyBorder="1"/>
    <xf numFmtId="164" fontId="20" fillId="2" borderId="26" xfId="0" applyNumberFormat="1" applyFont="1" applyFill="1" applyBorder="1" applyAlignment="1">
      <alignment horizontal="center"/>
    </xf>
    <xf numFmtId="164" fontId="21" fillId="7" borderId="26" xfId="0" applyNumberFormat="1" applyFont="1" applyFill="1" applyBorder="1" applyAlignment="1">
      <alignment horizontal="center"/>
    </xf>
    <xf numFmtId="165" fontId="4" fillId="3" borderId="0" xfId="0" applyFont="1" applyFill="1" applyBorder="1" applyAlignment="1">
      <alignment horizontal="center"/>
    </xf>
    <xf numFmtId="164" fontId="4" fillId="3" borderId="0" xfId="1" applyNumberFormat="1" applyFont="1" applyFill="1" applyBorder="1"/>
    <xf numFmtId="165" fontId="4" fillId="3" borderId="0" xfId="0" applyFont="1" applyFill="1" applyBorder="1" applyAlignment="1">
      <alignment horizontal="center" vertical="center"/>
    </xf>
    <xf numFmtId="44" fontId="4" fillId="3" borderId="0" xfId="1" applyFont="1" applyFill="1" applyBorder="1"/>
    <xf numFmtId="165" fontId="23" fillId="8" borderId="6" xfId="0" applyFont="1" applyFill="1" applyBorder="1"/>
    <xf numFmtId="165" fontId="23" fillId="8" borderId="7" xfId="0" applyFont="1" applyFill="1" applyBorder="1"/>
    <xf numFmtId="165" fontId="23" fillId="8" borderId="28" xfId="0" applyFont="1" applyFill="1" applyBorder="1"/>
    <xf numFmtId="164" fontId="23" fillId="8" borderId="8" xfId="0" applyNumberFormat="1" applyFont="1" applyFill="1" applyBorder="1" applyAlignment="1">
      <alignment horizontal="center"/>
    </xf>
    <xf numFmtId="164" fontId="23" fillId="8" borderId="12" xfId="0" applyNumberFormat="1" applyFont="1" applyFill="1" applyBorder="1" applyAlignment="1">
      <alignment horizontal="center"/>
    </xf>
    <xf numFmtId="164" fontId="0" fillId="14" borderId="15" xfId="1" applyNumberFormat="1" applyFont="1" applyFill="1" applyBorder="1"/>
    <xf numFmtId="164" fontId="3" fillId="14" borderId="14" xfId="1" applyNumberFormat="1" applyFont="1" applyFill="1" applyBorder="1"/>
    <xf numFmtId="164" fontId="0" fillId="15" borderId="14" xfId="1" applyNumberFormat="1" applyFont="1" applyFill="1" applyBorder="1"/>
    <xf numFmtId="5" fontId="18" fillId="3" borderId="39" xfId="0" applyNumberFormat="1" applyFont="1" applyFill="1" applyBorder="1" applyAlignment="1">
      <alignment vertical="center"/>
    </xf>
    <xf numFmtId="164" fontId="24" fillId="3" borderId="0" xfId="0" applyNumberFormat="1" applyFont="1" applyFill="1" applyBorder="1" applyAlignment="1">
      <alignment horizontal="center"/>
    </xf>
    <xf numFmtId="5" fontId="18" fillId="3" borderId="39" xfId="0" applyNumberFormat="1" applyFont="1" applyFill="1" applyBorder="1" applyAlignment="1">
      <alignment vertical="top"/>
    </xf>
    <xf numFmtId="165" fontId="18" fillId="3" borderId="39" xfId="0" applyNumberFormat="1" applyFont="1" applyFill="1" applyBorder="1" applyAlignment="1">
      <alignment vertical="center"/>
    </xf>
    <xf numFmtId="165" fontId="18" fillId="3" borderId="39" xfId="0" applyNumberFormat="1" applyFont="1" applyFill="1" applyBorder="1" applyAlignment="1">
      <alignment vertical="center"/>
    </xf>
    <xf numFmtId="165" fontId="18" fillId="3" borderId="39" xfId="0" applyNumberFormat="1" applyFont="1" applyFill="1" applyBorder="1" applyAlignment="1">
      <alignment horizontal="center" vertical="center"/>
    </xf>
    <xf numFmtId="5" fontId="27" fillId="16" borderId="38" xfId="0" applyNumberFormat="1" applyFont="1" applyFill="1" applyBorder="1" applyAlignment="1"/>
    <xf numFmtId="165" fontId="18" fillId="3" borderId="39" xfId="0" applyNumberFormat="1" applyFont="1" applyFill="1" applyBorder="1" applyAlignment="1">
      <alignment horizontal="right" vertical="center"/>
    </xf>
    <xf numFmtId="5" fontId="29" fillId="18" borderId="0" xfId="0" applyNumberFormat="1" applyFont="1" applyFill="1"/>
    <xf numFmtId="165" fontId="0" fillId="17" borderId="0" xfId="0" applyFill="1"/>
    <xf numFmtId="165" fontId="30" fillId="3" borderId="39" xfId="0" applyNumberFormat="1" applyFont="1" applyFill="1" applyBorder="1" applyAlignment="1">
      <alignment horizontal="center" vertical="center"/>
    </xf>
    <xf numFmtId="165" fontId="18" fillId="3" borderId="37" xfId="0" applyNumberFormat="1" applyFont="1" applyFill="1" applyBorder="1" applyAlignment="1">
      <alignment horizontal="center" vertical="center"/>
    </xf>
    <xf numFmtId="5" fontId="18" fillId="3" borderId="37" xfId="0" applyNumberFormat="1" applyFont="1" applyFill="1" applyBorder="1" applyAlignment="1">
      <alignment vertical="center"/>
    </xf>
    <xf numFmtId="165" fontId="17" fillId="17" borderId="36" xfId="0" applyFont="1" applyFill="1" applyBorder="1"/>
    <xf numFmtId="165" fontId="18" fillId="3" borderId="39" xfId="0" applyNumberFormat="1" applyFont="1" applyFill="1" applyBorder="1" applyAlignment="1">
      <alignment horizontal="right" vertical="center"/>
    </xf>
    <xf numFmtId="165" fontId="26" fillId="21" borderId="3" xfId="0" applyFont="1" applyFill="1" applyBorder="1" applyAlignment="1">
      <alignment vertical="center" wrapText="1"/>
    </xf>
    <xf numFmtId="165" fontId="26" fillId="21" borderId="0" xfId="0" applyFont="1" applyFill="1" applyBorder="1" applyAlignment="1">
      <alignment vertical="center" wrapText="1"/>
    </xf>
    <xf numFmtId="165" fontId="26" fillId="21" borderId="42" xfId="0" applyFont="1" applyFill="1" applyBorder="1" applyAlignment="1">
      <alignment vertical="center" wrapText="1"/>
    </xf>
    <xf numFmtId="165" fontId="26" fillId="21" borderId="38" xfId="0" applyFont="1" applyFill="1" applyBorder="1" applyAlignment="1">
      <alignment vertical="center" wrapText="1"/>
    </xf>
    <xf numFmtId="165" fontId="0" fillId="17" borderId="10" xfId="0" applyFill="1" applyBorder="1"/>
    <xf numFmtId="165" fontId="17" fillId="17" borderId="36" xfId="0" applyFont="1" applyFill="1" applyBorder="1" applyAlignment="1">
      <alignment horizontal="center"/>
    </xf>
    <xf numFmtId="165" fontId="17" fillId="17" borderId="43" xfId="0" applyFont="1" applyFill="1" applyBorder="1"/>
    <xf numFmtId="165" fontId="17" fillId="12" borderId="44" xfId="0" applyFont="1" applyFill="1" applyBorder="1" applyAlignment="1">
      <alignment horizontal="center"/>
    </xf>
    <xf numFmtId="5" fontId="29" fillId="18" borderId="0" xfId="0" applyNumberFormat="1" applyFont="1" applyFill="1" applyBorder="1"/>
    <xf numFmtId="5" fontId="18" fillId="3" borderId="0" xfId="0" applyNumberFormat="1" applyFont="1" applyFill="1" applyBorder="1" applyAlignment="1">
      <alignment vertical="center"/>
    </xf>
    <xf numFmtId="5" fontId="18" fillId="3" borderId="45" xfId="0" applyNumberFormat="1" applyFont="1" applyFill="1" applyBorder="1" applyAlignment="1">
      <alignment vertical="center"/>
    </xf>
    <xf numFmtId="5" fontId="18" fillId="3" borderId="46" xfId="0" applyNumberFormat="1" applyFont="1" applyFill="1" applyBorder="1" applyAlignment="1">
      <alignment vertical="center"/>
    </xf>
    <xf numFmtId="5" fontId="27" fillId="16" borderId="40" xfId="0" applyNumberFormat="1" applyFont="1" applyFill="1" applyBorder="1" applyAlignment="1"/>
    <xf numFmtId="5" fontId="27" fillId="16" borderId="0" xfId="0" applyNumberFormat="1" applyFont="1" applyFill="1" applyBorder="1" applyAlignment="1"/>
    <xf numFmtId="5" fontId="27" fillId="3" borderId="40" xfId="0" applyNumberFormat="1" applyFont="1" applyFill="1" applyBorder="1" applyAlignment="1"/>
    <xf numFmtId="5" fontId="27" fillId="16" borderId="36" xfId="0" applyNumberFormat="1" applyFont="1" applyFill="1" applyBorder="1" applyAlignment="1"/>
    <xf numFmtId="165" fontId="17" fillId="3" borderId="0" xfId="0" applyFont="1" applyFill="1" applyBorder="1"/>
    <xf numFmtId="5" fontId="28" fillId="3" borderId="0" xfId="0" applyNumberFormat="1" applyFont="1" applyFill="1" applyBorder="1"/>
    <xf numFmtId="165" fontId="26" fillId="21" borderId="32" xfId="0" applyFont="1" applyFill="1" applyBorder="1" applyAlignment="1">
      <alignment vertical="center" wrapText="1"/>
    </xf>
    <xf numFmtId="165" fontId="26" fillId="3" borderId="0" xfId="0" applyFont="1" applyFill="1" applyBorder="1" applyAlignment="1">
      <alignment vertical="center" wrapText="1"/>
    </xf>
    <xf numFmtId="165" fontId="26" fillId="3" borderId="32" xfId="0" applyFont="1" applyFill="1" applyBorder="1" applyAlignment="1">
      <alignment vertical="center" wrapText="1"/>
    </xf>
    <xf numFmtId="165" fontId="0" fillId="3" borderId="43" xfId="0" applyFill="1" applyBorder="1"/>
    <xf numFmtId="165" fontId="0" fillId="3" borderId="41" xfId="0" applyFill="1" applyBorder="1"/>
    <xf numFmtId="5" fontId="28" fillId="3" borderId="41" xfId="0" applyNumberFormat="1" applyFont="1" applyFill="1" applyBorder="1"/>
    <xf numFmtId="165" fontId="26" fillId="3" borderId="38" xfId="0" applyFont="1" applyFill="1" applyBorder="1" applyAlignment="1">
      <alignment vertical="center" wrapText="1"/>
    </xf>
    <xf numFmtId="165" fontId="26" fillId="3" borderId="48" xfId="0" applyFont="1" applyFill="1" applyBorder="1" applyAlignment="1">
      <alignment vertical="center" wrapText="1"/>
    </xf>
    <xf numFmtId="165" fontId="0" fillId="3" borderId="40" xfId="0" applyFill="1" applyBorder="1"/>
    <xf numFmtId="5" fontId="28" fillId="3" borderId="40" xfId="0" applyNumberFormat="1" applyFont="1" applyFill="1" applyBorder="1"/>
    <xf numFmtId="5" fontId="18" fillId="4" borderId="39" xfId="0" applyNumberFormat="1" applyFont="1" applyFill="1" applyBorder="1" applyAlignment="1">
      <alignment vertical="center"/>
    </xf>
    <xf numFmtId="5" fontId="18" fillId="4" borderId="45" xfId="0" applyNumberFormat="1" applyFont="1" applyFill="1" applyBorder="1" applyAlignment="1">
      <alignment vertical="center"/>
    </xf>
    <xf numFmtId="5" fontId="18" fillId="4" borderId="46" xfId="0" applyNumberFormat="1" applyFont="1" applyFill="1" applyBorder="1" applyAlignment="1">
      <alignment vertical="center"/>
    </xf>
    <xf numFmtId="5" fontId="18" fillId="3" borderId="49" xfId="0" applyNumberFormat="1" applyFont="1" applyFill="1" applyBorder="1" applyAlignment="1">
      <alignment vertical="center"/>
    </xf>
    <xf numFmtId="5" fontId="18" fillId="3" borderId="50" xfId="0" applyNumberFormat="1" applyFont="1" applyFill="1" applyBorder="1" applyAlignment="1">
      <alignment vertical="center"/>
    </xf>
    <xf numFmtId="165" fontId="18" fillId="3" borderId="49" xfId="0" applyNumberFormat="1" applyFont="1" applyFill="1" applyBorder="1" applyAlignment="1">
      <alignment horizontal="center" vertical="center"/>
    </xf>
    <xf numFmtId="165" fontId="18" fillId="3" borderId="50" xfId="0" applyNumberFormat="1" applyFont="1" applyFill="1" applyBorder="1" applyAlignment="1">
      <alignment horizontal="center" vertical="center"/>
    </xf>
    <xf numFmtId="165" fontId="18" fillId="3" borderId="51" xfId="0" applyNumberFormat="1" applyFont="1" applyFill="1" applyBorder="1" applyAlignment="1">
      <alignment horizontal="center" vertical="center"/>
    </xf>
    <xf numFmtId="1" fontId="18" fillId="3" borderId="39" xfId="0" applyNumberFormat="1" applyFont="1" applyFill="1" applyBorder="1" applyAlignment="1">
      <alignment horizontal="center" vertical="center"/>
    </xf>
    <xf numFmtId="1" fontId="18" fillId="3" borderId="37" xfId="0" applyNumberFormat="1" applyFont="1" applyFill="1" applyBorder="1" applyAlignment="1">
      <alignment horizontal="center" vertical="center"/>
    </xf>
    <xf numFmtId="3" fontId="32" fillId="3" borderId="39" xfId="0" applyNumberFormat="1" applyFont="1" applyFill="1" applyBorder="1" applyAlignment="1">
      <alignment vertical="center"/>
    </xf>
    <xf numFmtId="165" fontId="34" fillId="13" borderId="36" xfId="0" applyFont="1" applyFill="1" applyBorder="1" applyAlignment="1">
      <alignment horizontal="center"/>
    </xf>
    <xf numFmtId="165" fontId="34" fillId="12" borderId="36" xfId="0" applyFont="1" applyFill="1" applyBorder="1" applyAlignment="1">
      <alignment horizontal="center"/>
    </xf>
    <xf numFmtId="165" fontId="34" fillId="20" borderId="47" xfId="0" applyFont="1" applyFill="1" applyBorder="1" applyAlignment="1">
      <alignment horizontal="center"/>
    </xf>
    <xf numFmtId="165" fontId="34" fillId="23" borderId="47" xfId="0" applyFont="1" applyFill="1" applyBorder="1" applyAlignment="1">
      <alignment horizontal="center"/>
    </xf>
    <xf numFmtId="5" fontId="18" fillId="3" borderId="51" xfId="0" applyNumberFormat="1" applyFont="1" applyFill="1" applyBorder="1" applyAlignment="1">
      <alignment vertical="center"/>
    </xf>
    <xf numFmtId="3" fontId="33" fillId="3" borderId="52" xfId="0" applyNumberFormat="1" applyFont="1" applyFill="1" applyBorder="1" applyAlignment="1">
      <alignment vertical="center"/>
    </xf>
    <xf numFmtId="165" fontId="34" fillId="20" borderId="36" xfId="0" applyFont="1" applyFill="1" applyBorder="1" applyAlignment="1">
      <alignment horizontal="center"/>
    </xf>
    <xf numFmtId="165" fontId="34" fillId="23" borderId="36" xfId="0" applyFont="1" applyFill="1" applyBorder="1" applyAlignment="1">
      <alignment horizontal="center"/>
    </xf>
    <xf numFmtId="3" fontId="32" fillId="3" borderId="54" xfId="0" applyNumberFormat="1" applyFont="1" applyFill="1" applyBorder="1" applyAlignment="1">
      <alignment vertical="center"/>
    </xf>
    <xf numFmtId="3" fontId="32" fillId="3" borderId="0" xfId="0" applyNumberFormat="1" applyFont="1" applyFill="1" applyBorder="1" applyAlignment="1">
      <alignment vertical="center"/>
    </xf>
    <xf numFmtId="165" fontId="18" fillId="3" borderId="39" xfId="0" applyNumberFormat="1" applyFont="1" applyFill="1" applyBorder="1" applyAlignment="1">
      <alignment horizontal="center" vertical="center" wrapText="1"/>
    </xf>
    <xf numFmtId="165" fontId="18" fillId="3" borderId="25" xfId="0" applyNumberFormat="1" applyFont="1" applyFill="1" applyBorder="1" applyAlignment="1">
      <alignment horizontal="center" vertical="center"/>
    </xf>
    <xf numFmtId="165" fontId="18" fillId="3" borderId="52" xfId="0" applyNumberFormat="1" applyFont="1" applyFill="1" applyBorder="1" applyAlignment="1">
      <alignment horizontal="center" vertical="center"/>
    </xf>
    <xf numFmtId="165" fontId="18" fillId="3" borderId="0" xfId="0" applyNumberFormat="1" applyFont="1" applyFill="1" applyBorder="1" applyAlignment="1">
      <alignment horizontal="center" vertical="center"/>
    </xf>
    <xf numFmtId="165" fontId="18" fillId="3" borderId="23" xfId="0" applyNumberFormat="1" applyFont="1" applyFill="1" applyBorder="1" applyAlignment="1">
      <alignment vertical="center"/>
    </xf>
    <xf numFmtId="3" fontId="33" fillId="4" borderId="55" xfId="0" applyNumberFormat="1" applyFont="1" applyFill="1" applyBorder="1" applyAlignment="1">
      <alignment vertical="center"/>
    </xf>
    <xf numFmtId="3" fontId="33" fillId="4" borderId="53" xfId="0" applyNumberFormat="1" applyFont="1" applyFill="1" applyBorder="1" applyAlignment="1">
      <alignment vertical="center"/>
    </xf>
    <xf numFmtId="165" fontId="18" fillId="3" borderId="52" xfId="0" applyNumberFormat="1" applyFont="1" applyFill="1" applyBorder="1" applyAlignment="1">
      <alignment vertical="center"/>
    </xf>
    <xf numFmtId="5" fontId="18" fillId="3" borderId="52" xfId="0" applyNumberFormat="1" applyFont="1" applyFill="1" applyBorder="1" applyAlignment="1">
      <alignment vertical="center"/>
    </xf>
    <xf numFmtId="165" fontId="18" fillId="3" borderId="54" xfId="0" applyNumberFormat="1" applyFont="1" applyFill="1" applyBorder="1" applyAlignment="1">
      <alignment horizontal="right" vertical="center"/>
    </xf>
    <xf numFmtId="5" fontId="18" fillId="4" borderId="59" xfId="0" applyNumberFormat="1" applyFont="1" applyFill="1" applyBorder="1" applyAlignment="1">
      <alignment vertical="center"/>
    </xf>
    <xf numFmtId="5" fontId="18" fillId="3" borderId="54" xfId="0" applyNumberFormat="1" applyFont="1" applyFill="1" applyBorder="1" applyAlignment="1">
      <alignment vertical="center"/>
    </xf>
    <xf numFmtId="5" fontId="18" fillId="4" borderId="54" xfId="0" applyNumberFormat="1" applyFont="1" applyFill="1" applyBorder="1" applyAlignment="1">
      <alignment vertical="center"/>
    </xf>
    <xf numFmtId="5" fontId="18" fillId="4" borderId="52" xfId="0" applyNumberFormat="1" applyFont="1" applyFill="1" applyBorder="1" applyAlignment="1">
      <alignment vertical="center"/>
    </xf>
    <xf numFmtId="165" fontId="18" fillId="3" borderId="37" xfId="0" applyNumberFormat="1" applyFont="1" applyFill="1" applyBorder="1" applyAlignment="1">
      <alignment horizontal="right" vertical="center"/>
    </xf>
    <xf numFmtId="165" fontId="18" fillId="3" borderId="0" xfId="0" applyNumberFormat="1" applyFont="1" applyFill="1" applyBorder="1" applyAlignment="1">
      <alignment vertical="center"/>
    </xf>
    <xf numFmtId="165" fontId="18" fillId="3" borderId="0" xfId="0" applyNumberFormat="1" applyFont="1" applyFill="1" applyBorder="1" applyAlignment="1">
      <alignment horizontal="right" vertical="center"/>
    </xf>
    <xf numFmtId="165" fontId="18" fillId="3" borderId="25" xfId="0" applyNumberFormat="1" applyFont="1" applyFill="1" applyBorder="1" applyAlignment="1">
      <alignment vertical="center"/>
    </xf>
    <xf numFmtId="165" fontId="18" fillId="3" borderId="46" xfId="0" applyNumberFormat="1" applyFont="1" applyFill="1" applyBorder="1" applyAlignment="1">
      <alignment horizontal="center" vertical="center"/>
    </xf>
    <xf numFmtId="165" fontId="18" fillId="3" borderId="45" xfId="0" applyNumberFormat="1" applyFont="1" applyFill="1" applyBorder="1" applyAlignment="1">
      <alignment horizontal="center" vertical="center"/>
    </xf>
    <xf numFmtId="165" fontId="18" fillId="3" borderId="23" xfId="0" applyNumberFormat="1" applyFont="1" applyFill="1" applyBorder="1" applyAlignment="1">
      <alignment horizontal="center" vertical="center"/>
    </xf>
    <xf numFmtId="165" fontId="18" fillId="3" borderId="36" xfId="0" applyNumberFormat="1" applyFont="1" applyFill="1" applyBorder="1" applyAlignment="1">
      <alignment horizontal="center" vertical="center" wrapText="1"/>
    </xf>
    <xf numFmtId="165" fontId="31" fillId="4" borderId="46" xfId="0" applyNumberFormat="1" applyFont="1" applyFill="1" applyBorder="1" applyAlignment="1">
      <alignment horizontal="center" vertical="center"/>
    </xf>
    <xf numFmtId="1" fontId="18" fillId="3" borderId="49" xfId="0" applyNumberFormat="1" applyFont="1" applyFill="1" applyBorder="1" applyAlignment="1">
      <alignment horizontal="center" vertical="center"/>
    </xf>
    <xf numFmtId="1" fontId="18" fillId="3" borderId="51" xfId="0" applyNumberFormat="1" applyFont="1" applyFill="1" applyBorder="1" applyAlignment="1">
      <alignment horizontal="center" vertical="center"/>
    </xf>
    <xf numFmtId="1" fontId="18" fillId="3" borderId="50" xfId="0" applyNumberFormat="1" applyFont="1" applyFill="1" applyBorder="1" applyAlignment="1">
      <alignment horizontal="center" vertical="center"/>
    </xf>
    <xf numFmtId="165" fontId="18" fillId="3" borderId="61" xfId="0" applyNumberFormat="1" applyFont="1" applyFill="1" applyBorder="1" applyAlignment="1">
      <alignment horizontal="center" vertical="center"/>
    </xf>
    <xf numFmtId="5" fontId="18" fillId="3" borderId="61" xfId="0" applyNumberFormat="1" applyFont="1" applyFill="1" applyBorder="1" applyAlignment="1">
      <alignment vertical="center"/>
    </xf>
    <xf numFmtId="1" fontId="18" fillId="3" borderId="61" xfId="0" applyNumberFormat="1" applyFont="1" applyFill="1" applyBorder="1" applyAlignment="1">
      <alignment horizontal="center" vertical="center"/>
    </xf>
    <xf numFmtId="165" fontId="36" fillId="4" borderId="36" xfId="0" applyFont="1" applyFill="1" applyBorder="1" applyAlignment="1">
      <alignment horizontal="center"/>
    </xf>
    <xf numFmtId="1" fontId="36" fillId="4" borderId="36" xfId="0" applyNumberFormat="1" applyFont="1" applyFill="1" applyBorder="1" applyAlignment="1">
      <alignment horizontal="center"/>
    </xf>
    <xf numFmtId="165" fontId="37" fillId="0" borderId="0" xfId="0" applyFont="1"/>
    <xf numFmtId="1" fontId="18" fillId="3" borderId="0" xfId="0" applyNumberFormat="1" applyFont="1" applyFill="1" applyBorder="1" applyAlignment="1">
      <alignment horizontal="center" vertical="center"/>
    </xf>
    <xf numFmtId="5" fontId="38" fillId="4" borderId="36" xfId="0" applyNumberFormat="1" applyFont="1" applyFill="1" applyBorder="1" applyAlignment="1">
      <alignment vertical="center"/>
    </xf>
    <xf numFmtId="164" fontId="20" fillId="3" borderId="26" xfId="0" applyNumberFormat="1" applyFont="1" applyFill="1" applyBorder="1" applyAlignment="1">
      <alignment horizontal="center"/>
    </xf>
    <xf numFmtId="164" fontId="0" fillId="14" borderId="14" xfId="1" applyNumberFormat="1" applyFont="1" applyFill="1" applyBorder="1"/>
    <xf numFmtId="164" fontId="15" fillId="3" borderId="14" xfId="1" applyNumberFormat="1" applyFont="1" applyFill="1" applyBorder="1"/>
    <xf numFmtId="5" fontId="31" fillId="3" borderId="50" xfId="0" applyNumberFormat="1" applyFont="1" applyFill="1" applyBorder="1" applyAlignment="1">
      <alignment vertical="center"/>
    </xf>
    <xf numFmtId="1" fontId="0" fillId="0" borderId="0" xfId="0" applyNumberFormat="1"/>
    <xf numFmtId="9" fontId="15" fillId="0" borderId="0" xfId="2" applyFont="1"/>
    <xf numFmtId="164" fontId="0" fillId="15" borderId="14" xfId="1" applyNumberFormat="1" applyFont="1" applyFill="1" applyBorder="1" applyAlignment="1">
      <alignment vertical="top"/>
    </xf>
    <xf numFmtId="164" fontId="0" fillId="3" borderId="0" xfId="1" applyNumberFormat="1" applyFont="1" applyFill="1" applyBorder="1" applyAlignment="1">
      <alignment horizontal="center" vertical="top"/>
    </xf>
    <xf numFmtId="165" fontId="0" fillId="0" borderId="64" xfId="0" applyBorder="1"/>
    <xf numFmtId="165" fontId="0" fillId="0" borderId="65" xfId="0" applyBorder="1"/>
    <xf numFmtId="164" fontId="0" fillId="3" borderId="63" xfId="1" applyNumberFormat="1" applyFont="1" applyFill="1" applyBorder="1" applyAlignment="1">
      <alignment horizontal="center"/>
    </xf>
    <xf numFmtId="164" fontId="0" fillId="3" borderId="64" xfId="1" applyNumberFormat="1" applyFont="1" applyFill="1" applyBorder="1" applyAlignment="1">
      <alignment horizontal="center"/>
    </xf>
    <xf numFmtId="164" fontId="0" fillId="3" borderId="64" xfId="1" applyNumberFormat="1" applyFont="1" applyFill="1" applyBorder="1"/>
    <xf numFmtId="164" fontId="0" fillId="3" borderId="65" xfId="1" applyNumberFormat="1" applyFont="1" applyFill="1" applyBorder="1"/>
    <xf numFmtId="164" fontId="0" fillId="3" borderId="63" xfId="1" applyNumberFormat="1" applyFont="1" applyFill="1" applyBorder="1"/>
    <xf numFmtId="164" fontId="0" fillId="3" borderId="62" xfId="1" applyNumberFormat="1" applyFont="1" applyFill="1" applyBorder="1"/>
    <xf numFmtId="165" fontId="4" fillId="9" borderId="62" xfId="0" applyFont="1" applyFill="1" applyBorder="1" applyAlignment="1">
      <alignment horizontal="center"/>
    </xf>
    <xf numFmtId="164" fontId="20" fillId="2" borderId="50" xfId="0" applyNumberFormat="1" applyFont="1" applyFill="1" applyBorder="1" applyAlignment="1">
      <alignment horizontal="center"/>
    </xf>
    <xf numFmtId="44" fontId="8" fillId="2" borderId="66" xfId="0" applyNumberFormat="1" applyFont="1" applyFill="1" applyBorder="1" applyAlignment="1">
      <alignment horizontal="center"/>
    </xf>
    <xf numFmtId="165" fontId="0" fillId="0" borderId="0" xfId="0" applyAlignment="1"/>
    <xf numFmtId="165" fontId="4" fillId="9" borderId="62" xfId="0" applyFont="1" applyFill="1" applyBorder="1" applyAlignment="1">
      <alignment horizontal="center" vertical="center"/>
    </xf>
    <xf numFmtId="44" fontId="10" fillId="3" borderId="0" xfId="0" applyNumberFormat="1" applyFont="1" applyFill="1" applyBorder="1" applyAlignment="1">
      <alignment horizontal="center"/>
    </xf>
    <xf numFmtId="17" fontId="6" fillId="11" borderId="12" xfId="0" applyNumberFormat="1" applyFont="1" applyFill="1" applyBorder="1" applyAlignment="1">
      <alignment horizontal="center" wrapText="1"/>
    </xf>
    <xf numFmtId="164" fontId="12" fillId="2" borderId="26" xfId="0" applyNumberFormat="1" applyFont="1" applyFill="1" applyBorder="1" applyAlignment="1">
      <alignment horizontal="center"/>
    </xf>
    <xf numFmtId="165" fontId="4" fillId="9" borderId="8" xfId="0" applyFont="1" applyFill="1" applyBorder="1" applyAlignment="1">
      <alignment horizontal="center" vertical="center" wrapText="1"/>
    </xf>
    <xf numFmtId="165" fontId="4" fillId="9" borderId="12" xfId="0" applyFont="1" applyFill="1" applyBorder="1" applyAlignment="1">
      <alignment horizontal="center" vertical="center" wrapText="1"/>
    </xf>
    <xf numFmtId="164" fontId="3" fillId="3" borderId="14" xfId="1" applyNumberFormat="1" applyFont="1" applyFill="1" applyBorder="1"/>
    <xf numFmtId="164" fontId="0" fillId="0" borderId="63" xfId="1" applyNumberFormat="1" applyFont="1" applyBorder="1"/>
    <xf numFmtId="164" fontId="0" fillId="0" borderId="64" xfId="1" applyNumberFormat="1" applyFont="1" applyBorder="1"/>
    <xf numFmtId="164" fontId="3" fillId="3" borderId="64" xfId="1" applyNumberFormat="1" applyFont="1" applyFill="1" applyBorder="1"/>
    <xf numFmtId="164" fontId="15" fillId="3" borderId="64" xfId="1" applyNumberFormat="1" applyFont="1" applyFill="1" applyBorder="1" applyAlignment="1">
      <alignment horizontal="center"/>
    </xf>
    <xf numFmtId="165" fontId="15" fillId="3" borderId="3" xfId="0" applyFont="1" applyFill="1" applyBorder="1"/>
    <xf numFmtId="164" fontId="15" fillId="3" borderId="14" xfId="1" applyNumberFormat="1" applyFont="1" applyFill="1" applyBorder="1" applyAlignment="1">
      <alignment vertical="top"/>
    </xf>
    <xf numFmtId="164" fontId="15" fillId="3" borderId="64" xfId="1" applyNumberFormat="1" applyFont="1" applyFill="1" applyBorder="1" applyAlignment="1">
      <alignment horizontal="center" vertical="top"/>
    </xf>
    <xf numFmtId="165" fontId="15" fillId="0" borderId="3" xfId="0" applyFont="1" applyBorder="1" applyAlignment="1">
      <alignment vertical="center"/>
    </xf>
    <xf numFmtId="164" fontId="3" fillId="0" borderId="65" xfId="1" applyNumberFormat="1" applyFont="1" applyBorder="1"/>
    <xf numFmtId="164" fontId="23" fillId="27" borderId="12" xfId="0" applyNumberFormat="1" applyFont="1" applyFill="1" applyBorder="1" applyAlignment="1">
      <alignment horizontal="center"/>
    </xf>
    <xf numFmtId="165" fontId="4" fillId="24" borderId="65" xfId="0" applyFont="1" applyFill="1" applyBorder="1" applyAlignment="1">
      <alignment horizontal="center"/>
    </xf>
    <xf numFmtId="164" fontId="6" fillId="25" borderId="69" xfId="0" applyNumberFormat="1" applyFont="1" applyFill="1" applyBorder="1" applyAlignment="1">
      <alignment horizontal="center"/>
    </xf>
    <xf numFmtId="10" fontId="6" fillId="25" borderId="70" xfId="0" applyNumberFormat="1" applyFont="1" applyFill="1" applyBorder="1" applyAlignment="1">
      <alignment horizontal="center"/>
    </xf>
    <xf numFmtId="164" fontId="8" fillId="26" borderId="71" xfId="0" applyNumberFormat="1" applyFont="1" applyFill="1" applyBorder="1" applyAlignment="1">
      <alignment horizontal="center"/>
    </xf>
    <xf numFmtId="164" fontId="8" fillId="26" borderId="72" xfId="0" applyNumberFormat="1" applyFont="1" applyFill="1" applyBorder="1" applyAlignment="1">
      <alignment horizontal="center"/>
    </xf>
    <xf numFmtId="164" fontId="20" fillId="26" borderId="71" xfId="0" applyNumberFormat="1" applyFont="1" applyFill="1" applyBorder="1" applyAlignment="1">
      <alignment horizontal="center"/>
    </xf>
    <xf numFmtId="9" fontId="8" fillId="26" borderId="72" xfId="2" applyFont="1" applyFill="1" applyBorder="1" applyAlignment="1">
      <alignment horizontal="center"/>
    </xf>
    <xf numFmtId="164" fontId="10" fillId="26" borderId="73" xfId="0" applyNumberFormat="1" applyFont="1" applyFill="1" applyBorder="1" applyAlignment="1">
      <alignment horizontal="center"/>
    </xf>
    <xf numFmtId="165" fontId="0" fillId="0" borderId="24" xfId="0" applyBorder="1"/>
    <xf numFmtId="165" fontId="0" fillId="0" borderId="67" xfId="0" applyBorder="1"/>
    <xf numFmtId="164" fontId="6" fillId="3" borderId="73" xfId="0" applyNumberFormat="1" applyFont="1" applyFill="1" applyBorder="1" applyAlignment="1">
      <alignment horizontal="center"/>
    </xf>
    <xf numFmtId="164" fontId="8" fillId="28" borderId="71" xfId="0" applyNumberFormat="1" applyFont="1" applyFill="1" applyBorder="1" applyAlignment="1">
      <alignment horizontal="center"/>
    </xf>
    <xf numFmtId="164" fontId="8" fillId="28" borderId="72" xfId="0" applyNumberFormat="1" applyFont="1" applyFill="1" applyBorder="1" applyAlignment="1">
      <alignment horizontal="center"/>
    </xf>
    <xf numFmtId="164" fontId="8" fillId="3" borderId="73" xfId="0" applyNumberFormat="1" applyFont="1" applyFill="1" applyBorder="1" applyAlignment="1">
      <alignment horizontal="center"/>
    </xf>
    <xf numFmtId="165" fontId="0" fillId="3" borderId="67" xfId="0" applyFill="1" applyBorder="1"/>
    <xf numFmtId="44" fontId="8" fillId="3" borderId="74" xfId="0" applyNumberFormat="1" applyFont="1" applyFill="1" applyBorder="1" applyAlignment="1">
      <alignment horizontal="center"/>
    </xf>
    <xf numFmtId="164" fontId="23" fillId="27" borderId="62" xfId="0" applyNumberFormat="1" applyFont="1" applyFill="1" applyBorder="1" applyAlignment="1">
      <alignment horizontal="center"/>
    </xf>
    <xf numFmtId="164" fontId="12" fillId="7" borderId="50" xfId="0" applyNumberFormat="1" applyFont="1" applyFill="1" applyBorder="1" applyAlignment="1">
      <alignment horizontal="center"/>
    </xf>
    <xf numFmtId="164" fontId="4" fillId="4" borderId="62" xfId="1" applyNumberFormat="1" applyFont="1" applyFill="1" applyBorder="1"/>
    <xf numFmtId="164" fontId="39" fillId="3" borderId="0" xfId="0" applyNumberFormat="1" applyFont="1" applyFill="1" applyBorder="1" applyAlignment="1">
      <alignment horizontal="center"/>
    </xf>
    <xf numFmtId="4" fontId="0" fillId="0" borderId="0" xfId="0" applyNumberFormat="1"/>
    <xf numFmtId="166" fontId="0" fillId="0" borderId="0" xfId="0" applyNumberFormat="1"/>
    <xf numFmtId="165" fontId="42" fillId="30" borderId="25" xfId="0" applyFont="1" applyFill="1" applyBorder="1" applyAlignment="1">
      <alignment vertical="center"/>
    </xf>
    <xf numFmtId="165" fontId="8" fillId="31" borderId="3" xfId="0" applyFont="1" applyFill="1" applyBorder="1" applyAlignment="1">
      <alignment horizontal="center" vertical="center"/>
    </xf>
    <xf numFmtId="165" fontId="8" fillId="31" borderId="75" xfId="0" applyFont="1" applyFill="1" applyBorder="1" applyAlignment="1">
      <alignment horizontal="center" vertical="center"/>
    </xf>
    <xf numFmtId="165" fontId="41" fillId="29" borderId="25" xfId="0" applyFont="1" applyFill="1" applyBorder="1" applyAlignment="1">
      <alignment vertical="center"/>
    </xf>
    <xf numFmtId="165" fontId="41" fillId="29" borderId="35" xfId="0" applyFont="1" applyFill="1" applyBorder="1" applyAlignment="1">
      <alignment horizontal="center" vertical="center"/>
    </xf>
    <xf numFmtId="167" fontId="0" fillId="0" borderId="0" xfId="3" applyNumberFormat="1" applyFont="1"/>
    <xf numFmtId="164" fontId="0" fillId="3" borderId="63" xfId="1" applyNumberFormat="1" applyFont="1" applyFill="1" applyBorder="1" applyAlignment="1">
      <alignment horizontal="center" vertical="center"/>
    </xf>
    <xf numFmtId="164" fontId="0" fillId="3" borderId="64" xfId="1" applyNumberFormat="1" applyFont="1" applyFill="1" applyBorder="1" applyAlignment="1">
      <alignment horizontal="center" vertical="center"/>
    </xf>
    <xf numFmtId="17" fontId="40" fillId="26" borderId="6" xfId="0" applyNumberFormat="1" applyFont="1" applyFill="1" applyBorder="1" applyAlignment="1">
      <alignment horizontal="center" vertical="center"/>
    </xf>
    <xf numFmtId="17" fontId="40" fillId="26" borderId="7" xfId="0" applyNumberFormat="1" applyFont="1" applyFill="1" applyBorder="1" applyAlignment="1">
      <alignment horizontal="center" vertical="center"/>
    </xf>
    <xf numFmtId="17" fontId="40" fillId="26" borderId="68" xfId="0" applyNumberFormat="1" applyFont="1" applyFill="1" applyBorder="1" applyAlignment="1">
      <alignment horizontal="center" vertical="center"/>
    </xf>
    <xf numFmtId="165" fontId="22" fillId="0" borderId="0" xfId="0" applyFont="1" applyAlignment="1">
      <alignment horizontal="left" vertical="center" wrapText="1"/>
    </xf>
    <xf numFmtId="165" fontId="22" fillId="0" borderId="5" xfId="0" applyFont="1" applyBorder="1" applyAlignment="1">
      <alignment horizontal="left" vertical="center" wrapText="1"/>
    </xf>
    <xf numFmtId="165" fontId="4" fillId="9" borderId="6" xfId="0" applyFont="1" applyFill="1" applyBorder="1" applyAlignment="1">
      <alignment horizontal="left" wrapText="1"/>
    </xf>
    <xf numFmtId="165" fontId="4" fillId="9" borderId="7" xfId="0" applyFont="1" applyFill="1" applyBorder="1" applyAlignment="1">
      <alignment horizontal="left" wrapText="1"/>
    </xf>
    <xf numFmtId="165" fontId="4" fillId="9" borderId="6" xfId="0" applyFont="1" applyFill="1" applyBorder="1" applyAlignment="1">
      <alignment horizontal="left" vertical="top" wrapText="1"/>
    </xf>
    <xf numFmtId="165" fontId="4" fillId="9" borderId="7" xfId="0" applyFont="1" applyFill="1" applyBorder="1" applyAlignment="1">
      <alignment horizontal="left" vertical="top" wrapText="1"/>
    </xf>
    <xf numFmtId="165" fontId="6" fillId="6" borderId="23" xfId="0" applyFont="1" applyFill="1" applyBorder="1" applyAlignment="1">
      <alignment horizontal="center"/>
    </xf>
    <xf numFmtId="165" fontId="41" fillId="29" borderId="23" xfId="0" applyFont="1" applyFill="1" applyBorder="1" applyAlignment="1">
      <alignment horizontal="center" vertical="center"/>
    </xf>
    <xf numFmtId="165" fontId="18" fillId="3" borderId="56" xfId="0" applyNumberFormat="1" applyFont="1" applyFill="1" applyBorder="1" applyAlignment="1">
      <alignment horizontal="center" vertical="center" wrapText="1"/>
    </xf>
    <xf numFmtId="165" fontId="18" fillId="3" borderId="58" xfId="0" applyNumberFormat="1" applyFont="1" applyFill="1" applyBorder="1" applyAlignment="1">
      <alignment horizontal="center" vertical="center" wrapText="1"/>
    </xf>
    <xf numFmtId="165" fontId="38" fillId="4" borderId="36" xfId="0" applyNumberFormat="1" applyFont="1" applyFill="1" applyBorder="1" applyAlignment="1">
      <alignment horizontal="left" vertical="center"/>
    </xf>
    <xf numFmtId="1" fontId="35" fillId="22" borderId="43" xfId="0" applyNumberFormat="1" applyFont="1" applyFill="1" applyBorder="1" applyAlignment="1">
      <alignment horizontal="center"/>
    </xf>
    <xf numFmtId="1" fontId="35" fillId="22" borderId="41" xfId="0" applyNumberFormat="1" applyFont="1" applyFill="1" applyBorder="1" applyAlignment="1">
      <alignment horizontal="center"/>
    </xf>
    <xf numFmtId="1" fontId="35" fillId="22" borderId="44" xfId="0" applyNumberFormat="1" applyFont="1" applyFill="1" applyBorder="1" applyAlignment="1">
      <alignment horizontal="center"/>
    </xf>
    <xf numFmtId="1" fontId="35" fillId="19" borderId="43" xfId="0" applyNumberFormat="1" applyFont="1" applyFill="1" applyBorder="1" applyAlignment="1">
      <alignment horizontal="center"/>
    </xf>
    <xf numFmtId="1" fontId="35" fillId="19" borderId="41" xfId="0" applyNumberFormat="1" applyFont="1" applyFill="1" applyBorder="1" applyAlignment="1">
      <alignment horizontal="center"/>
    </xf>
    <xf numFmtId="1" fontId="35" fillId="19" borderId="44" xfId="0" applyNumberFormat="1" applyFont="1" applyFill="1" applyBorder="1" applyAlignment="1">
      <alignment horizontal="center"/>
    </xf>
    <xf numFmtId="165" fontId="18" fillId="3" borderId="60" xfId="0" applyNumberFormat="1" applyFont="1" applyFill="1" applyBorder="1" applyAlignment="1">
      <alignment horizontal="center" vertical="center" wrapText="1"/>
    </xf>
    <xf numFmtId="165" fontId="18" fillId="3" borderId="18" xfId="0" applyNumberFormat="1" applyFont="1" applyFill="1" applyBorder="1" applyAlignment="1">
      <alignment horizontal="center" vertical="center" wrapText="1"/>
    </xf>
    <xf numFmtId="165" fontId="18" fillId="3" borderId="47" xfId="0" applyNumberFormat="1" applyFont="1" applyFill="1" applyBorder="1" applyAlignment="1">
      <alignment horizontal="center" vertical="center" wrapText="1"/>
    </xf>
    <xf numFmtId="165" fontId="18" fillId="3" borderId="57" xfId="0" applyNumberFormat="1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"/>
  <sheetViews>
    <sheetView showGridLines="0" tabSelected="1" topLeftCell="A77" zoomScale="90" zoomScaleNormal="90" workbookViewId="0">
      <selection activeCell="O91" sqref="O91"/>
    </sheetView>
  </sheetViews>
  <sheetFormatPr defaultRowHeight="15" x14ac:dyDescent="0.25"/>
  <cols>
    <col min="1" max="1" width="4.5703125" style="72" customWidth="1"/>
    <col min="2" max="2" width="4.140625" customWidth="1"/>
    <col min="3" max="3" width="3.7109375" style="72" customWidth="1"/>
    <col min="4" max="4" width="54.42578125" style="72" customWidth="1"/>
    <col min="5" max="5" width="16.5703125" customWidth="1"/>
    <col min="6" max="6" width="17.28515625" hidden="1" customWidth="1"/>
    <col min="7" max="7" width="20.5703125" hidden="1" customWidth="1"/>
    <col min="8" max="8" width="17.5703125" customWidth="1"/>
    <col min="9" max="9" width="18.7109375" style="72" customWidth="1"/>
    <col min="10" max="10" width="15.42578125" style="72" customWidth="1"/>
    <col min="11" max="11" width="3.28515625" customWidth="1"/>
    <col min="12" max="12" width="19.7109375" customWidth="1"/>
    <col min="13" max="13" width="0.7109375" customWidth="1"/>
    <col min="14" max="14" width="16.42578125" customWidth="1"/>
    <col min="15" max="15" width="15.42578125" bestFit="1" customWidth="1"/>
    <col min="16" max="16" width="13.85546875" customWidth="1"/>
    <col min="17" max="17" width="8.42578125" customWidth="1"/>
    <col min="18" max="18" width="36.85546875" customWidth="1"/>
  </cols>
  <sheetData>
    <row r="1" spans="1:18" s="72" customFormat="1" ht="15.75" thickBot="1" x14ac:dyDescent="0.3"/>
    <row r="2" spans="1:18" s="11" customFormat="1" ht="27.75" thickBot="1" x14ac:dyDescent="0.3">
      <c r="A2" s="72"/>
      <c r="B2" s="344" t="s">
        <v>70</v>
      </c>
      <c r="C2" s="344"/>
      <c r="D2" s="344"/>
      <c r="E2" s="344"/>
      <c r="F2" s="83" t="s">
        <v>56</v>
      </c>
      <c r="G2" s="84" t="s">
        <v>57</v>
      </c>
      <c r="H2" s="85" t="s">
        <v>161</v>
      </c>
      <c r="I2" s="296" t="s">
        <v>169</v>
      </c>
      <c r="J2" s="72"/>
      <c r="L2" s="341" t="s">
        <v>168</v>
      </c>
      <c r="M2" s="342"/>
      <c r="N2" s="343"/>
      <c r="P2" s="11" t="s">
        <v>174</v>
      </c>
      <c r="R2" s="11" t="s">
        <v>178</v>
      </c>
    </row>
    <row r="3" spans="1:18" s="11" customFormat="1" ht="15.75" customHeight="1" thickBot="1" x14ac:dyDescent="0.3">
      <c r="A3" s="72"/>
      <c r="B3" s="345"/>
      <c r="C3" s="345"/>
      <c r="D3" s="345"/>
      <c r="E3" s="345"/>
      <c r="F3" s="86" t="s">
        <v>58</v>
      </c>
      <c r="G3" s="87" t="s">
        <v>59</v>
      </c>
      <c r="H3" s="88" t="s">
        <v>60</v>
      </c>
      <c r="I3" s="88" t="s">
        <v>164</v>
      </c>
      <c r="J3" s="150"/>
      <c r="L3" s="311" t="s">
        <v>162</v>
      </c>
      <c r="M3" s="73"/>
      <c r="N3" s="311" t="s">
        <v>167</v>
      </c>
    </row>
    <row r="4" spans="1:18" s="11" customFormat="1" x14ac:dyDescent="0.25">
      <c r="A4" s="72"/>
      <c r="B4" s="89" t="s">
        <v>0</v>
      </c>
      <c r="C4" s="90"/>
      <c r="D4" s="89"/>
      <c r="E4" s="90"/>
      <c r="F4" s="91">
        <f>F54</f>
        <v>1128000</v>
      </c>
      <c r="G4" s="91">
        <f>G54</f>
        <v>1128000</v>
      </c>
      <c r="H4" s="91">
        <f>SUM(H6:H11)</f>
        <v>2223427.08</v>
      </c>
      <c r="I4" s="91">
        <v>2223427.08</v>
      </c>
      <c r="J4" s="144"/>
      <c r="K4" s="72"/>
      <c r="L4" s="312">
        <f>SUM(L6:L11)</f>
        <v>2530167.0100000002</v>
      </c>
      <c r="M4" s="73"/>
      <c r="N4" s="313">
        <f>(L4-H4)/H4</f>
        <v>0.13795816951190509</v>
      </c>
      <c r="P4" s="11" t="s">
        <v>5</v>
      </c>
      <c r="R4" s="332">
        <v>1995964</v>
      </c>
    </row>
    <row r="5" spans="1:18" s="72" customFormat="1" ht="15.75" x14ac:dyDescent="0.3">
      <c r="B5" s="92"/>
      <c r="C5" s="93" t="s">
        <v>38</v>
      </c>
      <c r="D5" s="93"/>
      <c r="E5" s="94"/>
      <c r="F5" s="95"/>
      <c r="G5" s="96"/>
      <c r="H5" s="96"/>
      <c r="I5" s="96"/>
      <c r="J5" s="145"/>
      <c r="L5" s="314"/>
      <c r="M5" s="73"/>
      <c r="N5" s="315"/>
    </row>
    <row r="6" spans="1:18" s="72" customFormat="1" ht="15.75" x14ac:dyDescent="0.3">
      <c r="B6" s="92"/>
      <c r="C6" s="93"/>
      <c r="D6" s="97" t="s">
        <v>145</v>
      </c>
      <c r="E6" s="94"/>
      <c r="F6" s="159">
        <f>F50</f>
        <v>980000</v>
      </c>
      <c r="G6" s="159">
        <f>G50</f>
        <v>980000</v>
      </c>
      <c r="H6" s="159">
        <f>H50+H52+H53</f>
        <v>1805427.08</v>
      </c>
      <c r="I6" s="159">
        <f>I50+I52+I53</f>
        <v>1805427.08</v>
      </c>
      <c r="J6" s="151"/>
      <c r="L6" s="316">
        <f>L50</f>
        <v>1995963.83</v>
      </c>
      <c r="M6" s="73"/>
      <c r="N6" s="317">
        <f>(L6-H6)/H6</f>
        <v>0.10553555560936861</v>
      </c>
      <c r="P6" s="72" t="s">
        <v>175</v>
      </c>
      <c r="R6" s="332">
        <f>SUM(H48,H49,H57,H63,H67,H73,H74,H75,H90)</f>
        <v>3009834.0599999996</v>
      </c>
    </row>
    <row r="7" spans="1:18" s="72" customFormat="1" ht="15.75" x14ac:dyDescent="0.3">
      <c r="B7" s="92"/>
      <c r="C7" s="93"/>
      <c r="D7" s="97" t="s">
        <v>40</v>
      </c>
      <c r="E7" s="94"/>
      <c r="F7" s="159">
        <f>F48+F49</f>
        <v>148000</v>
      </c>
      <c r="G7" s="159">
        <f>G48+G49</f>
        <v>148000</v>
      </c>
      <c r="H7" s="159">
        <f>H48+H49</f>
        <v>148000</v>
      </c>
      <c r="I7" s="159">
        <f>I48+I49</f>
        <v>148000</v>
      </c>
      <c r="J7" s="151"/>
      <c r="L7" s="316">
        <v>179203.18</v>
      </c>
      <c r="M7" s="73"/>
      <c r="N7" s="317">
        <f>(L7-H7)/H7</f>
        <v>0.21083229729729724</v>
      </c>
      <c r="P7" s="72" t="s">
        <v>176</v>
      </c>
      <c r="R7" s="332">
        <f>SUM(I58,I59,I68,I82,I83,I84,I85)</f>
        <v>507000</v>
      </c>
    </row>
    <row r="8" spans="1:18" s="72" customFormat="1" ht="15.75" x14ac:dyDescent="0.3">
      <c r="B8" s="92"/>
      <c r="C8" s="93"/>
      <c r="D8" s="97" t="s">
        <v>41</v>
      </c>
      <c r="E8" s="94"/>
      <c r="F8" s="159">
        <f t="shared" ref="F8:G8" si="0">F51</f>
        <v>0</v>
      </c>
      <c r="G8" s="159">
        <f t="shared" si="0"/>
        <v>0</v>
      </c>
      <c r="H8" s="159">
        <f>H51</f>
        <v>270000</v>
      </c>
      <c r="I8" s="159">
        <f>I51</f>
        <v>270000</v>
      </c>
      <c r="J8" s="151"/>
      <c r="L8" s="316">
        <v>270000</v>
      </c>
      <c r="M8" s="73"/>
      <c r="N8" s="315"/>
      <c r="P8" s="72" t="s">
        <v>179</v>
      </c>
      <c r="R8" s="331">
        <f>SUM(H76,I77,H78,H80,H81)</f>
        <v>1162000</v>
      </c>
    </row>
    <row r="9" spans="1:18" s="72" customFormat="1" ht="15.75" x14ac:dyDescent="0.3">
      <c r="B9" s="92"/>
      <c r="C9" s="93" t="s">
        <v>42</v>
      </c>
      <c r="D9" s="97"/>
      <c r="E9" s="94"/>
      <c r="F9" s="95"/>
      <c r="G9" s="96"/>
      <c r="H9" s="96"/>
      <c r="I9" s="96"/>
      <c r="J9" s="145"/>
      <c r="L9" s="316">
        <v>85000</v>
      </c>
      <c r="M9" s="73"/>
      <c r="N9" s="315"/>
      <c r="P9" s="72" t="s">
        <v>180</v>
      </c>
      <c r="R9" s="331">
        <f>SUM(H92,H93)</f>
        <v>698774.5</v>
      </c>
    </row>
    <row r="10" spans="1:18" s="72" customFormat="1" ht="15.75" x14ac:dyDescent="0.3">
      <c r="B10" s="92"/>
      <c r="C10" s="93"/>
      <c r="D10" s="97" t="s">
        <v>39</v>
      </c>
      <c r="E10" s="94"/>
      <c r="F10" s="160" t="e">
        <f>#REF!+F50</f>
        <v>#REF!</v>
      </c>
      <c r="G10" s="160" t="e">
        <f>#REF!</f>
        <v>#REF!</v>
      </c>
      <c r="H10" s="160"/>
      <c r="I10" s="160"/>
      <c r="J10" s="143"/>
      <c r="L10" s="318"/>
      <c r="M10" s="73"/>
      <c r="N10" s="315"/>
    </row>
    <row r="11" spans="1:18" s="72" customFormat="1" ht="15.75" x14ac:dyDescent="0.3">
      <c r="B11" s="92"/>
      <c r="C11" s="93"/>
      <c r="D11" s="97" t="s">
        <v>43</v>
      </c>
      <c r="E11" s="94"/>
      <c r="F11" s="160" t="e">
        <f>#REF!</f>
        <v>#REF!</v>
      </c>
      <c r="G11" s="160" t="e">
        <f>#REF!</f>
        <v>#REF!</v>
      </c>
      <c r="H11" s="160"/>
      <c r="I11" s="160"/>
      <c r="J11" s="143"/>
      <c r="L11" s="318"/>
      <c r="M11" s="73"/>
      <c r="N11" s="315"/>
      <c r="P11" s="72" t="s">
        <v>177</v>
      </c>
      <c r="R11" s="331">
        <f>SUM(H82,H83)*0.3</f>
        <v>60600</v>
      </c>
    </row>
    <row r="12" spans="1:18" s="72" customFormat="1" ht="3" customHeight="1" thickBot="1" x14ac:dyDescent="0.35">
      <c r="B12" s="98"/>
      <c r="C12" s="99"/>
      <c r="D12" s="100"/>
      <c r="E12" s="101"/>
      <c r="F12" s="102"/>
      <c r="G12" s="102"/>
      <c r="H12" s="102"/>
      <c r="I12" s="102"/>
      <c r="J12" s="143"/>
      <c r="L12" s="319"/>
      <c r="M12" s="73"/>
      <c r="N12" s="320"/>
      <c r="R12" s="331">
        <f t="shared" ref="R12:R14" si="1">R9*0.3</f>
        <v>209632.35</v>
      </c>
    </row>
    <row r="13" spans="1:18" s="11" customFormat="1" x14ac:dyDescent="0.25">
      <c r="A13" s="72"/>
      <c r="B13" s="103" t="s">
        <v>10</v>
      </c>
      <c r="C13" s="104"/>
      <c r="D13" s="104"/>
      <c r="E13" s="105"/>
      <c r="F13" s="106">
        <f>F60</f>
        <v>929928.54</v>
      </c>
      <c r="G13" s="107">
        <f>G60</f>
        <v>929928.54</v>
      </c>
      <c r="H13" s="107">
        <f>H60</f>
        <v>970797.15249999997</v>
      </c>
      <c r="I13" s="107">
        <v>970797.15249999997</v>
      </c>
      <c r="J13" s="144"/>
      <c r="L13" s="312">
        <v>970797</v>
      </c>
      <c r="M13" s="73"/>
      <c r="N13" s="313">
        <f t="shared" ref="N13" si="2">(L13-H13)/H13</f>
        <v>-1.5708739933433592E-7</v>
      </c>
      <c r="P13" s="72" t="s">
        <v>181</v>
      </c>
      <c r="R13" s="331">
        <f>R8*0.3</f>
        <v>348600</v>
      </c>
    </row>
    <row r="14" spans="1:18" s="72" customFormat="1" ht="3" customHeight="1" thickBot="1" x14ac:dyDescent="0.3">
      <c r="B14" s="108"/>
      <c r="C14" s="109"/>
      <c r="D14" s="109"/>
      <c r="E14" s="110"/>
      <c r="F14" s="111"/>
      <c r="G14" s="112"/>
      <c r="H14" s="112"/>
      <c r="I14" s="112"/>
      <c r="J14" s="144"/>
      <c r="L14" s="321"/>
      <c r="M14" s="73"/>
      <c r="N14" s="321"/>
      <c r="R14" s="331">
        <f t="shared" si="1"/>
        <v>18180</v>
      </c>
    </row>
    <row r="15" spans="1:18" s="11" customFormat="1" x14ac:dyDescent="0.25">
      <c r="A15" s="72"/>
      <c r="B15" s="103" t="s">
        <v>15</v>
      </c>
      <c r="C15" s="104"/>
      <c r="D15" s="104"/>
      <c r="E15" s="105"/>
      <c r="F15" s="106">
        <f>F64</f>
        <v>482286.03</v>
      </c>
      <c r="G15" s="107">
        <f>G64</f>
        <v>482286.03</v>
      </c>
      <c r="H15" s="107">
        <f>H64</f>
        <v>457383.3075</v>
      </c>
      <c r="I15" s="107">
        <v>457383.3075</v>
      </c>
      <c r="J15" s="144"/>
      <c r="L15" s="312">
        <f>L64</f>
        <v>1002000</v>
      </c>
      <c r="M15" s="73"/>
      <c r="N15" s="313">
        <f>(L15-H15)/H15</f>
        <v>1.1907227123718327</v>
      </c>
      <c r="P15" s="11" t="s">
        <v>182</v>
      </c>
      <c r="R15" s="331">
        <f>R9*0.3</f>
        <v>209632.35</v>
      </c>
    </row>
    <row r="16" spans="1:18" s="72" customFormat="1" ht="3" customHeight="1" thickBot="1" x14ac:dyDescent="0.3">
      <c r="B16" s="108"/>
      <c r="C16" s="109"/>
      <c r="D16" s="109"/>
      <c r="E16" s="110"/>
      <c r="F16" s="111"/>
      <c r="G16" s="112"/>
      <c r="H16" s="112"/>
      <c r="I16" s="112"/>
      <c r="J16" s="144"/>
      <c r="L16" s="321"/>
      <c r="M16" s="73"/>
      <c r="N16" s="321"/>
    </row>
    <row r="17" spans="1:14" s="11" customFormat="1" x14ac:dyDescent="0.25">
      <c r="A17" s="72"/>
      <c r="B17" s="103" t="s">
        <v>106</v>
      </c>
      <c r="C17" s="158"/>
      <c r="D17" s="158"/>
      <c r="E17" s="105"/>
      <c r="F17" s="106">
        <f>F70</f>
        <v>346823.61</v>
      </c>
      <c r="G17" s="107">
        <f>G70</f>
        <v>346823.61</v>
      </c>
      <c r="H17" s="107">
        <f>H70</f>
        <v>371823.61</v>
      </c>
      <c r="I17" s="107">
        <v>371823.61</v>
      </c>
      <c r="J17" s="144"/>
      <c r="L17" s="312">
        <f>O70</f>
        <v>521823.61</v>
      </c>
      <c r="M17" s="73"/>
      <c r="N17" s="313">
        <f t="shared" ref="N17:N19" si="3">(L17-H17)/H17</f>
        <v>0.40341709339006204</v>
      </c>
    </row>
    <row r="18" spans="1:14" s="72" customFormat="1" ht="3" customHeight="1" thickBot="1" x14ac:dyDescent="0.3">
      <c r="B18" s="108"/>
      <c r="C18" s="109"/>
      <c r="D18" s="109"/>
      <c r="E18" s="110"/>
      <c r="F18" s="111"/>
      <c r="G18" s="112"/>
      <c r="H18" s="112"/>
      <c r="I18" s="112"/>
      <c r="J18" s="144"/>
      <c r="L18" s="321"/>
      <c r="M18" s="73"/>
      <c r="N18" s="320"/>
    </row>
    <row r="19" spans="1:14" s="11" customFormat="1" x14ac:dyDescent="0.25">
      <c r="A19" s="72"/>
      <c r="B19" s="103" t="s">
        <v>107</v>
      </c>
      <c r="C19" s="104"/>
      <c r="D19" s="104"/>
      <c r="E19" s="105"/>
      <c r="F19" s="107">
        <f>SUM(F20:F26)</f>
        <v>1238221.82</v>
      </c>
      <c r="G19" s="107">
        <f>SUM(G20:G26)</f>
        <v>3600311.82</v>
      </c>
      <c r="H19" s="107">
        <f>SUM(H20:H26)</f>
        <v>2531239</v>
      </c>
      <c r="I19" s="107">
        <f>SUM(I20:I26)</f>
        <v>2775566</v>
      </c>
      <c r="J19" s="144"/>
      <c r="L19" s="312">
        <f>I19</f>
        <v>2775566</v>
      </c>
      <c r="M19" s="73"/>
      <c r="N19" s="313">
        <f t="shared" si="3"/>
        <v>9.65246663787971E-2</v>
      </c>
    </row>
    <row r="20" spans="1:14" s="72" customFormat="1" ht="15.75" x14ac:dyDescent="0.3">
      <c r="B20" s="113"/>
      <c r="C20" s="114" t="s">
        <v>44</v>
      </c>
      <c r="D20" s="114"/>
      <c r="E20" s="115"/>
      <c r="F20" s="116"/>
      <c r="G20" s="116"/>
      <c r="H20" s="116"/>
      <c r="I20" s="116"/>
      <c r="J20" s="151"/>
      <c r="L20" s="314"/>
      <c r="M20" s="73"/>
      <c r="N20" s="315"/>
    </row>
    <row r="21" spans="1:14" s="72" customFormat="1" ht="15.75" x14ac:dyDescent="0.3">
      <c r="B21" s="113"/>
      <c r="C21" s="114"/>
      <c r="D21" s="161" t="s">
        <v>71</v>
      </c>
      <c r="E21" s="115"/>
      <c r="F21" s="162">
        <f>F73+F74</f>
        <v>588221.82000000007</v>
      </c>
      <c r="G21" s="162">
        <f>G73+G74</f>
        <v>588221.81999999995</v>
      </c>
      <c r="H21" s="162">
        <f>H73+H74</f>
        <v>469998</v>
      </c>
      <c r="I21" s="162">
        <f>I73+I74</f>
        <v>469998</v>
      </c>
      <c r="J21" s="151"/>
      <c r="L21" s="314"/>
      <c r="M21" s="73"/>
      <c r="N21" s="315"/>
    </row>
    <row r="22" spans="1:14" s="72" customFormat="1" ht="15.75" x14ac:dyDescent="0.3">
      <c r="B22" s="113"/>
      <c r="C22" s="114" t="s">
        <v>45</v>
      </c>
      <c r="D22" s="114"/>
      <c r="E22" s="115"/>
      <c r="F22" s="162"/>
      <c r="G22" s="162"/>
      <c r="H22" s="162"/>
      <c r="I22" s="162"/>
      <c r="J22" s="151"/>
      <c r="L22" s="314"/>
      <c r="M22" s="73"/>
      <c r="N22" s="315"/>
    </row>
    <row r="23" spans="1:14" s="72" customFormat="1" ht="15.75" x14ac:dyDescent="0.3">
      <c r="B23" s="113"/>
      <c r="C23" s="114"/>
      <c r="D23" s="161" t="s">
        <v>46</v>
      </c>
      <c r="E23" s="115"/>
      <c r="F23" s="162">
        <f>F75</f>
        <v>0</v>
      </c>
      <c r="G23" s="162">
        <f>G75</f>
        <v>507090</v>
      </c>
      <c r="H23" s="162">
        <f>H75</f>
        <v>400368</v>
      </c>
      <c r="I23" s="162">
        <f>I75</f>
        <v>400368</v>
      </c>
      <c r="J23" s="151"/>
      <c r="L23" s="314"/>
      <c r="M23" s="73"/>
      <c r="N23" s="315"/>
    </row>
    <row r="24" spans="1:14" s="72" customFormat="1" ht="15.75" x14ac:dyDescent="0.3">
      <c r="B24" s="113"/>
      <c r="C24" s="114"/>
      <c r="D24" s="161" t="s">
        <v>47</v>
      </c>
      <c r="E24" s="115"/>
      <c r="F24" s="162">
        <f>F78+F80+F81+F82+F83+F76</f>
        <v>0</v>
      </c>
      <c r="G24" s="162">
        <f>G76+G78+G80+G81+G82+G83</f>
        <v>1455000</v>
      </c>
      <c r="H24" s="162">
        <f>SUM(H76:H85)</f>
        <v>1274000</v>
      </c>
      <c r="I24" s="297">
        <f>SUM(I76:I85)</f>
        <v>1514000</v>
      </c>
      <c r="J24" s="151"/>
      <c r="L24" s="314"/>
      <c r="M24" s="73"/>
      <c r="N24" s="315"/>
    </row>
    <row r="25" spans="1:14" s="72" customFormat="1" ht="15.75" x14ac:dyDescent="0.3">
      <c r="B25" s="113"/>
      <c r="C25" s="114"/>
      <c r="D25" s="161" t="s">
        <v>68</v>
      </c>
      <c r="E25" s="115"/>
      <c r="F25" s="163">
        <f>F79</f>
        <v>0</v>
      </c>
      <c r="G25" s="163">
        <f>G79</f>
        <v>400000</v>
      </c>
      <c r="H25" s="274">
        <f>H79</f>
        <v>0</v>
      </c>
      <c r="I25" s="274">
        <f>I79</f>
        <v>0</v>
      </c>
      <c r="J25" s="151"/>
      <c r="L25" s="322"/>
      <c r="M25" s="73"/>
      <c r="N25" s="323"/>
    </row>
    <row r="26" spans="1:14" s="72" customFormat="1" ht="15.75" x14ac:dyDescent="0.3">
      <c r="B26" s="113"/>
      <c r="C26" s="114" t="s">
        <v>69</v>
      </c>
      <c r="D26" s="161"/>
      <c r="E26" s="115"/>
      <c r="F26" s="162">
        <f>F86</f>
        <v>650000</v>
      </c>
      <c r="G26" s="162">
        <f>G86</f>
        <v>650000</v>
      </c>
      <c r="H26" s="162">
        <f>H86</f>
        <v>386873</v>
      </c>
      <c r="I26" s="297">
        <f>I86</f>
        <v>391200</v>
      </c>
      <c r="J26" s="151"/>
      <c r="L26" s="314"/>
      <c r="M26" s="73"/>
      <c r="N26" s="315"/>
    </row>
    <row r="27" spans="1:14" s="76" customFormat="1" ht="3" customHeight="1" thickBot="1" x14ac:dyDescent="0.35">
      <c r="B27" s="118"/>
      <c r="C27" s="119"/>
      <c r="D27" s="120"/>
      <c r="E27" s="121"/>
      <c r="F27" s="122"/>
      <c r="G27" s="123"/>
      <c r="H27" s="123"/>
      <c r="I27" s="123"/>
      <c r="J27" s="145"/>
      <c r="L27" s="324"/>
      <c r="M27" s="74"/>
      <c r="N27" s="325"/>
    </row>
    <row r="28" spans="1:14" s="11" customFormat="1" x14ac:dyDescent="0.25">
      <c r="A28" s="72"/>
      <c r="B28" s="103" t="s">
        <v>108</v>
      </c>
      <c r="C28" s="104"/>
      <c r="D28" s="104"/>
      <c r="E28" s="105"/>
      <c r="F28" s="107">
        <f>F94</f>
        <v>0</v>
      </c>
      <c r="G28" s="107">
        <f>G94</f>
        <v>652550</v>
      </c>
      <c r="H28" s="107">
        <f>H94</f>
        <v>985238.49</v>
      </c>
      <c r="I28" s="107">
        <v>985238.49</v>
      </c>
      <c r="J28" s="144"/>
      <c r="L28" s="312">
        <v>1194871</v>
      </c>
      <c r="M28" s="73"/>
      <c r="N28" s="313">
        <f t="shared" ref="N28" si="4">(L28-H28)/H28</f>
        <v>0.21277336617248888</v>
      </c>
    </row>
    <row r="29" spans="1:14" s="72" customFormat="1" ht="15.75" x14ac:dyDescent="0.3">
      <c r="B29" s="113"/>
      <c r="C29" s="114" t="s">
        <v>48</v>
      </c>
      <c r="D29" s="117"/>
      <c r="E29" s="115"/>
      <c r="F29" s="116"/>
      <c r="G29" s="116"/>
      <c r="H29" s="116"/>
      <c r="I29" s="116"/>
      <c r="J29" s="151"/>
      <c r="L29" s="314"/>
      <c r="M29" s="73"/>
      <c r="N29" s="315"/>
    </row>
    <row r="30" spans="1:14" s="72" customFormat="1" ht="15.75" x14ac:dyDescent="0.3">
      <c r="B30" s="113"/>
      <c r="C30" s="114"/>
      <c r="D30" s="161" t="s">
        <v>46</v>
      </c>
      <c r="E30" s="115"/>
      <c r="F30" s="162">
        <f>'Custo '!F90</f>
        <v>0</v>
      </c>
      <c r="G30" s="162">
        <f>'Custo '!G90</f>
        <v>0</v>
      </c>
      <c r="H30" s="162">
        <v>286463.99</v>
      </c>
      <c r="I30" s="162">
        <v>286463.99</v>
      </c>
      <c r="J30" s="151"/>
      <c r="L30" s="314"/>
      <c r="M30" s="73"/>
      <c r="N30" s="315"/>
    </row>
    <row r="31" spans="1:14" s="72" customFormat="1" ht="15.75" x14ac:dyDescent="0.3">
      <c r="B31" s="113"/>
      <c r="C31" s="114"/>
      <c r="D31" s="161" t="s">
        <v>92</v>
      </c>
      <c r="E31" s="115"/>
      <c r="F31" s="162">
        <f>F91+F92+F93</f>
        <v>0</v>
      </c>
      <c r="G31" s="162">
        <f>G92+G93</f>
        <v>402550</v>
      </c>
      <c r="H31" s="162">
        <f>H92+H93</f>
        <v>698774.5</v>
      </c>
      <c r="I31" s="162">
        <f>I92+I93</f>
        <v>698774.5</v>
      </c>
      <c r="J31" s="152"/>
      <c r="L31" s="314"/>
      <c r="M31" s="73"/>
      <c r="N31" s="315"/>
    </row>
    <row r="32" spans="1:14" s="72" customFormat="1" ht="15.75" x14ac:dyDescent="0.3">
      <c r="B32" s="113"/>
      <c r="C32" s="114"/>
      <c r="D32" s="161" t="s">
        <v>94</v>
      </c>
      <c r="E32" s="115"/>
      <c r="F32" s="163">
        <f>F91</f>
        <v>0</v>
      </c>
      <c r="G32" s="163">
        <f>G91</f>
        <v>250000</v>
      </c>
      <c r="H32" s="116"/>
      <c r="I32" s="116"/>
      <c r="J32" s="152"/>
      <c r="L32" s="322"/>
      <c r="M32" s="73"/>
      <c r="N32" s="323"/>
    </row>
    <row r="33" spans="1:15" s="76" customFormat="1" ht="3" customHeight="1" thickBot="1" x14ac:dyDescent="0.35">
      <c r="B33" s="124"/>
      <c r="C33" s="125"/>
      <c r="D33" s="125"/>
      <c r="E33" s="126"/>
      <c r="F33" s="127"/>
      <c r="G33" s="128"/>
      <c r="H33" s="128"/>
      <c r="I33" s="128"/>
      <c r="J33" s="146"/>
      <c r="K33" s="74"/>
      <c r="L33" s="326"/>
      <c r="M33" s="74"/>
      <c r="N33" s="325"/>
    </row>
    <row r="34" spans="1:15" s="11" customFormat="1" x14ac:dyDescent="0.25">
      <c r="A34" s="72"/>
      <c r="B34" s="103" t="s">
        <v>101</v>
      </c>
      <c r="C34" s="104"/>
      <c r="D34" s="104"/>
      <c r="E34" s="105"/>
      <c r="F34" s="107">
        <f>F106</f>
        <v>0</v>
      </c>
      <c r="G34" s="107">
        <f>G106</f>
        <v>0</v>
      </c>
      <c r="H34" s="129">
        <f>SUM(H35:H39)</f>
        <v>2012394.598</v>
      </c>
      <c r="I34" s="107">
        <f>I36+I38+I39</f>
        <v>1072394.598</v>
      </c>
      <c r="J34" s="144"/>
      <c r="K34" s="73"/>
      <c r="L34" s="312"/>
      <c r="M34" s="73"/>
      <c r="N34" s="313"/>
    </row>
    <row r="35" spans="1:15" s="72" customFormat="1" ht="15.75" x14ac:dyDescent="0.3">
      <c r="B35" s="130"/>
      <c r="C35" s="131" t="s">
        <v>49</v>
      </c>
      <c r="D35" s="131"/>
      <c r="E35" s="132"/>
      <c r="F35" s="133"/>
      <c r="G35" s="134"/>
      <c r="H35" s="134"/>
      <c r="I35" s="292"/>
      <c r="J35" s="146"/>
      <c r="K35" s="73"/>
      <c r="L35" s="314"/>
      <c r="M35" s="73"/>
      <c r="N35" s="315"/>
    </row>
    <row r="36" spans="1:15" s="72" customFormat="1" ht="15.75" x14ac:dyDescent="0.3">
      <c r="B36" s="113"/>
      <c r="C36" s="114"/>
      <c r="D36" s="161" t="s">
        <v>46</v>
      </c>
      <c r="E36" s="115"/>
      <c r="F36" s="162">
        <f>F97</f>
        <v>0</v>
      </c>
      <c r="G36" s="162">
        <f>G97</f>
        <v>0</v>
      </c>
      <c r="H36" s="162">
        <f>H97</f>
        <v>273380.46000000002</v>
      </c>
      <c r="I36" s="291">
        <f t="shared" ref="I36" si="5">I97</f>
        <v>273380.46000000002</v>
      </c>
      <c r="J36" s="295"/>
      <c r="K36" s="73"/>
      <c r="L36" s="314"/>
      <c r="M36" s="73"/>
      <c r="N36" s="315"/>
    </row>
    <row r="37" spans="1:15" s="72" customFormat="1" ht="15.75" x14ac:dyDescent="0.3">
      <c r="B37" s="113"/>
      <c r="C37" s="114"/>
      <c r="D37" s="161" t="s">
        <v>50</v>
      </c>
      <c r="E37" s="115"/>
      <c r="F37" s="162">
        <f>F100+F102+F103+F104</f>
        <v>0</v>
      </c>
      <c r="G37" s="162">
        <f>G100+G102+G103+G104</f>
        <v>0</v>
      </c>
      <c r="H37" s="162">
        <f>H100+H102+H103+H104</f>
        <v>890000</v>
      </c>
      <c r="I37" s="328" t="s">
        <v>173</v>
      </c>
      <c r="J37" s="295"/>
      <c r="K37" s="73"/>
      <c r="L37" s="314"/>
      <c r="M37" s="73"/>
      <c r="N37" s="315"/>
    </row>
    <row r="38" spans="1:15" s="72" customFormat="1" ht="15.75" x14ac:dyDescent="0.3">
      <c r="B38" s="113"/>
      <c r="C38" s="114"/>
      <c r="D38" s="161" t="s">
        <v>39</v>
      </c>
      <c r="E38" s="115"/>
      <c r="F38" s="162">
        <f>F99</f>
        <v>0</v>
      </c>
      <c r="G38" s="162">
        <f>G99</f>
        <v>0</v>
      </c>
      <c r="H38" s="162">
        <f>H99</f>
        <v>500000</v>
      </c>
      <c r="I38" s="291">
        <v>450000</v>
      </c>
      <c r="J38" s="295"/>
      <c r="K38" s="73"/>
      <c r="L38" s="314"/>
      <c r="M38" s="73"/>
      <c r="N38" s="315"/>
    </row>
    <row r="39" spans="1:15" s="72" customFormat="1" ht="16.5" thickBot="1" x14ac:dyDescent="0.35">
      <c r="B39" s="130"/>
      <c r="C39" s="131"/>
      <c r="D39" s="161" t="s">
        <v>69</v>
      </c>
      <c r="E39" s="132"/>
      <c r="F39" s="162">
        <f>(SUM(F36:F38)) * 0.2</f>
        <v>0</v>
      </c>
      <c r="G39" s="162">
        <f>(SUM(G36:G38)) * 0.2</f>
        <v>0</v>
      </c>
      <c r="H39" s="162">
        <f>H105</f>
        <v>349014.13799999998</v>
      </c>
      <c r="I39" s="162">
        <f>I105</f>
        <v>349014.13799999998</v>
      </c>
      <c r="J39" s="295"/>
      <c r="K39" s="73"/>
      <c r="L39" s="314"/>
      <c r="M39" s="73"/>
      <c r="N39" s="315"/>
    </row>
    <row r="40" spans="1:15" s="11" customFormat="1" ht="15.75" thickBot="1" x14ac:dyDescent="0.3">
      <c r="A40" s="72"/>
      <c r="B40" s="168" t="s">
        <v>51</v>
      </c>
      <c r="C40" s="169"/>
      <c r="D40" s="169"/>
      <c r="E40" s="170"/>
      <c r="F40" s="171">
        <f>F34+F28+F19+F17+F15+F13+F4</f>
        <v>4125260</v>
      </c>
      <c r="G40" s="171">
        <f>G34+G28+G19+G17+G15+G13+G4</f>
        <v>7139900.0000000009</v>
      </c>
      <c r="H40" s="172">
        <f>H34+H28+H19+H17+H15+H13+H4</f>
        <v>9552303.2379999999</v>
      </c>
      <c r="I40" s="172">
        <f>I34+I28+I19+I17+I15+I13+I4</f>
        <v>8856630.2379999999</v>
      </c>
      <c r="J40" s="330"/>
      <c r="L40" s="327">
        <f>L34+L28+L19+L17+L15+L13+L4</f>
        <v>8995224.620000001</v>
      </c>
      <c r="M40" s="77"/>
      <c r="N40" s="310"/>
    </row>
    <row r="41" spans="1:15" s="18" customFormat="1" x14ac:dyDescent="0.25">
      <c r="A41" s="76"/>
      <c r="B41" s="22"/>
      <c r="C41" s="78"/>
      <c r="D41" s="78"/>
      <c r="E41" s="22"/>
      <c r="F41" s="70"/>
      <c r="G41" s="70"/>
      <c r="H41" s="177"/>
      <c r="I41" s="70"/>
      <c r="J41" s="70"/>
      <c r="L41" s="177"/>
    </row>
    <row r="42" spans="1:15" s="76" customFormat="1" x14ac:dyDescent="0.25">
      <c r="B42" s="78"/>
      <c r="C42" s="78"/>
      <c r="D42" s="78"/>
      <c r="E42" s="78"/>
      <c r="F42" s="70"/>
      <c r="G42" s="70"/>
      <c r="H42" s="70"/>
      <c r="I42" s="70"/>
      <c r="J42" s="70"/>
    </row>
    <row r="43" spans="1:15" s="76" customFormat="1" x14ac:dyDescent="0.25">
      <c r="B43" s="78"/>
      <c r="C43" s="78"/>
      <c r="D43" s="78"/>
      <c r="E43" s="78"/>
      <c r="F43" s="70"/>
      <c r="G43" s="70"/>
      <c r="H43" s="70"/>
      <c r="I43" s="70"/>
      <c r="J43" s="70"/>
    </row>
    <row r="44" spans="1:15" s="76" customFormat="1" ht="7.5" customHeight="1" x14ac:dyDescent="0.25">
      <c r="B44" s="136"/>
      <c r="C44" s="136"/>
      <c r="D44" s="136"/>
      <c r="E44" s="136"/>
      <c r="F44" s="137"/>
      <c r="G44" s="137"/>
      <c r="H44" s="137"/>
      <c r="I44" s="137"/>
      <c r="J44" s="137"/>
      <c r="K44" s="137"/>
      <c r="L44" s="137"/>
      <c r="M44" s="137"/>
      <c r="N44" s="137"/>
    </row>
    <row r="45" spans="1:15" s="76" customFormat="1" x14ac:dyDescent="0.25">
      <c r="B45" s="78"/>
      <c r="C45" s="78"/>
      <c r="D45" s="78"/>
      <c r="E45" s="78"/>
      <c r="F45" s="70"/>
      <c r="G45" s="70"/>
      <c r="H45" s="70"/>
      <c r="I45" s="70"/>
      <c r="J45" s="70"/>
    </row>
    <row r="46" spans="1:15" s="11" customFormat="1" ht="21.75" thickBot="1" x14ac:dyDescent="0.4">
      <c r="A46" s="72"/>
      <c r="B46" s="135" t="s">
        <v>61</v>
      </c>
      <c r="C46" s="135"/>
      <c r="D46" s="135"/>
      <c r="F46" s="67" t="s">
        <v>56</v>
      </c>
      <c r="G46" s="68" t="s">
        <v>57</v>
      </c>
      <c r="H46" s="69">
        <v>41730</v>
      </c>
      <c r="I46" s="147"/>
      <c r="J46" s="147"/>
    </row>
    <row r="47" spans="1:15" ht="15.75" thickBot="1" x14ac:dyDescent="0.3">
      <c r="B47" s="65" t="s">
        <v>0</v>
      </c>
      <c r="C47" s="66"/>
      <c r="D47" s="66"/>
      <c r="E47" s="66" t="s">
        <v>1</v>
      </c>
      <c r="F47" s="62" t="s">
        <v>58</v>
      </c>
      <c r="G47" s="63" t="s">
        <v>59</v>
      </c>
      <c r="H47" s="64" t="s">
        <v>86</v>
      </c>
      <c r="I47" s="64"/>
      <c r="J47" s="64" t="s">
        <v>87</v>
      </c>
      <c r="K47" s="1"/>
      <c r="L47" s="290" t="s">
        <v>162</v>
      </c>
      <c r="N47" s="350" t="s">
        <v>188</v>
      </c>
      <c r="O47" s="350"/>
    </row>
    <row r="48" spans="1:15" ht="15.75" x14ac:dyDescent="0.3">
      <c r="B48" s="26" t="s">
        <v>2</v>
      </c>
      <c r="C48" s="27"/>
      <c r="D48" s="27"/>
      <c r="E48" s="27" t="s">
        <v>3</v>
      </c>
      <c r="F48" s="39">
        <v>74000</v>
      </c>
      <c r="G48" s="30">
        <v>74000</v>
      </c>
      <c r="H48" s="34">
        <v>74000</v>
      </c>
      <c r="I48" s="284">
        <f t="shared" ref="I48:I53" si="6">H48</f>
        <v>74000</v>
      </c>
      <c r="J48" s="284" t="s">
        <v>88</v>
      </c>
      <c r="K48" s="1"/>
      <c r="L48" s="339">
        <v>222445.44</v>
      </c>
      <c r="N48" s="161" t="s">
        <v>184</v>
      </c>
      <c r="O48" s="134">
        <f>L50</f>
        <v>1995963.83</v>
      </c>
    </row>
    <row r="49" spans="2:17" ht="15.75" x14ac:dyDescent="0.3">
      <c r="B49" s="15" t="s">
        <v>4</v>
      </c>
      <c r="C49" s="74"/>
      <c r="D49" s="74"/>
      <c r="E49" s="13" t="s">
        <v>3</v>
      </c>
      <c r="F49" s="40">
        <v>74000</v>
      </c>
      <c r="G49" s="31">
        <v>74000</v>
      </c>
      <c r="H49" s="35">
        <v>74000</v>
      </c>
      <c r="I49" s="285">
        <f t="shared" si="6"/>
        <v>74000</v>
      </c>
      <c r="J49" s="285" t="s">
        <v>88</v>
      </c>
      <c r="K49" s="1"/>
      <c r="L49" s="340"/>
      <c r="N49" s="161" t="s">
        <v>185</v>
      </c>
      <c r="O49" s="134">
        <f>L48</f>
        <v>222445.44</v>
      </c>
    </row>
    <row r="50" spans="2:17" ht="15.75" x14ac:dyDescent="0.3">
      <c r="B50" s="15" t="s">
        <v>183</v>
      </c>
      <c r="C50" s="74"/>
      <c r="D50" s="74"/>
      <c r="E50" s="13" t="s">
        <v>5</v>
      </c>
      <c r="F50" s="40">
        <v>980000</v>
      </c>
      <c r="G50" s="31">
        <v>980000</v>
      </c>
      <c r="H50" s="36">
        <v>1594453.08</v>
      </c>
      <c r="I50" s="285">
        <f t="shared" si="6"/>
        <v>1594453.08</v>
      </c>
      <c r="J50" s="286"/>
      <c r="K50" s="1"/>
      <c r="L50" s="35">
        <v>1995963.83</v>
      </c>
      <c r="N50" s="161" t="s">
        <v>186</v>
      </c>
      <c r="O50" s="134">
        <f>I51</f>
        <v>270000</v>
      </c>
    </row>
    <row r="51" spans="2:17" ht="15.75" x14ac:dyDescent="0.3">
      <c r="B51" s="15" t="s">
        <v>6</v>
      </c>
      <c r="C51" s="74"/>
      <c r="D51" s="74"/>
      <c r="E51" s="13" t="s">
        <v>7</v>
      </c>
      <c r="F51" s="40">
        <v>0</v>
      </c>
      <c r="G51" s="31">
        <v>0</v>
      </c>
      <c r="H51" s="35">
        <v>270000</v>
      </c>
      <c r="I51" s="285">
        <f t="shared" si="6"/>
        <v>270000</v>
      </c>
      <c r="J51" s="286"/>
      <c r="K51" s="1"/>
      <c r="L51" s="282"/>
      <c r="N51" s="161" t="s">
        <v>203</v>
      </c>
      <c r="O51" s="134">
        <v>85000</v>
      </c>
    </row>
    <row r="52" spans="2:17" ht="15.75" x14ac:dyDescent="0.3">
      <c r="B52" s="15" t="s">
        <v>8</v>
      </c>
      <c r="C52" s="74"/>
      <c r="D52" s="74"/>
      <c r="E52" s="13" t="s">
        <v>5</v>
      </c>
      <c r="F52" s="40">
        <v>0</v>
      </c>
      <c r="G52" s="31">
        <v>0</v>
      </c>
      <c r="H52" s="35">
        <v>85000</v>
      </c>
      <c r="I52" s="285">
        <f t="shared" si="6"/>
        <v>85000</v>
      </c>
      <c r="J52" s="286"/>
      <c r="K52" s="1"/>
      <c r="L52" s="282"/>
      <c r="N52" s="161"/>
      <c r="O52" s="134"/>
    </row>
    <row r="53" spans="2:17" ht="16.5" thickBot="1" x14ac:dyDescent="0.35">
      <c r="B53" s="16" t="s">
        <v>9</v>
      </c>
      <c r="C53" s="75"/>
      <c r="D53" s="75"/>
      <c r="E53" s="17" t="s">
        <v>5</v>
      </c>
      <c r="F53" s="41">
        <v>0</v>
      </c>
      <c r="G53" s="32">
        <v>0</v>
      </c>
      <c r="H53" s="37">
        <v>125974</v>
      </c>
      <c r="I53" s="285">
        <f t="shared" si="6"/>
        <v>125974</v>
      </c>
      <c r="J53" s="287"/>
      <c r="K53" s="1"/>
      <c r="L53" s="283"/>
      <c r="N53" s="161"/>
      <c r="O53" s="134"/>
    </row>
    <row r="54" spans="2:17" ht="15.75" thickBot="1" x14ac:dyDescent="0.3">
      <c r="B54" s="24" t="s">
        <v>52</v>
      </c>
      <c r="C54" s="82"/>
      <c r="D54" s="82"/>
      <c r="E54" s="25"/>
      <c r="F54" s="42">
        <f>SUM(F48:F53)</f>
        <v>1128000</v>
      </c>
      <c r="G54" s="33">
        <f>SUM(G48:G53)</f>
        <v>1128000</v>
      </c>
      <c r="H54" s="38">
        <f>SUM(H48:H53)</f>
        <v>2223427.08</v>
      </c>
      <c r="I54" s="329">
        <f>SUM(I48:I53)</f>
        <v>2223427.08</v>
      </c>
      <c r="J54" s="165"/>
      <c r="K54" s="2"/>
      <c r="L54" s="38">
        <f>SUM(L48:L53)</f>
        <v>2218409.27</v>
      </c>
      <c r="N54" s="104" t="s">
        <v>159</v>
      </c>
      <c r="O54" s="129">
        <f>SUM(O48:O51)</f>
        <v>2573409.27</v>
      </c>
    </row>
    <row r="55" spans="2:17" ht="15.75" thickBot="1" x14ac:dyDescent="0.3">
      <c r="B55" s="7"/>
      <c r="C55" s="76"/>
      <c r="D55" s="76"/>
      <c r="E55" s="7"/>
      <c r="F55" s="7"/>
      <c r="G55" s="8"/>
      <c r="H55" s="8"/>
      <c r="I55" s="8"/>
      <c r="J55" s="8"/>
      <c r="K55" s="1"/>
      <c r="L55" s="1"/>
      <c r="O55" s="332"/>
    </row>
    <row r="56" spans="2:17" ht="15.75" thickBot="1" x14ac:dyDescent="0.3">
      <c r="B56" s="65" t="s">
        <v>10</v>
      </c>
      <c r="C56" s="66"/>
      <c r="D56" s="66"/>
      <c r="E56" s="66" t="s">
        <v>1</v>
      </c>
      <c r="F56" s="62" t="s">
        <v>58</v>
      </c>
      <c r="G56" s="63" t="s">
        <v>59</v>
      </c>
      <c r="H56" s="64" t="s">
        <v>60</v>
      </c>
      <c r="I56" s="64"/>
      <c r="J56" s="64" t="s">
        <v>87</v>
      </c>
      <c r="K56" s="1"/>
      <c r="L56" s="290" t="s">
        <v>162</v>
      </c>
      <c r="N56" s="350" t="s">
        <v>189</v>
      </c>
      <c r="O56" s="350"/>
    </row>
    <row r="57" spans="2:17" ht="15.75" x14ac:dyDescent="0.3">
      <c r="B57" s="4" t="s">
        <v>11</v>
      </c>
      <c r="C57" s="74"/>
      <c r="D57" s="74"/>
      <c r="E57" s="3" t="s">
        <v>3</v>
      </c>
      <c r="F57" s="31">
        <v>929928.54</v>
      </c>
      <c r="G57" s="40">
        <v>929928.54</v>
      </c>
      <c r="H57" s="35">
        <v>900797.15249999997</v>
      </c>
      <c r="I57" s="288">
        <f>H57</f>
        <v>900797.15249999997</v>
      </c>
      <c r="J57" s="288"/>
      <c r="K57" s="1"/>
      <c r="L57" s="35"/>
      <c r="N57" s="161" t="s">
        <v>185</v>
      </c>
      <c r="O57" s="134">
        <f>I57</f>
        <v>900797.15249999997</v>
      </c>
    </row>
    <row r="58" spans="2:17" ht="15.75" x14ac:dyDescent="0.3">
      <c r="B58" s="4" t="s">
        <v>12</v>
      </c>
      <c r="C58" s="74"/>
      <c r="D58" s="74"/>
      <c r="E58" s="3" t="s">
        <v>13</v>
      </c>
      <c r="F58" s="31">
        <v>0</v>
      </c>
      <c r="G58" s="31">
        <v>0</v>
      </c>
      <c r="H58" s="35">
        <v>50000</v>
      </c>
      <c r="I58" s="286">
        <f>H58</f>
        <v>50000</v>
      </c>
      <c r="J58" s="286"/>
      <c r="K58" s="1"/>
      <c r="L58" s="35"/>
      <c r="N58" s="161" t="s">
        <v>187</v>
      </c>
      <c r="O58" s="134">
        <f>SUM(I58:I59)</f>
        <v>70000</v>
      </c>
    </row>
    <row r="59" spans="2:17" ht="16.5" thickBot="1" x14ac:dyDescent="0.35">
      <c r="B59" s="5" t="s">
        <v>14</v>
      </c>
      <c r="C59" s="75"/>
      <c r="D59" s="75"/>
      <c r="E59" s="6" t="s">
        <v>13</v>
      </c>
      <c r="F59" s="31">
        <v>0</v>
      </c>
      <c r="G59" s="31">
        <v>0</v>
      </c>
      <c r="H59" s="37">
        <v>20000</v>
      </c>
      <c r="I59" s="287">
        <f>H59</f>
        <v>20000</v>
      </c>
      <c r="J59" s="287"/>
      <c r="K59" s="1"/>
      <c r="L59" s="37"/>
      <c r="N59" s="161"/>
      <c r="O59" s="134"/>
    </row>
    <row r="60" spans="2:17" ht="15.75" thickBot="1" x14ac:dyDescent="0.3">
      <c r="B60" s="28" t="s">
        <v>53</v>
      </c>
      <c r="C60" s="59"/>
      <c r="D60" s="59"/>
      <c r="E60" s="29"/>
      <c r="F60" s="43">
        <f>SUM(F57:F59)</f>
        <v>929928.54</v>
      </c>
      <c r="G60" s="45">
        <f>SUM(F60)</f>
        <v>929928.54</v>
      </c>
      <c r="H60" s="44">
        <f>SUM(H57:H59)</f>
        <v>970797.15249999997</v>
      </c>
      <c r="I60" s="44">
        <f>SUM(I57:I59)</f>
        <v>970797.15249999997</v>
      </c>
      <c r="J60" s="165"/>
      <c r="K60" s="1"/>
      <c r="L60" s="44">
        <f>SUM(L57:L59)</f>
        <v>0</v>
      </c>
      <c r="N60" s="104" t="s">
        <v>159</v>
      </c>
      <c r="O60" s="129">
        <f>SUM(O57:O58)</f>
        <v>970797.15249999997</v>
      </c>
    </row>
    <row r="61" spans="2:17" ht="15.75" thickBot="1" x14ac:dyDescent="0.3">
      <c r="B61" s="7"/>
      <c r="C61" s="76"/>
      <c r="D61" s="76"/>
      <c r="E61" s="7"/>
      <c r="F61" s="7"/>
      <c r="G61" s="8"/>
      <c r="H61" s="8"/>
      <c r="I61" s="8"/>
      <c r="J61" s="8"/>
      <c r="K61" s="1"/>
      <c r="L61" s="1"/>
      <c r="M61" s="278"/>
      <c r="O61" s="332"/>
    </row>
    <row r="62" spans="2:17" ht="15.75" thickBot="1" x14ac:dyDescent="0.3">
      <c r="B62" s="65" t="s">
        <v>15</v>
      </c>
      <c r="C62" s="66"/>
      <c r="D62" s="66"/>
      <c r="E62" s="66" t="s">
        <v>1</v>
      </c>
      <c r="F62" s="62" t="s">
        <v>58</v>
      </c>
      <c r="G62" s="63" t="s">
        <v>59</v>
      </c>
      <c r="H62" s="64" t="s">
        <v>60</v>
      </c>
      <c r="I62" s="64"/>
      <c r="J62" s="64" t="s">
        <v>87</v>
      </c>
      <c r="K62" s="1"/>
      <c r="L62" s="290" t="s">
        <v>162</v>
      </c>
      <c r="N62" s="350" t="s">
        <v>190</v>
      </c>
      <c r="O62" s="350"/>
    </row>
    <row r="63" spans="2:17" ht="16.5" thickBot="1" x14ac:dyDescent="0.35">
      <c r="B63" s="16" t="s">
        <v>11</v>
      </c>
      <c r="C63" s="75"/>
      <c r="D63" s="75"/>
      <c r="E63" s="17" t="s">
        <v>3</v>
      </c>
      <c r="F63" s="46">
        <v>482286.03</v>
      </c>
      <c r="G63" s="48">
        <v>482286.03</v>
      </c>
      <c r="H63" s="47">
        <v>457383.3075</v>
      </c>
      <c r="I63" s="289">
        <f>H63</f>
        <v>457383.3075</v>
      </c>
      <c r="J63" s="289"/>
      <c r="K63" s="1"/>
      <c r="L63" s="47">
        <v>1002000</v>
      </c>
      <c r="M63" s="279">
        <f>(L63-H63)/H63</f>
        <v>1.1907227123718327</v>
      </c>
      <c r="N63" s="161" t="s">
        <v>185</v>
      </c>
      <c r="O63" s="134">
        <f>L63</f>
        <v>1002000</v>
      </c>
      <c r="Q63" s="9">
        <f>1-O63/I63</f>
        <v>-1.1907227123718327</v>
      </c>
    </row>
    <row r="64" spans="2:17" ht="15.75" thickBot="1" x14ac:dyDescent="0.3">
      <c r="B64" s="28" t="s">
        <v>54</v>
      </c>
      <c r="C64" s="59"/>
      <c r="D64" s="59"/>
      <c r="E64" s="29"/>
      <c r="F64" s="33">
        <f>SUM(F63)</f>
        <v>482286.03</v>
      </c>
      <c r="G64" s="42">
        <f>SUM(G63)</f>
        <v>482286.03</v>
      </c>
      <c r="H64" s="38">
        <f>SUM(H63)</f>
        <v>457383.3075</v>
      </c>
      <c r="I64" s="38">
        <f>SUM(I63)</f>
        <v>457383.3075</v>
      </c>
      <c r="J64" s="165"/>
      <c r="K64" s="1"/>
      <c r="L64" s="38">
        <f>SUM(L63)</f>
        <v>1002000</v>
      </c>
      <c r="N64" s="104" t="s">
        <v>159</v>
      </c>
      <c r="O64" s="129">
        <f>O63</f>
        <v>1002000</v>
      </c>
      <c r="Q64" s="9"/>
    </row>
    <row r="65" spans="2:15" ht="15.75" thickBot="1" x14ac:dyDescent="0.3">
      <c r="B65" s="7"/>
      <c r="C65" s="76"/>
      <c r="D65" s="76"/>
      <c r="E65" s="7"/>
      <c r="F65" s="7"/>
      <c r="G65" s="7"/>
      <c r="H65" s="7"/>
      <c r="I65" s="76"/>
      <c r="J65" s="76"/>
      <c r="K65" s="1"/>
      <c r="L65" s="1"/>
    </row>
    <row r="66" spans="2:15" ht="15.75" thickBot="1" x14ac:dyDescent="0.3">
      <c r="B66" s="65" t="s">
        <v>105</v>
      </c>
      <c r="C66" s="66"/>
      <c r="D66" s="66"/>
      <c r="E66" s="66" t="s">
        <v>1</v>
      </c>
      <c r="F66" s="62" t="s">
        <v>58</v>
      </c>
      <c r="G66" s="63" t="s">
        <v>59</v>
      </c>
      <c r="H66" s="64" t="s">
        <v>60</v>
      </c>
      <c r="I66" s="64" t="s">
        <v>87</v>
      </c>
      <c r="J66" s="64" t="s">
        <v>87</v>
      </c>
      <c r="K66" s="1"/>
      <c r="L66" s="290" t="s">
        <v>162</v>
      </c>
      <c r="N66" s="350" t="s">
        <v>191</v>
      </c>
      <c r="O66" s="350"/>
    </row>
    <row r="67" spans="2:15" ht="15.75" x14ac:dyDescent="0.3">
      <c r="B67" s="26" t="s">
        <v>90</v>
      </c>
      <c r="C67" s="27"/>
      <c r="D67" s="27"/>
      <c r="E67" s="27" t="s">
        <v>3</v>
      </c>
      <c r="F67" s="30">
        <v>346823.61</v>
      </c>
      <c r="G67" s="39">
        <v>346823.61</v>
      </c>
      <c r="H67" s="34">
        <v>346823.61</v>
      </c>
      <c r="I67" s="288">
        <f>H67</f>
        <v>346823.61</v>
      </c>
      <c r="J67" s="148"/>
      <c r="K67" s="1"/>
      <c r="L67" s="34"/>
      <c r="N67" s="161" t="s">
        <v>185</v>
      </c>
      <c r="O67" s="134">
        <f>I67+150000</f>
        <v>496823.61</v>
      </c>
    </row>
    <row r="68" spans="2:15" ht="15.75" x14ac:dyDescent="0.3">
      <c r="B68" s="15" t="s">
        <v>16</v>
      </c>
      <c r="C68" s="74"/>
      <c r="D68" s="74"/>
      <c r="E68" s="74" t="s">
        <v>13</v>
      </c>
      <c r="F68" s="31">
        <v>0</v>
      </c>
      <c r="G68" s="31">
        <v>0</v>
      </c>
      <c r="H68" s="35">
        <v>25000</v>
      </c>
      <c r="I68" s="286">
        <f>H68</f>
        <v>25000</v>
      </c>
      <c r="J68" s="148"/>
      <c r="K68" s="1"/>
      <c r="L68" s="35"/>
      <c r="N68" s="161" t="s">
        <v>187</v>
      </c>
      <c r="O68" s="134">
        <f>SUM(I68:I69)</f>
        <v>25000</v>
      </c>
    </row>
    <row r="69" spans="2:15" s="72" customFormat="1" ht="16.5" thickBot="1" x14ac:dyDescent="0.35">
      <c r="B69" s="20" t="s">
        <v>85</v>
      </c>
      <c r="C69" s="77"/>
      <c r="D69" s="77"/>
      <c r="E69" s="77" t="s">
        <v>3</v>
      </c>
      <c r="F69" s="32">
        <v>0</v>
      </c>
      <c r="G69" s="32">
        <v>0</v>
      </c>
      <c r="H69" s="173"/>
      <c r="I69" s="287"/>
      <c r="J69" s="148"/>
      <c r="L69" s="173"/>
      <c r="N69" s="161"/>
      <c r="O69" s="134"/>
    </row>
    <row r="70" spans="2:15" ht="15.75" thickBot="1" x14ac:dyDescent="0.3">
      <c r="B70" s="28" t="s">
        <v>55</v>
      </c>
      <c r="C70" s="59"/>
      <c r="D70" s="59"/>
      <c r="E70" s="29"/>
      <c r="F70" s="43">
        <f>SUM(F67:F68)</f>
        <v>346823.61</v>
      </c>
      <c r="G70" s="45">
        <f>SUM(G67:G68)</f>
        <v>346823.61</v>
      </c>
      <c r="H70" s="44">
        <f>SUM(H67:H69)</f>
        <v>371823.61</v>
      </c>
      <c r="I70" s="44">
        <f>SUM(I67:I69)</f>
        <v>371823.61</v>
      </c>
      <c r="J70" s="165"/>
      <c r="K70" s="1"/>
      <c r="L70" s="44"/>
      <c r="N70" s="104" t="s">
        <v>159</v>
      </c>
      <c r="O70" s="129">
        <f>SUM(O67:O68)</f>
        <v>521823.61</v>
      </c>
    </row>
    <row r="71" spans="2:15" s="76" customFormat="1" ht="15.75" thickBot="1" x14ac:dyDescent="0.3">
      <c r="B71" s="78"/>
      <c r="C71" s="78"/>
      <c r="D71" s="78"/>
      <c r="E71" s="74"/>
      <c r="F71" s="165"/>
      <c r="G71" s="165"/>
      <c r="H71" s="165"/>
      <c r="I71" s="165"/>
      <c r="J71" s="165"/>
    </row>
    <row r="72" spans="2:15" ht="45.75" thickBot="1" x14ac:dyDescent="0.3">
      <c r="B72" s="346" t="s">
        <v>62</v>
      </c>
      <c r="C72" s="347"/>
      <c r="D72" s="347"/>
      <c r="E72" s="71" t="s">
        <v>1</v>
      </c>
      <c r="F72" s="79" t="s">
        <v>58</v>
      </c>
      <c r="G72" s="298" t="s">
        <v>59</v>
      </c>
      <c r="H72" s="81" t="s">
        <v>86</v>
      </c>
      <c r="I72" s="299" t="s">
        <v>165</v>
      </c>
      <c r="J72" s="166"/>
      <c r="K72" s="1"/>
      <c r="L72" s="294" t="s">
        <v>162</v>
      </c>
      <c r="M72" s="72" t="s">
        <v>17</v>
      </c>
      <c r="N72" s="350" t="s">
        <v>192</v>
      </c>
      <c r="O72" s="350"/>
    </row>
    <row r="73" spans="2:15" ht="15.75" x14ac:dyDescent="0.3">
      <c r="B73" s="19" t="s">
        <v>18</v>
      </c>
      <c r="C73" s="73"/>
      <c r="D73" s="73"/>
      <c r="E73" s="12" t="s">
        <v>3</v>
      </c>
      <c r="F73" s="51">
        <v>428221.82</v>
      </c>
      <c r="G73" s="51">
        <v>428221.81999999995</v>
      </c>
      <c r="H73" s="56">
        <v>309998</v>
      </c>
      <c r="I73" s="301">
        <v>309998</v>
      </c>
      <c r="J73" s="149"/>
      <c r="K73" s="1"/>
      <c r="L73" s="56"/>
      <c r="N73" s="161" t="s">
        <v>185</v>
      </c>
      <c r="O73" s="134">
        <f>SUM(H73:H75)</f>
        <v>870366</v>
      </c>
    </row>
    <row r="74" spans="2:15" ht="15.75" x14ac:dyDescent="0.3">
      <c r="B74" s="19" t="s">
        <v>19</v>
      </c>
      <c r="C74" s="73"/>
      <c r="D74" s="73"/>
      <c r="E74" s="12" t="s">
        <v>3</v>
      </c>
      <c r="F74" s="52">
        <v>160000</v>
      </c>
      <c r="G74" s="52">
        <v>160000</v>
      </c>
      <c r="H74" s="54">
        <v>160000</v>
      </c>
      <c r="I74" s="302">
        <v>160000</v>
      </c>
      <c r="J74" s="149"/>
      <c r="K74" s="1"/>
      <c r="L74" s="54"/>
      <c r="N74" s="161" t="s">
        <v>193</v>
      </c>
      <c r="O74" s="134">
        <f>SUM(H76:H83)</f>
        <v>1064000</v>
      </c>
    </row>
    <row r="75" spans="2:15" ht="15.75" x14ac:dyDescent="0.3">
      <c r="B75" s="19" t="s">
        <v>20</v>
      </c>
      <c r="C75" s="73"/>
      <c r="D75" s="73"/>
      <c r="E75" s="12" t="s">
        <v>3</v>
      </c>
      <c r="F75" s="31">
        <v>0</v>
      </c>
      <c r="G75" s="52">
        <v>507090</v>
      </c>
      <c r="H75" s="54">
        <v>400368</v>
      </c>
      <c r="I75" s="302">
        <v>400368</v>
      </c>
      <c r="J75" s="149"/>
      <c r="K75" s="1"/>
      <c r="L75" s="54"/>
      <c r="N75" s="161" t="s">
        <v>187</v>
      </c>
      <c r="O75" s="134">
        <f>SUM(H84:H85)</f>
        <v>210000</v>
      </c>
    </row>
    <row r="76" spans="2:15" ht="15.75" x14ac:dyDescent="0.3">
      <c r="B76" s="15" t="s">
        <v>21</v>
      </c>
      <c r="C76" s="74"/>
      <c r="D76" s="74"/>
      <c r="E76" s="12" t="s">
        <v>22</v>
      </c>
      <c r="F76" s="31">
        <v>0</v>
      </c>
      <c r="G76" s="52">
        <v>500000</v>
      </c>
      <c r="H76" s="35">
        <v>300000</v>
      </c>
      <c r="I76" s="285">
        <v>300000</v>
      </c>
      <c r="J76" s="154" t="s">
        <v>93</v>
      </c>
      <c r="K76" s="1"/>
      <c r="L76" s="175"/>
      <c r="N76" s="161" t="s">
        <v>194</v>
      </c>
      <c r="O76" s="134">
        <f>SUM(H76:H83)*0.3</f>
        <v>319200</v>
      </c>
    </row>
    <row r="77" spans="2:15" s="72" customFormat="1" ht="15.75" x14ac:dyDescent="0.3">
      <c r="B77" s="305" t="s">
        <v>163</v>
      </c>
      <c r="C77" s="74"/>
      <c r="D77" s="74"/>
      <c r="E77" s="23" t="s">
        <v>22</v>
      </c>
      <c r="F77" s="31"/>
      <c r="G77" s="52"/>
      <c r="H77" s="35"/>
      <c r="I77" s="304">
        <v>300000</v>
      </c>
      <c r="J77" s="154"/>
      <c r="L77" s="175"/>
      <c r="N77" s="161" t="s">
        <v>195</v>
      </c>
      <c r="O77" s="134">
        <f>SUM(H84:H85)*0.3+9000</f>
        <v>72000</v>
      </c>
    </row>
    <row r="78" spans="2:15" ht="15.75" x14ac:dyDescent="0.3">
      <c r="B78" s="308" t="s">
        <v>23</v>
      </c>
      <c r="C78" s="140"/>
      <c r="D78" s="140"/>
      <c r="E78" s="141" t="s">
        <v>22</v>
      </c>
      <c r="F78" s="142">
        <v>0</v>
      </c>
      <c r="G78" s="142">
        <v>0</v>
      </c>
      <c r="H78" s="306">
        <v>190000</v>
      </c>
      <c r="I78" s="307">
        <v>130000</v>
      </c>
      <c r="J78" s="281" t="s">
        <v>89</v>
      </c>
      <c r="K78" s="139"/>
      <c r="L78" s="280"/>
      <c r="N78" s="161"/>
      <c r="O78" s="134"/>
    </row>
    <row r="79" spans="2:15" hidden="1" x14ac:dyDescent="0.25">
      <c r="B79" s="49" t="s">
        <v>24</v>
      </c>
      <c r="C79" s="50"/>
      <c r="D79" s="50"/>
      <c r="E79" s="50" t="s">
        <v>25</v>
      </c>
      <c r="F79" s="53">
        <v>0</v>
      </c>
      <c r="G79" s="53">
        <v>400000</v>
      </c>
      <c r="H79" s="300"/>
      <c r="I79" s="303"/>
      <c r="J79" s="155"/>
      <c r="K79" s="1"/>
      <c r="L79" s="174"/>
      <c r="N79" s="104" t="s">
        <v>159</v>
      </c>
      <c r="O79" s="129">
        <f>SUM(O73:O75)</f>
        <v>2144366</v>
      </c>
    </row>
    <row r="80" spans="2:15" x14ac:dyDescent="0.25">
      <c r="B80" s="15" t="s">
        <v>26</v>
      </c>
      <c r="C80" s="74"/>
      <c r="D80" s="74"/>
      <c r="E80" s="13" t="s">
        <v>22</v>
      </c>
      <c r="F80" s="31">
        <v>0</v>
      </c>
      <c r="G80" s="31">
        <v>75000</v>
      </c>
      <c r="H80" s="35">
        <v>297000</v>
      </c>
      <c r="I80" s="286">
        <v>297000</v>
      </c>
      <c r="J80" s="154" t="s">
        <v>104</v>
      </c>
      <c r="K80" s="1"/>
      <c r="L80" s="175"/>
      <c r="N80" s="104" t="s">
        <v>159</v>
      </c>
      <c r="O80" s="129">
        <f>SUM(O73:O78)</f>
        <v>2535566</v>
      </c>
    </row>
    <row r="81" spans="1:16" x14ac:dyDescent="0.25">
      <c r="B81" s="15" t="s">
        <v>72</v>
      </c>
      <c r="C81" s="74"/>
      <c r="D81" s="74"/>
      <c r="E81" s="13" t="s">
        <v>22</v>
      </c>
      <c r="F81" s="31">
        <v>0</v>
      </c>
      <c r="G81" s="31">
        <v>320000</v>
      </c>
      <c r="H81" s="35">
        <v>75000</v>
      </c>
      <c r="I81" s="286">
        <v>75000</v>
      </c>
      <c r="J81" s="154" t="s">
        <v>89</v>
      </c>
      <c r="K81" s="1"/>
      <c r="L81" s="175"/>
    </row>
    <row r="82" spans="1:16" x14ac:dyDescent="0.25">
      <c r="B82" s="15" t="s">
        <v>27</v>
      </c>
      <c r="C82" s="74"/>
      <c r="D82" s="74"/>
      <c r="E82" s="13" t="s">
        <v>22</v>
      </c>
      <c r="F82" s="31">
        <v>0</v>
      </c>
      <c r="G82" s="31">
        <v>350000</v>
      </c>
      <c r="H82" s="35">
        <v>75000</v>
      </c>
      <c r="I82" s="286">
        <v>75000</v>
      </c>
      <c r="J82" s="153" t="s">
        <v>89</v>
      </c>
      <c r="K82" s="138"/>
      <c r="L82" s="175"/>
      <c r="O82" s="338">
        <v>2535566</v>
      </c>
    </row>
    <row r="83" spans="1:16" x14ac:dyDescent="0.25">
      <c r="B83" s="15" t="s">
        <v>109</v>
      </c>
      <c r="C83" s="74"/>
      <c r="D83" s="74"/>
      <c r="E83" s="13" t="s">
        <v>22</v>
      </c>
      <c r="F83" s="31">
        <v>0</v>
      </c>
      <c r="G83" s="31">
        <v>210000</v>
      </c>
      <c r="H83" s="35">
        <v>127000</v>
      </c>
      <c r="I83" s="286">
        <v>127000</v>
      </c>
      <c r="J83" s="153" t="s">
        <v>89</v>
      </c>
      <c r="K83" s="138"/>
      <c r="L83" s="175"/>
      <c r="O83" s="338">
        <f>O82-O80</f>
        <v>0</v>
      </c>
    </row>
    <row r="84" spans="1:16" s="72" customFormat="1" x14ac:dyDescent="0.25">
      <c r="B84" s="15" t="s">
        <v>110</v>
      </c>
      <c r="C84" s="74"/>
      <c r="D84" s="74"/>
      <c r="E84" s="74" t="s">
        <v>13</v>
      </c>
      <c r="F84" s="142">
        <v>0</v>
      </c>
      <c r="G84" s="142">
        <v>0</v>
      </c>
      <c r="H84" s="35">
        <v>180000</v>
      </c>
      <c r="I84" s="286">
        <v>180000</v>
      </c>
      <c r="J84" s="153" t="s">
        <v>89</v>
      </c>
      <c r="K84" s="138"/>
      <c r="L84" s="175"/>
    </row>
    <row r="85" spans="1:16" s="72" customFormat="1" x14ac:dyDescent="0.25">
      <c r="B85" s="15" t="s">
        <v>111</v>
      </c>
      <c r="C85" s="74"/>
      <c r="D85" s="74"/>
      <c r="E85" s="74" t="s">
        <v>13</v>
      </c>
      <c r="F85" s="142">
        <v>0</v>
      </c>
      <c r="G85" s="142">
        <v>0</v>
      </c>
      <c r="H85" s="35">
        <v>30000</v>
      </c>
      <c r="I85" s="286">
        <v>30000</v>
      </c>
      <c r="J85" s="153" t="s">
        <v>89</v>
      </c>
      <c r="K85" s="138"/>
      <c r="L85" s="175"/>
    </row>
    <row r="86" spans="1:16" ht="15.75" thickBot="1" x14ac:dyDescent="0.3">
      <c r="B86" s="20" t="s">
        <v>28</v>
      </c>
      <c r="C86" s="77"/>
      <c r="D86" s="77"/>
      <c r="E86" s="21"/>
      <c r="F86" s="57">
        <v>650000</v>
      </c>
      <c r="G86" s="57">
        <v>650000</v>
      </c>
      <c r="H86" s="58">
        <v>386873</v>
      </c>
      <c r="I86" s="309">
        <f>SUM(I76:I83)*0.3</f>
        <v>391200</v>
      </c>
      <c r="J86" s="149"/>
      <c r="K86" s="9"/>
      <c r="L86" s="58"/>
      <c r="N86" s="157"/>
      <c r="O86" s="157"/>
    </row>
    <row r="87" spans="1:16" ht="15.75" thickBot="1" x14ac:dyDescent="0.3">
      <c r="B87" s="28" t="s">
        <v>63</v>
      </c>
      <c r="C87" s="59"/>
      <c r="D87" s="59"/>
      <c r="E87" s="59"/>
      <c r="F87" s="43">
        <f>SUM(F73:F86)</f>
        <v>1238221.82</v>
      </c>
      <c r="G87" s="43">
        <f>SUM(G73:G86)</f>
        <v>3600311.82</v>
      </c>
      <c r="H87" s="44">
        <f>SUM(H73:H86)</f>
        <v>2531239</v>
      </c>
      <c r="I87" s="44">
        <f>SUM(I73:I86)</f>
        <v>2775566</v>
      </c>
      <c r="J87" s="165"/>
      <c r="K87" s="1"/>
      <c r="L87" s="44"/>
    </row>
    <row r="88" spans="1:16" s="11" customFormat="1" ht="15.75" thickBot="1" x14ac:dyDescent="0.3">
      <c r="A88" s="72"/>
      <c r="B88" s="72"/>
      <c r="C88" s="74"/>
      <c r="D88" s="74"/>
      <c r="E88" s="13"/>
      <c r="F88" s="14"/>
      <c r="G88" s="14"/>
      <c r="H88" s="14"/>
      <c r="I88" s="14"/>
      <c r="J88" s="14"/>
      <c r="K88" s="12"/>
    </row>
    <row r="89" spans="1:16" ht="44.45" customHeight="1" thickBot="1" x14ac:dyDescent="0.3">
      <c r="B89" s="348" t="s">
        <v>66</v>
      </c>
      <c r="C89" s="349"/>
      <c r="D89" s="349"/>
      <c r="E89" s="71" t="s">
        <v>1</v>
      </c>
      <c r="F89" s="79" t="s">
        <v>58</v>
      </c>
      <c r="G89" s="80" t="s">
        <v>59</v>
      </c>
      <c r="H89" s="81" t="s">
        <v>60</v>
      </c>
      <c r="I89" s="166"/>
      <c r="J89" s="166"/>
      <c r="K89" s="1"/>
      <c r="L89" s="294" t="s">
        <v>162</v>
      </c>
      <c r="N89" s="351" t="s">
        <v>196</v>
      </c>
      <c r="O89" s="351"/>
    </row>
    <row r="90" spans="1:16" x14ac:dyDescent="0.25">
      <c r="B90" s="19" t="s">
        <v>29</v>
      </c>
      <c r="C90" s="73"/>
      <c r="D90" s="73"/>
      <c r="E90" s="12" t="s">
        <v>3</v>
      </c>
      <c r="F90" s="39">
        <v>0</v>
      </c>
      <c r="G90" s="39">
        <v>0</v>
      </c>
      <c r="H90" s="35">
        <v>286463.99</v>
      </c>
      <c r="I90" s="288">
        <f>H90</f>
        <v>286463.99</v>
      </c>
      <c r="J90" s="148"/>
      <c r="K90" s="1"/>
      <c r="L90" s="35"/>
      <c r="N90" s="333" t="s">
        <v>185</v>
      </c>
      <c r="O90" s="334" t="s">
        <v>197</v>
      </c>
    </row>
    <row r="91" spans="1:16" x14ac:dyDescent="0.25">
      <c r="B91" s="49" t="s">
        <v>160</v>
      </c>
      <c r="C91" s="50"/>
      <c r="D91" s="50"/>
      <c r="E91" s="50" t="s">
        <v>30</v>
      </c>
      <c r="F91" s="53">
        <v>0</v>
      </c>
      <c r="G91" s="53">
        <v>250000</v>
      </c>
      <c r="H91" s="55"/>
      <c r="I91" s="303"/>
      <c r="J91" s="155"/>
      <c r="K91" s="1"/>
      <c r="L91" s="55"/>
      <c r="N91" s="333" t="s">
        <v>198</v>
      </c>
      <c r="O91" s="335" t="s">
        <v>199</v>
      </c>
      <c r="P91" s="335"/>
    </row>
    <row r="92" spans="1:16" x14ac:dyDescent="0.25">
      <c r="B92" s="15" t="s">
        <v>91</v>
      </c>
      <c r="C92" s="74"/>
      <c r="D92" s="74"/>
      <c r="E92" s="74" t="s">
        <v>22</v>
      </c>
      <c r="F92" s="156">
        <v>0</v>
      </c>
      <c r="G92" s="156">
        <v>402550</v>
      </c>
      <c r="H92" s="157">
        <v>456206.5</v>
      </c>
      <c r="I92" s="286">
        <f>H92</f>
        <v>456206.5</v>
      </c>
      <c r="J92" s="155"/>
      <c r="K92" s="1"/>
      <c r="L92" s="157"/>
      <c r="N92" s="333" t="s">
        <v>200</v>
      </c>
      <c r="O92" s="335" t="s">
        <v>201</v>
      </c>
    </row>
    <row r="93" spans="1:16" ht="15.75" thickBot="1" x14ac:dyDescent="0.3">
      <c r="B93" s="15" t="s">
        <v>31</v>
      </c>
      <c r="C93" s="74"/>
      <c r="D93" s="74"/>
      <c r="E93" s="74" t="s">
        <v>22</v>
      </c>
      <c r="F93" s="156">
        <v>0</v>
      </c>
      <c r="G93" s="156">
        <v>0</v>
      </c>
      <c r="H93" s="157">
        <v>242568</v>
      </c>
      <c r="I93" s="287">
        <f>H93</f>
        <v>242568</v>
      </c>
      <c r="J93" s="155"/>
      <c r="K93" s="1"/>
      <c r="L93" s="157"/>
      <c r="N93" s="336" t="s">
        <v>159</v>
      </c>
      <c r="O93" s="337" t="s">
        <v>202</v>
      </c>
    </row>
    <row r="94" spans="1:16" ht="15.75" thickBot="1" x14ac:dyDescent="0.3">
      <c r="B94" s="28" t="s">
        <v>64</v>
      </c>
      <c r="C94" s="59"/>
      <c r="D94" s="59"/>
      <c r="E94" s="59"/>
      <c r="F94" s="60">
        <f>SUM(F90:F93)</f>
        <v>0</v>
      </c>
      <c r="G94" s="45">
        <f>SUM(G90:G93)</f>
        <v>652550</v>
      </c>
      <c r="H94" s="44">
        <f>SUM(H90:H93)</f>
        <v>985238.49</v>
      </c>
      <c r="I94" s="44">
        <f>SUM(I90:I93)</f>
        <v>985238.49</v>
      </c>
      <c r="J94" s="167"/>
      <c r="K94" s="1"/>
      <c r="L94" s="44"/>
    </row>
    <row r="95" spans="1:16" ht="15.75" thickBot="1" x14ac:dyDescent="0.3">
      <c r="B95" s="1"/>
      <c r="E95" s="1"/>
      <c r="F95" s="1"/>
      <c r="G95" s="1"/>
      <c r="H95" s="1"/>
      <c r="I95" s="76"/>
      <c r="J95" s="76"/>
      <c r="K95" s="1"/>
      <c r="L95" s="293"/>
    </row>
    <row r="96" spans="1:16" ht="44.45" customHeight="1" thickBot="1" x14ac:dyDescent="0.3">
      <c r="B96" s="346" t="s">
        <v>67</v>
      </c>
      <c r="C96" s="347"/>
      <c r="D96" s="347"/>
      <c r="E96" s="66" t="s">
        <v>1</v>
      </c>
      <c r="F96" s="62" t="s">
        <v>58</v>
      </c>
      <c r="G96" s="63" t="s">
        <v>59</v>
      </c>
      <c r="H96" s="64" t="s">
        <v>60</v>
      </c>
      <c r="I96" s="164"/>
      <c r="J96" s="164"/>
      <c r="K96" s="1"/>
      <c r="L96" s="294" t="s">
        <v>162</v>
      </c>
      <c r="N96" s="350" t="s">
        <v>228</v>
      </c>
      <c r="O96" s="350"/>
    </row>
    <row r="97" spans="2:15" ht="15.75" x14ac:dyDescent="0.3">
      <c r="B97" s="19" t="s">
        <v>32</v>
      </c>
      <c r="C97" s="73"/>
      <c r="D97" s="73"/>
      <c r="E97" s="12" t="s">
        <v>3</v>
      </c>
      <c r="F97" s="31">
        <v>0</v>
      </c>
      <c r="G97" s="31">
        <v>0</v>
      </c>
      <c r="H97" s="35">
        <v>273380.46000000002</v>
      </c>
      <c r="I97" s="288">
        <f>H97</f>
        <v>273380.46000000002</v>
      </c>
      <c r="J97" s="148"/>
      <c r="K97" s="1"/>
      <c r="L97" s="35"/>
      <c r="N97" s="161" t="s">
        <v>185</v>
      </c>
      <c r="O97" s="134">
        <f>H97</f>
        <v>273380.46000000002</v>
      </c>
    </row>
    <row r="98" spans="2:15" ht="14.45" hidden="1" customHeight="1" x14ac:dyDescent="0.3">
      <c r="B98" s="19" t="s">
        <v>33</v>
      </c>
      <c r="C98" s="73"/>
      <c r="D98" s="73"/>
      <c r="E98" s="12" t="s">
        <v>3</v>
      </c>
      <c r="F98" s="31">
        <v>0</v>
      </c>
      <c r="G98" s="31">
        <v>0</v>
      </c>
      <c r="H98" s="35">
        <v>0</v>
      </c>
      <c r="I98" s="286"/>
      <c r="J98" s="148"/>
      <c r="K98" s="1"/>
      <c r="L98" s="35"/>
      <c r="N98" s="161" t="s">
        <v>193</v>
      </c>
      <c r="O98" s="134">
        <f>SUM(H100:H105)</f>
        <v>1439014.138</v>
      </c>
    </row>
    <row r="99" spans="2:15" ht="15.75" x14ac:dyDescent="0.3">
      <c r="B99" s="19" t="s">
        <v>34</v>
      </c>
      <c r="C99" s="73"/>
      <c r="D99" s="73"/>
      <c r="E99" s="23" t="s">
        <v>5</v>
      </c>
      <c r="F99" s="31">
        <v>0</v>
      </c>
      <c r="G99" s="31">
        <v>0</v>
      </c>
      <c r="H99" s="275">
        <v>500000</v>
      </c>
      <c r="I99" s="286">
        <v>500000</v>
      </c>
      <c r="J99" s="148"/>
      <c r="K99" s="1"/>
      <c r="L99" s="275"/>
      <c r="N99" s="161" t="s">
        <v>187</v>
      </c>
      <c r="O99" s="134">
        <f>SUM(H103,H102)</f>
        <v>600000</v>
      </c>
    </row>
    <row r="100" spans="2:15" ht="15.75" x14ac:dyDescent="0.3">
      <c r="B100" s="19" t="s">
        <v>35</v>
      </c>
      <c r="C100" s="73"/>
      <c r="D100" s="73"/>
      <c r="E100" s="23" t="s">
        <v>22</v>
      </c>
      <c r="F100" s="31">
        <v>0</v>
      </c>
      <c r="G100" s="31">
        <v>0</v>
      </c>
      <c r="H100" s="276">
        <v>200000</v>
      </c>
      <c r="I100" s="286">
        <f t="shared" ref="I100:I105" si="7">H100</f>
        <v>200000</v>
      </c>
      <c r="J100" s="148"/>
      <c r="K100" s="138"/>
      <c r="L100" s="276"/>
      <c r="N100" s="161" t="s">
        <v>226</v>
      </c>
      <c r="O100" s="134">
        <f>SUM(H100,H101,H104)</f>
        <v>490000</v>
      </c>
    </row>
    <row r="101" spans="2:15" s="72" customFormat="1" ht="15.75" x14ac:dyDescent="0.3">
      <c r="B101" s="19" t="s">
        <v>158</v>
      </c>
      <c r="C101" s="73"/>
      <c r="D101" s="73"/>
      <c r="E101" s="23" t="s">
        <v>22</v>
      </c>
      <c r="F101" s="31">
        <v>0</v>
      </c>
      <c r="G101" s="31">
        <v>0</v>
      </c>
      <c r="H101" s="35">
        <v>200000</v>
      </c>
      <c r="I101" s="286">
        <f t="shared" si="7"/>
        <v>200000</v>
      </c>
      <c r="J101" s="148"/>
      <c r="K101" s="138"/>
      <c r="L101" s="35"/>
      <c r="N101" s="161" t="s">
        <v>227</v>
      </c>
      <c r="O101" s="134">
        <v>349014</v>
      </c>
    </row>
    <row r="102" spans="2:15" ht="15.75" x14ac:dyDescent="0.3">
      <c r="B102" s="19" t="s">
        <v>112</v>
      </c>
      <c r="C102" s="73"/>
      <c r="D102" s="73"/>
      <c r="E102" s="23" t="s">
        <v>13</v>
      </c>
      <c r="F102" s="31">
        <v>0</v>
      </c>
      <c r="G102" s="31">
        <v>0</v>
      </c>
      <c r="H102" s="35">
        <v>260000</v>
      </c>
      <c r="I102" s="286">
        <f t="shared" si="7"/>
        <v>260000</v>
      </c>
      <c r="J102" s="148"/>
      <c r="K102" s="1"/>
      <c r="L102" s="35"/>
      <c r="N102" s="161"/>
      <c r="O102" s="134"/>
    </row>
    <row r="103" spans="2:15" ht="15.75" x14ac:dyDescent="0.3">
      <c r="B103" s="19" t="s">
        <v>36</v>
      </c>
      <c r="C103" s="73"/>
      <c r="D103" s="73"/>
      <c r="E103" s="23" t="s">
        <v>13</v>
      </c>
      <c r="F103" s="31">
        <v>0</v>
      </c>
      <c r="G103" s="31">
        <v>0</v>
      </c>
      <c r="H103" s="35">
        <v>340000</v>
      </c>
      <c r="I103" s="286">
        <f t="shared" si="7"/>
        <v>340000</v>
      </c>
      <c r="J103" s="148"/>
      <c r="K103" s="1"/>
      <c r="L103" s="35"/>
      <c r="N103" s="161" t="s">
        <v>5</v>
      </c>
      <c r="O103" s="134">
        <v>500000</v>
      </c>
    </row>
    <row r="104" spans="2:15" s="72" customFormat="1" x14ac:dyDescent="0.25">
      <c r="B104" s="19" t="s">
        <v>157</v>
      </c>
      <c r="C104" s="73"/>
      <c r="D104" s="73"/>
      <c r="E104" s="23" t="s">
        <v>22</v>
      </c>
      <c r="F104" s="31"/>
      <c r="G104" s="31"/>
      <c r="H104" s="35">
        <v>90000</v>
      </c>
      <c r="I104" s="286">
        <f t="shared" si="7"/>
        <v>90000</v>
      </c>
      <c r="J104" s="148"/>
      <c r="L104" s="35"/>
      <c r="N104" s="104" t="s">
        <v>159</v>
      </c>
      <c r="O104" s="129">
        <f>O97+O99+O100+O101+O102+O103</f>
        <v>2212394.46</v>
      </c>
    </row>
    <row r="105" spans="2:15" ht="15.75" thickBot="1" x14ac:dyDescent="0.3">
      <c r="B105" s="19" t="s">
        <v>37</v>
      </c>
      <c r="C105" s="73"/>
      <c r="D105" s="73"/>
      <c r="E105" s="12" t="s">
        <v>22</v>
      </c>
      <c r="F105" s="31">
        <v>0</v>
      </c>
      <c r="G105" s="31">
        <v>0</v>
      </c>
      <c r="H105" s="35">
        <f>(H100+H97+H98+H102+H103+H104)*0.3</f>
        <v>349014.13799999998</v>
      </c>
      <c r="I105" s="287">
        <f t="shared" si="7"/>
        <v>349014.13799999998</v>
      </c>
      <c r="J105" s="148"/>
      <c r="K105" s="10"/>
      <c r="L105" s="35"/>
    </row>
    <row r="106" spans="2:15" ht="15.75" thickBot="1" x14ac:dyDescent="0.3">
      <c r="B106" s="28" t="s">
        <v>65</v>
      </c>
      <c r="C106" s="59"/>
      <c r="D106" s="59"/>
      <c r="E106" s="59"/>
      <c r="F106" s="61">
        <v>0</v>
      </c>
      <c r="G106" s="61">
        <v>0</v>
      </c>
      <c r="H106" s="44">
        <f>SUM(H97:H105)</f>
        <v>2212394.5979999998</v>
      </c>
      <c r="I106" s="44">
        <f>SUM(I97:I105)</f>
        <v>2212394.5979999998</v>
      </c>
      <c r="J106" s="167"/>
      <c r="K106" s="1"/>
      <c r="L106" s="44"/>
    </row>
    <row r="107" spans="2:15" x14ac:dyDescent="0.25">
      <c r="B107" s="1"/>
      <c r="E107" s="1"/>
      <c r="F107" s="1"/>
      <c r="G107" s="1"/>
      <c r="H107" s="1"/>
      <c r="K107" s="1"/>
      <c r="L107" s="1"/>
    </row>
    <row r="108" spans="2:15" ht="15.75" thickBot="1" x14ac:dyDescent="0.3">
      <c r="B108" s="7"/>
      <c r="C108" s="76"/>
      <c r="D108" s="76"/>
      <c r="E108" s="7"/>
      <c r="F108" s="7"/>
      <c r="G108" s="7"/>
      <c r="H108" s="7"/>
      <c r="I108" s="76"/>
      <c r="J108" s="76"/>
      <c r="K108" s="7"/>
      <c r="L108" s="7"/>
    </row>
    <row r="109" spans="2:15" ht="15.75" thickBot="1" x14ac:dyDescent="0.3">
      <c r="B109" s="346" t="s">
        <v>67</v>
      </c>
      <c r="C109" s="347"/>
      <c r="D109" s="347"/>
      <c r="E109" s="66" t="s">
        <v>1</v>
      </c>
      <c r="F109" s="62" t="s">
        <v>58</v>
      </c>
      <c r="G109" s="63" t="s">
        <v>59</v>
      </c>
      <c r="H109" s="64" t="s">
        <v>60</v>
      </c>
      <c r="I109" s="76"/>
      <c r="J109" s="76"/>
      <c r="K109" s="7"/>
      <c r="L109" s="290" t="s">
        <v>162</v>
      </c>
    </row>
    <row r="110" spans="2:15" x14ac:dyDescent="0.25">
      <c r="B110" s="19" t="s">
        <v>32</v>
      </c>
      <c r="C110" s="73"/>
      <c r="D110" s="73"/>
      <c r="E110" s="73" t="s">
        <v>3</v>
      </c>
      <c r="F110" s="31">
        <v>0</v>
      </c>
      <c r="G110" s="31">
        <v>0</v>
      </c>
      <c r="H110" s="35">
        <v>273380.46000000002</v>
      </c>
      <c r="I110" s="288">
        <f>H110</f>
        <v>273380.46000000002</v>
      </c>
      <c r="J110" s="76"/>
      <c r="K110" s="7"/>
      <c r="L110" s="35"/>
    </row>
    <row r="111" spans="2:15" x14ac:dyDescent="0.25">
      <c r="B111" s="19" t="s">
        <v>34</v>
      </c>
      <c r="C111" s="73"/>
      <c r="D111" s="73"/>
      <c r="E111" s="23" t="s">
        <v>5</v>
      </c>
      <c r="F111" s="31">
        <v>0</v>
      </c>
      <c r="G111" s="31">
        <v>0</v>
      </c>
      <c r="H111" s="286">
        <v>450000</v>
      </c>
      <c r="I111" s="286">
        <f>H111</f>
        <v>450000</v>
      </c>
      <c r="J111" s="76"/>
      <c r="K111" s="7"/>
      <c r="L111" s="35"/>
    </row>
    <row r="112" spans="2:15" x14ac:dyDescent="0.25">
      <c r="B112" s="19" t="s">
        <v>172</v>
      </c>
      <c r="C112" s="73"/>
      <c r="D112" s="73"/>
      <c r="E112" s="23" t="s">
        <v>22</v>
      </c>
      <c r="F112" s="31">
        <v>0</v>
      </c>
      <c r="G112" s="31">
        <v>0</v>
      </c>
      <c r="H112" s="276"/>
      <c r="I112" s="286">
        <v>60000</v>
      </c>
      <c r="J112" s="76"/>
      <c r="K112" s="7"/>
      <c r="L112" s="276"/>
    </row>
    <row r="113" spans="2:12" s="72" customFormat="1" x14ac:dyDescent="0.25">
      <c r="B113" s="19" t="s">
        <v>171</v>
      </c>
      <c r="C113" s="73"/>
      <c r="D113" s="73"/>
      <c r="E113" s="23"/>
      <c r="F113" s="31"/>
      <c r="G113" s="31"/>
      <c r="H113" s="276">
        <v>280000</v>
      </c>
      <c r="I113" s="286"/>
      <c r="J113" s="76"/>
      <c r="K113" s="76"/>
      <c r="L113" s="276"/>
    </row>
    <row r="114" spans="2:12" x14ac:dyDescent="0.25">
      <c r="B114" s="19" t="s">
        <v>158</v>
      </c>
      <c r="C114" s="73"/>
      <c r="D114" s="73"/>
      <c r="E114" s="23" t="s">
        <v>22</v>
      </c>
      <c r="F114" s="31">
        <v>0</v>
      </c>
      <c r="G114" s="31">
        <v>0</v>
      </c>
      <c r="H114" s="35">
        <v>200000</v>
      </c>
      <c r="I114" s="286">
        <f>H114</f>
        <v>200000</v>
      </c>
      <c r="J114" s="76"/>
      <c r="K114" s="7"/>
      <c r="L114" s="35"/>
    </row>
    <row r="115" spans="2:12" x14ac:dyDescent="0.25">
      <c r="B115" s="19" t="s">
        <v>112</v>
      </c>
      <c r="C115" s="73"/>
      <c r="D115" s="73"/>
      <c r="E115" s="23" t="s">
        <v>13</v>
      </c>
      <c r="F115" s="31">
        <v>0</v>
      </c>
      <c r="G115" s="31">
        <v>0</v>
      </c>
      <c r="H115" s="35">
        <v>260000</v>
      </c>
      <c r="I115" s="286">
        <f>H115</f>
        <v>260000</v>
      </c>
      <c r="J115" s="76"/>
      <c r="K115" s="7"/>
      <c r="L115" s="35"/>
    </row>
    <row r="116" spans="2:12" x14ac:dyDescent="0.25">
      <c r="B116" s="19" t="s">
        <v>36</v>
      </c>
      <c r="C116" s="73"/>
      <c r="D116" s="73"/>
      <c r="E116" s="23" t="s">
        <v>13</v>
      </c>
      <c r="F116" s="31">
        <v>0</v>
      </c>
      <c r="G116" s="31">
        <v>0</v>
      </c>
      <c r="H116" s="35">
        <v>340000</v>
      </c>
      <c r="I116" s="286">
        <f>H116</f>
        <v>340000</v>
      </c>
      <c r="J116" s="76"/>
      <c r="K116" s="7"/>
      <c r="L116" s="35"/>
    </row>
    <row r="117" spans="2:12" x14ac:dyDescent="0.25">
      <c r="B117" s="19" t="s">
        <v>157</v>
      </c>
      <c r="C117" s="73"/>
      <c r="D117" s="73"/>
      <c r="E117" s="23" t="s">
        <v>22</v>
      </c>
      <c r="F117" s="31"/>
      <c r="G117" s="31"/>
      <c r="H117" s="35">
        <v>90000</v>
      </c>
      <c r="I117" s="286"/>
      <c r="J117" s="76"/>
      <c r="K117" s="7"/>
      <c r="L117" s="35"/>
    </row>
    <row r="118" spans="2:12" s="72" customFormat="1" x14ac:dyDescent="0.25">
      <c r="B118" s="19" t="s">
        <v>170</v>
      </c>
      <c r="C118" s="73"/>
      <c r="D118" s="73"/>
      <c r="E118" s="23"/>
      <c r="F118" s="31"/>
      <c r="G118" s="31"/>
      <c r="H118" s="35"/>
      <c r="I118" s="275">
        <v>0</v>
      </c>
      <c r="J118" s="76"/>
      <c r="K118" s="76"/>
      <c r="L118" s="35"/>
    </row>
    <row r="119" spans="2:12" ht="15.75" thickBot="1" x14ac:dyDescent="0.3">
      <c r="B119" s="19" t="s">
        <v>37</v>
      </c>
      <c r="C119" s="73"/>
      <c r="D119" s="73"/>
      <c r="E119" s="73" t="s">
        <v>22</v>
      </c>
      <c r="F119" s="31">
        <v>0</v>
      </c>
      <c r="G119" s="31">
        <v>0</v>
      </c>
      <c r="H119" s="35">
        <f>(H112+H110+H113+H114+H115+H116+H117)*0.3</f>
        <v>433014.13799999998</v>
      </c>
      <c r="I119" s="35">
        <f>(I112+I110+I113+I114+I115+I116+I117)*0.3</f>
        <v>340014.13799999998</v>
      </c>
      <c r="J119" s="76"/>
      <c r="K119" s="7"/>
      <c r="L119" s="35"/>
    </row>
    <row r="120" spans="2:12" ht="15.75" thickBot="1" x14ac:dyDescent="0.3">
      <c r="B120" s="28" t="s">
        <v>65</v>
      </c>
      <c r="C120" s="59"/>
      <c r="D120" s="59"/>
      <c r="E120" s="59"/>
      <c r="F120" s="61">
        <v>0</v>
      </c>
      <c r="G120" s="61">
        <v>0</v>
      </c>
      <c r="H120" s="44">
        <f>SUM(H110:H119)</f>
        <v>2326394.5979999998</v>
      </c>
      <c r="I120" s="44">
        <f>SUM(I110:I119)</f>
        <v>1923394.598</v>
      </c>
      <c r="J120" s="76"/>
      <c r="K120" s="7"/>
      <c r="L120" s="44"/>
    </row>
    <row r="121" spans="2:12" x14ac:dyDescent="0.25">
      <c r="B121" s="7"/>
      <c r="C121" s="76"/>
      <c r="D121" s="76"/>
      <c r="E121" s="7"/>
      <c r="F121" s="7"/>
      <c r="G121" s="7"/>
      <c r="H121" s="7"/>
      <c r="I121" s="76"/>
      <c r="J121" s="76"/>
      <c r="K121" s="7"/>
      <c r="L121" s="7"/>
    </row>
    <row r="122" spans="2:12" x14ac:dyDescent="0.25">
      <c r="B122" s="7"/>
      <c r="C122" s="76"/>
      <c r="D122" s="76"/>
      <c r="E122" s="7"/>
      <c r="F122" s="7"/>
      <c r="G122" s="7"/>
      <c r="H122" s="7"/>
      <c r="I122" s="76"/>
      <c r="J122" s="76"/>
      <c r="K122" s="7"/>
      <c r="L122" s="7"/>
    </row>
    <row r="123" spans="2:12" x14ac:dyDescent="0.25">
      <c r="B123" s="7"/>
      <c r="C123" s="76"/>
      <c r="D123" s="76"/>
      <c r="E123" s="7"/>
      <c r="F123" s="7"/>
      <c r="G123" s="7"/>
      <c r="H123" s="7"/>
      <c r="I123" s="76"/>
      <c r="J123" s="76"/>
      <c r="K123" s="7"/>
      <c r="L123" s="7"/>
    </row>
    <row r="124" spans="2:12" x14ac:dyDescent="0.25">
      <c r="B124" s="7"/>
      <c r="C124" s="76"/>
      <c r="D124" s="76"/>
      <c r="E124" s="7"/>
      <c r="F124" s="7"/>
      <c r="G124" s="7"/>
      <c r="H124" s="7"/>
      <c r="I124" s="76"/>
      <c r="J124" s="76"/>
      <c r="K124" s="7"/>
      <c r="L124" s="7"/>
    </row>
    <row r="125" spans="2:12" x14ac:dyDescent="0.25">
      <c r="B125" s="7"/>
      <c r="C125" s="76"/>
      <c r="D125" s="76"/>
      <c r="E125" s="7"/>
      <c r="F125" s="7"/>
      <c r="G125" s="7"/>
      <c r="H125" s="7"/>
      <c r="I125" s="76"/>
      <c r="J125" s="76"/>
      <c r="K125" s="7"/>
      <c r="L125" s="7"/>
    </row>
    <row r="126" spans="2:12" x14ac:dyDescent="0.25">
      <c r="B126" s="7"/>
      <c r="C126" s="76"/>
      <c r="D126" s="76"/>
      <c r="E126" s="7"/>
      <c r="F126" s="7"/>
      <c r="G126" s="7"/>
      <c r="H126" s="7"/>
      <c r="I126" s="76"/>
      <c r="J126" s="76"/>
      <c r="K126" s="7"/>
      <c r="L126" s="7"/>
    </row>
    <row r="127" spans="2:12" x14ac:dyDescent="0.25">
      <c r="B127" s="7"/>
      <c r="C127" s="76"/>
      <c r="D127" s="76"/>
      <c r="E127" s="7"/>
      <c r="F127" s="7"/>
      <c r="G127" s="7"/>
      <c r="H127" s="7"/>
      <c r="I127" s="76"/>
      <c r="J127" s="76"/>
      <c r="K127" s="7"/>
      <c r="L127" s="7"/>
    </row>
    <row r="128" spans="2:12" x14ac:dyDescent="0.25">
      <c r="B128" s="7"/>
      <c r="C128" s="76"/>
      <c r="D128" s="76"/>
      <c r="E128" s="7"/>
      <c r="F128" s="7"/>
      <c r="G128" s="7"/>
      <c r="H128" s="7"/>
      <c r="I128" s="76"/>
      <c r="J128" s="76"/>
      <c r="K128" s="7"/>
      <c r="L128" s="7"/>
    </row>
    <row r="129" spans="2:12" x14ac:dyDescent="0.25">
      <c r="B129" s="7"/>
      <c r="C129" s="76"/>
      <c r="D129" s="76"/>
      <c r="E129" s="7"/>
      <c r="F129" s="7"/>
      <c r="G129" s="7"/>
      <c r="H129" s="7"/>
      <c r="I129" s="76"/>
      <c r="J129" s="76"/>
      <c r="K129" s="7"/>
      <c r="L129" s="7"/>
    </row>
    <row r="130" spans="2:12" x14ac:dyDescent="0.25">
      <c r="B130" s="7"/>
      <c r="C130" s="76"/>
      <c r="D130" s="76"/>
      <c r="E130" s="7"/>
      <c r="F130" s="7"/>
      <c r="G130" s="7"/>
      <c r="H130" s="7"/>
      <c r="I130" s="76"/>
      <c r="J130" s="76"/>
      <c r="K130" s="7"/>
      <c r="L130" s="7"/>
    </row>
    <row r="131" spans="2:12" x14ac:dyDescent="0.25">
      <c r="B131" s="7"/>
      <c r="C131" s="76"/>
      <c r="D131" s="76"/>
      <c r="E131" s="7"/>
      <c r="F131" s="7"/>
      <c r="G131" s="7"/>
      <c r="H131" s="7"/>
      <c r="I131" s="76"/>
      <c r="J131" s="76"/>
      <c r="K131" s="7"/>
      <c r="L131" s="7"/>
    </row>
    <row r="132" spans="2:12" x14ac:dyDescent="0.25">
      <c r="B132" s="7"/>
      <c r="C132" s="76"/>
      <c r="D132" s="76"/>
      <c r="E132" s="7"/>
      <c r="F132" s="7"/>
      <c r="G132" s="7"/>
      <c r="H132" s="7"/>
      <c r="I132" s="76"/>
      <c r="J132" s="76"/>
      <c r="K132" s="7"/>
      <c r="L132" s="7"/>
    </row>
    <row r="133" spans="2:12" x14ac:dyDescent="0.25">
      <c r="B133" s="7"/>
      <c r="C133" s="76"/>
      <c r="D133" s="76"/>
      <c r="E133" s="7"/>
      <c r="F133" s="7"/>
      <c r="G133" s="7"/>
      <c r="H133" s="7"/>
      <c r="I133" s="76"/>
      <c r="J133" s="76"/>
      <c r="K133" s="7"/>
      <c r="L133" s="7"/>
    </row>
    <row r="134" spans="2:12" x14ac:dyDescent="0.25">
      <c r="B134" s="7"/>
      <c r="C134" s="76"/>
      <c r="D134" s="76"/>
      <c r="E134" s="7"/>
      <c r="F134" s="7"/>
      <c r="G134" s="7"/>
      <c r="H134" s="7"/>
      <c r="I134" s="76"/>
      <c r="J134" s="76"/>
      <c r="K134" s="7"/>
      <c r="L134" s="7"/>
    </row>
    <row r="135" spans="2:12" x14ac:dyDescent="0.25">
      <c r="B135" s="7"/>
      <c r="C135" s="76"/>
      <c r="D135" s="76"/>
      <c r="E135" s="7"/>
      <c r="F135" s="7"/>
      <c r="G135" s="7"/>
      <c r="H135" s="7"/>
      <c r="I135" s="76"/>
      <c r="J135" s="76"/>
      <c r="K135" s="7"/>
      <c r="L135" s="7"/>
    </row>
    <row r="136" spans="2:12" x14ac:dyDescent="0.25">
      <c r="B136" s="7"/>
      <c r="C136" s="76"/>
      <c r="D136" s="76"/>
      <c r="E136" s="7"/>
      <c r="F136" s="7"/>
      <c r="G136" s="7"/>
      <c r="H136" s="7"/>
      <c r="I136" s="76"/>
      <c r="J136" s="76"/>
      <c r="K136" s="7"/>
      <c r="L136" s="7"/>
    </row>
    <row r="137" spans="2:12" x14ac:dyDescent="0.25">
      <c r="B137" s="7"/>
      <c r="C137" s="76"/>
      <c r="D137" s="76"/>
      <c r="E137" s="7"/>
      <c r="F137" s="7"/>
      <c r="G137" s="7"/>
      <c r="H137" s="7"/>
      <c r="I137" s="76"/>
      <c r="J137" s="76"/>
      <c r="K137" s="7"/>
      <c r="L137" s="7"/>
    </row>
    <row r="138" spans="2:12" x14ac:dyDescent="0.25">
      <c r="B138" s="7"/>
      <c r="C138" s="76"/>
      <c r="D138" s="76"/>
      <c r="E138" s="7"/>
      <c r="F138" s="7"/>
      <c r="G138" s="7"/>
      <c r="H138" s="7"/>
      <c r="I138" s="76"/>
      <c r="J138" s="76"/>
      <c r="K138" s="7"/>
      <c r="L138" s="7"/>
    </row>
    <row r="139" spans="2:12" x14ac:dyDescent="0.25">
      <c r="B139" s="7"/>
      <c r="C139" s="76"/>
      <c r="D139" s="76"/>
      <c r="E139" s="7"/>
      <c r="F139" s="7"/>
      <c r="G139" s="7"/>
      <c r="H139" s="7"/>
      <c r="I139" s="76"/>
      <c r="J139" s="76"/>
      <c r="K139" s="7"/>
      <c r="L139" s="7"/>
    </row>
    <row r="140" spans="2:12" x14ac:dyDescent="0.25">
      <c r="B140" s="7"/>
      <c r="C140" s="76"/>
      <c r="D140" s="76"/>
      <c r="E140" s="7"/>
      <c r="F140" s="7"/>
      <c r="G140" s="7"/>
      <c r="H140" s="7"/>
      <c r="I140" s="76"/>
      <c r="J140" s="76"/>
      <c r="K140" s="7"/>
      <c r="L140" s="7"/>
    </row>
    <row r="141" spans="2:12" x14ac:dyDescent="0.25">
      <c r="B141" s="7"/>
      <c r="C141" s="76"/>
      <c r="D141" s="76"/>
      <c r="E141" s="7"/>
      <c r="F141" s="7"/>
      <c r="G141" s="7"/>
      <c r="H141" s="7"/>
      <c r="I141" s="76"/>
      <c r="J141" s="76"/>
      <c r="K141" s="7"/>
      <c r="L141" s="7"/>
    </row>
    <row r="142" spans="2:12" x14ac:dyDescent="0.25">
      <c r="B142" s="7"/>
      <c r="C142" s="76"/>
      <c r="D142" s="76"/>
      <c r="E142" s="7"/>
      <c r="F142" s="7"/>
      <c r="G142" s="7"/>
      <c r="H142" s="7"/>
      <c r="I142" s="76"/>
      <c r="J142" s="76"/>
      <c r="K142" s="7"/>
      <c r="L142" s="7"/>
    </row>
    <row r="143" spans="2:12" x14ac:dyDescent="0.25">
      <c r="B143" s="7"/>
      <c r="C143" s="76"/>
      <c r="D143" s="76"/>
      <c r="E143" s="7"/>
      <c r="F143" s="7"/>
      <c r="G143" s="7"/>
      <c r="H143" s="7"/>
      <c r="I143" s="76"/>
      <c r="J143" s="76"/>
      <c r="K143" s="7"/>
      <c r="L143" s="7"/>
    </row>
    <row r="144" spans="2:12" x14ac:dyDescent="0.25">
      <c r="B144" s="7"/>
      <c r="C144" s="76"/>
      <c r="D144" s="76"/>
      <c r="E144" s="7"/>
      <c r="F144" s="7"/>
      <c r="G144" s="7"/>
      <c r="H144" s="7"/>
      <c r="I144" s="76"/>
      <c r="J144" s="76"/>
      <c r="K144" s="7"/>
      <c r="L144" s="7"/>
    </row>
    <row r="145" spans="2:12" x14ac:dyDescent="0.25">
      <c r="B145" s="7"/>
      <c r="C145" s="76"/>
      <c r="D145" s="76"/>
      <c r="E145" s="7"/>
      <c r="F145" s="7"/>
      <c r="G145" s="7"/>
      <c r="H145" s="7"/>
      <c r="I145" s="76"/>
      <c r="J145" s="76"/>
      <c r="K145" s="7"/>
      <c r="L145" s="7"/>
    </row>
    <row r="146" spans="2:12" x14ac:dyDescent="0.25">
      <c r="B146" s="7"/>
      <c r="C146" s="76"/>
      <c r="D146" s="76"/>
      <c r="E146" s="7"/>
      <c r="F146" s="7"/>
      <c r="G146" s="7"/>
      <c r="H146" s="7"/>
      <c r="I146" s="76"/>
      <c r="J146" s="76"/>
      <c r="K146" s="7"/>
      <c r="L146" s="7"/>
    </row>
    <row r="147" spans="2:12" x14ac:dyDescent="0.25">
      <c r="B147" s="7"/>
      <c r="C147" s="76"/>
      <c r="D147" s="76"/>
      <c r="E147" s="7"/>
      <c r="F147" s="7"/>
      <c r="G147" s="7"/>
      <c r="H147" s="7"/>
      <c r="I147" s="76"/>
      <c r="J147" s="76"/>
      <c r="K147" s="7"/>
      <c r="L147" s="7"/>
    </row>
    <row r="148" spans="2:12" x14ac:dyDescent="0.25">
      <c r="B148" s="7"/>
      <c r="C148" s="76"/>
      <c r="D148" s="76"/>
      <c r="E148" s="7"/>
      <c r="F148" s="7"/>
      <c r="G148" s="7"/>
      <c r="H148" s="7"/>
      <c r="I148" s="76"/>
      <c r="J148" s="76"/>
      <c r="K148" s="7"/>
      <c r="L148" s="7"/>
    </row>
    <row r="149" spans="2:12" x14ac:dyDescent="0.25">
      <c r="B149" s="7"/>
      <c r="C149" s="76"/>
      <c r="D149" s="76"/>
      <c r="E149" s="7"/>
      <c r="F149" s="7"/>
      <c r="G149" s="7"/>
      <c r="H149" s="7"/>
      <c r="I149" s="76"/>
      <c r="J149" s="76"/>
      <c r="K149" s="7"/>
      <c r="L149" s="7"/>
    </row>
    <row r="150" spans="2:12" x14ac:dyDescent="0.25">
      <c r="B150" s="7"/>
      <c r="C150" s="76"/>
      <c r="D150" s="76"/>
      <c r="E150" s="7"/>
      <c r="F150" s="7"/>
      <c r="G150" s="7"/>
      <c r="H150" s="7"/>
      <c r="I150" s="76"/>
      <c r="J150" s="76"/>
      <c r="K150" s="7"/>
      <c r="L150" s="7"/>
    </row>
    <row r="151" spans="2:12" x14ac:dyDescent="0.25">
      <c r="B151" s="7"/>
      <c r="C151" s="76"/>
      <c r="D151" s="76"/>
      <c r="E151" s="7"/>
      <c r="F151" s="7"/>
      <c r="G151" s="7"/>
      <c r="H151" s="7"/>
      <c r="I151" s="76"/>
      <c r="J151" s="76"/>
      <c r="K151" s="7"/>
      <c r="L151" s="7"/>
    </row>
    <row r="152" spans="2:12" x14ac:dyDescent="0.25">
      <c r="B152" s="7"/>
      <c r="C152" s="76"/>
      <c r="D152" s="76"/>
      <c r="E152" s="7"/>
      <c r="F152" s="7"/>
      <c r="G152" s="7"/>
      <c r="H152" s="7"/>
      <c r="I152" s="76"/>
      <c r="J152" s="76"/>
      <c r="K152" s="7"/>
      <c r="L152" s="7"/>
    </row>
    <row r="153" spans="2:12" x14ac:dyDescent="0.25">
      <c r="B153" s="7"/>
      <c r="C153" s="76"/>
      <c r="D153" s="76"/>
      <c r="E153" s="7"/>
      <c r="F153" s="7"/>
      <c r="G153" s="7"/>
      <c r="H153" s="7"/>
      <c r="I153" s="76"/>
      <c r="J153" s="76"/>
      <c r="K153" s="7"/>
      <c r="L153" s="7"/>
    </row>
    <row r="154" spans="2:12" x14ac:dyDescent="0.25">
      <c r="B154" s="7"/>
      <c r="C154" s="76"/>
      <c r="D154" s="76"/>
      <c r="E154" s="7"/>
      <c r="F154" s="7"/>
      <c r="G154" s="7"/>
      <c r="H154" s="7"/>
      <c r="I154" s="76"/>
      <c r="J154" s="76"/>
      <c r="K154" s="7"/>
      <c r="L154" s="7"/>
    </row>
    <row r="155" spans="2:12" x14ac:dyDescent="0.25">
      <c r="B155" s="7"/>
      <c r="C155" s="76"/>
      <c r="D155" s="76"/>
      <c r="E155" s="7"/>
      <c r="F155" s="7"/>
      <c r="G155" s="7"/>
      <c r="H155" s="7"/>
      <c r="I155" s="76"/>
      <c r="J155" s="76"/>
      <c r="K155" s="7"/>
      <c r="L155" s="7"/>
    </row>
    <row r="156" spans="2:12" x14ac:dyDescent="0.25">
      <c r="B156" s="7"/>
      <c r="C156" s="76"/>
      <c r="D156" s="76"/>
      <c r="E156" s="7"/>
      <c r="F156" s="7"/>
      <c r="G156" s="7"/>
      <c r="H156" s="7"/>
      <c r="I156" s="76"/>
      <c r="J156" s="76"/>
      <c r="K156" s="7"/>
      <c r="L156" s="7"/>
    </row>
    <row r="157" spans="2:12" x14ac:dyDescent="0.25">
      <c r="B157" s="7"/>
      <c r="C157" s="76"/>
      <c r="D157" s="76"/>
      <c r="E157" s="7"/>
      <c r="F157" s="7"/>
      <c r="G157" s="7"/>
      <c r="H157" s="7"/>
      <c r="I157" s="76"/>
      <c r="J157" s="76"/>
      <c r="K157" s="7"/>
      <c r="L157" s="7"/>
    </row>
    <row r="158" spans="2:12" x14ac:dyDescent="0.25">
      <c r="B158" s="7"/>
      <c r="C158" s="76"/>
      <c r="D158" s="76"/>
      <c r="E158" s="7"/>
      <c r="F158" s="7"/>
      <c r="G158" s="7"/>
      <c r="H158" s="7"/>
      <c r="I158" s="76"/>
      <c r="J158" s="76"/>
      <c r="K158" s="7"/>
      <c r="L158" s="7"/>
    </row>
    <row r="159" spans="2:12" x14ac:dyDescent="0.25">
      <c r="B159" s="7"/>
      <c r="C159" s="76"/>
      <c r="D159" s="76"/>
      <c r="E159" s="7"/>
      <c r="F159" s="7"/>
      <c r="G159" s="7"/>
      <c r="H159" s="7"/>
      <c r="I159" s="76"/>
      <c r="J159" s="76"/>
      <c r="K159" s="7"/>
      <c r="L159" s="7"/>
    </row>
    <row r="160" spans="2:12" x14ac:dyDescent="0.25">
      <c r="B160" s="7"/>
      <c r="C160" s="76"/>
      <c r="D160" s="76"/>
      <c r="E160" s="7"/>
      <c r="F160" s="7"/>
      <c r="G160" s="7"/>
      <c r="H160" s="7"/>
      <c r="I160" s="76"/>
      <c r="J160" s="76"/>
      <c r="K160" s="7"/>
      <c r="L160" s="7"/>
    </row>
    <row r="161" spans="2:12" x14ac:dyDescent="0.25">
      <c r="B161" s="7"/>
      <c r="C161" s="76"/>
      <c r="D161" s="76"/>
      <c r="E161" s="7"/>
      <c r="F161" s="7"/>
      <c r="G161" s="7"/>
      <c r="H161" s="7"/>
      <c r="I161" s="76"/>
      <c r="J161" s="76"/>
      <c r="K161" s="7"/>
      <c r="L161" s="7"/>
    </row>
    <row r="162" spans="2:12" x14ac:dyDescent="0.25">
      <c r="B162" s="7"/>
      <c r="C162" s="76"/>
      <c r="D162" s="76"/>
      <c r="E162" s="7"/>
      <c r="F162" s="7"/>
      <c r="G162" s="7"/>
      <c r="H162" s="7"/>
      <c r="I162" s="76"/>
      <c r="J162" s="76"/>
      <c r="K162" s="7"/>
      <c r="L162" s="7"/>
    </row>
    <row r="163" spans="2:12" x14ac:dyDescent="0.25">
      <c r="B163" s="7"/>
      <c r="C163" s="76"/>
      <c r="D163" s="76"/>
      <c r="E163" s="7"/>
      <c r="F163" s="7"/>
      <c r="G163" s="7"/>
      <c r="H163" s="7"/>
      <c r="I163" s="76"/>
      <c r="J163" s="76"/>
      <c r="K163" s="7"/>
      <c r="L163" s="7"/>
    </row>
    <row r="164" spans="2:12" x14ac:dyDescent="0.25">
      <c r="B164" s="7"/>
      <c r="C164" s="76"/>
      <c r="D164" s="76"/>
      <c r="E164" s="7"/>
      <c r="F164" s="7"/>
      <c r="G164" s="7"/>
      <c r="H164" s="7"/>
      <c r="I164" s="76"/>
      <c r="J164" s="76"/>
      <c r="K164" s="7"/>
      <c r="L164" s="7"/>
    </row>
    <row r="165" spans="2:12" x14ac:dyDescent="0.25">
      <c r="B165" s="7"/>
      <c r="C165" s="76"/>
      <c r="D165" s="76"/>
      <c r="E165" s="7"/>
      <c r="F165" s="7"/>
      <c r="G165" s="7"/>
      <c r="H165" s="7"/>
      <c r="I165" s="76"/>
      <c r="J165" s="76"/>
      <c r="K165" s="7"/>
      <c r="L165" s="7"/>
    </row>
    <row r="166" spans="2:12" x14ac:dyDescent="0.25">
      <c r="B166" s="7"/>
      <c r="C166" s="76"/>
      <c r="D166" s="76"/>
      <c r="E166" s="7"/>
      <c r="F166" s="7"/>
      <c r="G166" s="7"/>
      <c r="H166" s="7"/>
      <c r="I166" s="76"/>
      <c r="J166" s="76"/>
      <c r="K166" s="7"/>
      <c r="L166" s="7"/>
    </row>
    <row r="167" spans="2:12" x14ac:dyDescent="0.25">
      <c r="B167" s="7"/>
      <c r="C167" s="76"/>
      <c r="D167" s="76"/>
      <c r="E167" s="7"/>
      <c r="F167" s="7"/>
      <c r="G167" s="7"/>
      <c r="H167" s="7"/>
      <c r="I167" s="76"/>
      <c r="J167" s="76"/>
      <c r="K167" s="7"/>
      <c r="L167" s="7"/>
    </row>
    <row r="168" spans="2:12" x14ac:dyDescent="0.25">
      <c r="B168" s="7"/>
      <c r="C168" s="76"/>
      <c r="D168" s="76"/>
      <c r="E168" s="7"/>
      <c r="F168" s="7"/>
      <c r="G168" s="7"/>
      <c r="H168" s="7"/>
      <c r="I168" s="76"/>
      <c r="J168" s="76"/>
      <c r="K168" s="7"/>
      <c r="L168" s="7"/>
    </row>
    <row r="169" spans="2:12" x14ac:dyDescent="0.25">
      <c r="B169" s="7"/>
      <c r="C169" s="76"/>
      <c r="D169" s="76"/>
      <c r="E169" s="7"/>
      <c r="F169" s="7"/>
      <c r="G169" s="7"/>
      <c r="H169" s="7"/>
      <c r="I169" s="76"/>
      <c r="J169" s="76"/>
      <c r="K169" s="7"/>
      <c r="L169" s="7"/>
    </row>
    <row r="170" spans="2:12" x14ac:dyDescent="0.25">
      <c r="B170" s="7"/>
      <c r="C170" s="76"/>
      <c r="D170" s="76"/>
      <c r="E170" s="7"/>
      <c r="F170" s="7"/>
      <c r="G170" s="7"/>
      <c r="H170" s="7"/>
      <c r="I170" s="76"/>
      <c r="J170" s="76"/>
      <c r="K170" s="7"/>
      <c r="L170" s="7"/>
    </row>
    <row r="171" spans="2:12" x14ac:dyDescent="0.25">
      <c r="B171" s="7"/>
      <c r="C171" s="76"/>
      <c r="D171" s="76"/>
      <c r="E171" s="7"/>
      <c r="F171" s="7"/>
      <c r="G171" s="7"/>
      <c r="H171" s="7"/>
      <c r="I171" s="76"/>
      <c r="J171" s="76"/>
      <c r="K171" s="7"/>
      <c r="L171" s="7"/>
    </row>
    <row r="172" spans="2:12" x14ac:dyDescent="0.25">
      <c r="B172" s="7"/>
      <c r="C172" s="76"/>
      <c r="D172" s="76"/>
      <c r="E172" s="7"/>
      <c r="F172" s="7"/>
      <c r="G172" s="7"/>
      <c r="H172" s="7"/>
      <c r="I172" s="76"/>
      <c r="J172" s="76"/>
      <c r="K172" s="7"/>
      <c r="L172" s="7"/>
    </row>
    <row r="173" spans="2:12" x14ac:dyDescent="0.25">
      <c r="B173" s="7"/>
      <c r="C173" s="76"/>
      <c r="D173" s="76"/>
      <c r="E173" s="7"/>
      <c r="F173" s="7"/>
      <c r="G173" s="7"/>
      <c r="H173" s="7"/>
      <c r="I173" s="76"/>
      <c r="J173" s="76"/>
      <c r="K173" s="7"/>
      <c r="L173" s="7"/>
    </row>
    <row r="174" spans="2:12" x14ac:dyDescent="0.25">
      <c r="B174" s="7"/>
      <c r="C174" s="76"/>
      <c r="D174" s="76"/>
      <c r="E174" s="7"/>
      <c r="F174" s="7"/>
      <c r="G174" s="7"/>
      <c r="H174" s="7"/>
      <c r="I174" s="76"/>
      <c r="J174" s="76"/>
      <c r="K174" s="7"/>
      <c r="L174" s="7"/>
    </row>
    <row r="175" spans="2:12" x14ac:dyDescent="0.25">
      <c r="B175" s="7"/>
      <c r="C175" s="76"/>
      <c r="D175" s="76"/>
      <c r="E175" s="7"/>
      <c r="F175" s="7"/>
      <c r="G175" s="7"/>
      <c r="H175" s="7"/>
      <c r="I175" s="76"/>
      <c r="J175" s="76"/>
      <c r="K175" s="7"/>
      <c r="L175" s="7"/>
    </row>
    <row r="176" spans="2:12" x14ac:dyDescent="0.25">
      <c r="B176" s="7"/>
      <c r="C176" s="76"/>
      <c r="D176" s="76"/>
      <c r="E176" s="7"/>
      <c r="F176" s="7"/>
      <c r="G176" s="7"/>
      <c r="H176" s="7"/>
      <c r="I176" s="76"/>
      <c r="J176" s="76"/>
      <c r="K176" s="7"/>
      <c r="L176" s="7"/>
    </row>
    <row r="177" spans="2:12" x14ac:dyDescent="0.25">
      <c r="B177" s="7"/>
      <c r="C177" s="76"/>
      <c r="D177" s="76"/>
      <c r="E177" s="7"/>
      <c r="F177" s="7"/>
      <c r="G177" s="7"/>
      <c r="H177" s="7"/>
      <c r="I177" s="76"/>
      <c r="J177" s="76"/>
      <c r="K177" s="7"/>
      <c r="L177" s="7"/>
    </row>
    <row r="178" spans="2:12" x14ac:dyDescent="0.25">
      <c r="B178" s="7"/>
      <c r="C178" s="76"/>
      <c r="D178" s="76"/>
      <c r="E178" s="7"/>
      <c r="F178" s="7"/>
      <c r="G178" s="7"/>
      <c r="H178" s="7"/>
      <c r="I178" s="76"/>
      <c r="J178" s="76"/>
      <c r="K178" s="7"/>
      <c r="L178" s="7"/>
    </row>
    <row r="179" spans="2:12" x14ac:dyDescent="0.25">
      <c r="B179" s="7"/>
      <c r="C179" s="76"/>
      <c r="D179" s="76"/>
      <c r="E179" s="7"/>
      <c r="F179" s="7"/>
      <c r="G179" s="7"/>
      <c r="H179" s="7"/>
      <c r="I179" s="76"/>
      <c r="J179" s="76"/>
      <c r="K179" s="7"/>
      <c r="L179" s="7"/>
    </row>
    <row r="180" spans="2:12" x14ac:dyDescent="0.25">
      <c r="B180" s="7"/>
      <c r="C180" s="76"/>
      <c r="D180" s="76"/>
      <c r="E180" s="7"/>
      <c r="F180" s="7"/>
      <c r="G180" s="7"/>
      <c r="H180" s="7"/>
      <c r="I180" s="76"/>
      <c r="J180" s="76"/>
      <c r="K180" s="7"/>
      <c r="L180" s="7"/>
    </row>
    <row r="181" spans="2:12" x14ac:dyDescent="0.25">
      <c r="B181" s="7"/>
      <c r="C181" s="76"/>
      <c r="D181" s="76"/>
      <c r="E181" s="7"/>
      <c r="F181" s="7"/>
      <c r="G181" s="7"/>
      <c r="H181" s="7"/>
      <c r="I181" s="76"/>
      <c r="J181" s="76"/>
      <c r="K181" s="7"/>
      <c r="L181" s="7"/>
    </row>
    <row r="182" spans="2:12" x14ac:dyDescent="0.25">
      <c r="B182" s="7"/>
      <c r="C182" s="76"/>
      <c r="D182" s="76"/>
      <c r="E182" s="7"/>
      <c r="F182" s="7"/>
      <c r="G182" s="7"/>
      <c r="H182" s="7"/>
      <c r="I182" s="76"/>
      <c r="J182" s="76"/>
      <c r="K182" s="7"/>
      <c r="L182" s="7"/>
    </row>
    <row r="183" spans="2:12" x14ac:dyDescent="0.25">
      <c r="B183" s="7"/>
      <c r="C183" s="76"/>
      <c r="D183" s="76"/>
      <c r="E183" s="7"/>
      <c r="F183" s="7"/>
      <c r="G183" s="7"/>
      <c r="H183" s="7"/>
      <c r="I183" s="76"/>
      <c r="J183" s="76"/>
      <c r="K183" s="7"/>
      <c r="L183" s="7"/>
    </row>
    <row r="184" spans="2:12" x14ac:dyDescent="0.25">
      <c r="B184" s="7"/>
      <c r="C184" s="76"/>
      <c r="D184" s="76"/>
      <c r="E184" s="7"/>
      <c r="F184" s="7"/>
      <c r="G184" s="7"/>
      <c r="H184" s="7"/>
      <c r="I184" s="76"/>
      <c r="J184" s="76"/>
      <c r="K184" s="7"/>
      <c r="L184" s="7"/>
    </row>
    <row r="185" spans="2:12" x14ac:dyDescent="0.25">
      <c r="B185" s="7"/>
      <c r="C185" s="76"/>
      <c r="D185" s="76"/>
      <c r="E185" s="7"/>
      <c r="F185" s="7"/>
      <c r="G185" s="7"/>
      <c r="H185" s="7"/>
      <c r="I185" s="76"/>
      <c r="J185" s="76"/>
      <c r="K185" s="7"/>
      <c r="L185" s="7"/>
    </row>
    <row r="186" spans="2:12" x14ac:dyDescent="0.25">
      <c r="B186" s="7"/>
      <c r="C186" s="76"/>
      <c r="D186" s="76"/>
      <c r="E186" s="7"/>
      <c r="F186" s="7"/>
      <c r="G186" s="7"/>
      <c r="H186" s="7"/>
      <c r="I186" s="76"/>
      <c r="J186" s="76"/>
      <c r="K186" s="7"/>
      <c r="L186" s="7"/>
    </row>
    <row r="187" spans="2:12" x14ac:dyDescent="0.25">
      <c r="B187" s="7"/>
      <c r="C187" s="76"/>
      <c r="D187" s="76"/>
      <c r="E187" s="7"/>
      <c r="F187" s="7"/>
      <c r="G187" s="7"/>
      <c r="H187" s="7"/>
      <c r="I187" s="76"/>
      <c r="J187" s="76"/>
      <c r="K187" s="7"/>
      <c r="L187" s="7"/>
    </row>
    <row r="188" spans="2:12" x14ac:dyDescent="0.25">
      <c r="B188" s="7"/>
      <c r="C188" s="76"/>
      <c r="D188" s="76"/>
      <c r="E188" s="7"/>
      <c r="F188" s="7"/>
      <c r="G188" s="7"/>
      <c r="H188" s="7"/>
      <c r="I188" s="76"/>
      <c r="J188" s="76"/>
      <c r="K188" s="7"/>
      <c r="L188" s="7"/>
    </row>
    <row r="189" spans="2:12" x14ac:dyDescent="0.25">
      <c r="B189" s="7"/>
      <c r="C189" s="76"/>
      <c r="D189" s="76"/>
      <c r="E189" s="7"/>
      <c r="F189" s="7"/>
      <c r="G189" s="7"/>
      <c r="H189" s="7"/>
      <c r="I189" s="76"/>
      <c r="J189" s="76"/>
      <c r="K189" s="7"/>
      <c r="L189" s="7"/>
    </row>
    <row r="190" spans="2:12" x14ac:dyDescent="0.25">
      <c r="B190" s="7"/>
      <c r="C190" s="76"/>
      <c r="D190" s="76"/>
      <c r="E190" s="7"/>
      <c r="F190" s="7"/>
      <c r="G190" s="7"/>
      <c r="H190" s="7"/>
      <c r="I190" s="76"/>
      <c r="J190" s="76"/>
      <c r="K190" s="7"/>
      <c r="L190" s="7"/>
    </row>
    <row r="191" spans="2:12" x14ac:dyDescent="0.25">
      <c r="B191" s="7"/>
      <c r="C191" s="76"/>
      <c r="D191" s="76"/>
      <c r="E191" s="7"/>
      <c r="F191" s="7"/>
      <c r="G191" s="7"/>
      <c r="H191" s="7"/>
      <c r="I191" s="76"/>
      <c r="J191" s="76"/>
      <c r="K191" s="7"/>
      <c r="L191" s="7"/>
    </row>
    <row r="192" spans="2:12" x14ac:dyDescent="0.25">
      <c r="B192" s="7"/>
      <c r="C192" s="76"/>
      <c r="D192" s="76"/>
      <c r="E192" s="7"/>
      <c r="F192" s="7"/>
      <c r="G192" s="7"/>
      <c r="H192" s="7"/>
      <c r="I192" s="76"/>
      <c r="J192" s="76"/>
      <c r="K192" s="7"/>
      <c r="L192" s="7"/>
    </row>
    <row r="193" spans="2:12" x14ac:dyDescent="0.25">
      <c r="B193" s="7"/>
      <c r="C193" s="76"/>
      <c r="D193" s="76"/>
      <c r="E193" s="7"/>
      <c r="F193" s="7"/>
      <c r="G193" s="7"/>
      <c r="H193" s="7"/>
      <c r="I193" s="76"/>
      <c r="J193" s="76"/>
      <c r="K193" s="7"/>
      <c r="L193" s="7"/>
    </row>
    <row r="194" spans="2:12" x14ac:dyDescent="0.25">
      <c r="B194" s="7"/>
      <c r="C194" s="76"/>
      <c r="D194" s="76"/>
      <c r="E194" s="7"/>
      <c r="F194" s="7"/>
      <c r="G194" s="7"/>
      <c r="H194" s="7"/>
      <c r="I194" s="76"/>
      <c r="J194" s="76"/>
      <c r="K194" s="7"/>
      <c r="L194" s="7"/>
    </row>
    <row r="195" spans="2:12" x14ac:dyDescent="0.25">
      <c r="B195" s="7"/>
      <c r="C195" s="76"/>
      <c r="D195" s="76"/>
      <c r="E195" s="7"/>
      <c r="F195" s="7"/>
      <c r="G195" s="7"/>
      <c r="H195" s="7"/>
      <c r="I195" s="76"/>
      <c r="J195" s="76"/>
      <c r="K195" s="7"/>
      <c r="L195" s="7"/>
    </row>
    <row r="196" spans="2:12" x14ac:dyDescent="0.25">
      <c r="B196" s="7"/>
      <c r="C196" s="76"/>
      <c r="D196" s="76"/>
      <c r="E196" s="7"/>
      <c r="F196" s="7"/>
      <c r="G196" s="7"/>
      <c r="H196" s="7"/>
      <c r="I196" s="76"/>
      <c r="J196" s="76"/>
      <c r="K196" s="7"/>
      <c r="L196" s="7"/>
    </row>
    <row r="197" spans="2:12" x14ac:dyDescent="0.25">
      <c r="B197" s="7"/>
      <c r="C197" s="76"/>
      <c r="D197" s="76"/>
      <c r="E197" s="7"/>
      <c r="F197" s="7"/>
      <c r="G197" s="7"/>
      <c r="H197" s="7"/>
      <c r="I197" s="76"/>
      <c r="J197" s="76"/>
      <c r="K197" s="7"/>
      <c r="L197" s="7"/>
    </row>
    <row r="198" spans="2:12" x14ac:dyDescent="0.25">
      <c r="B198" s="7"/>
      <c r="C198" s="76"/>
      <c r="D198" s="76"/>
      <c r="E198" s="7"/>
      <c r="F198" s="7"/>
      <c r="G198" s="7"/>
      <c r="H198" s="7"/>
      <c r="I198" s="76"/>
      <c r="J198" s="76"/>
      <c r="K198" s="7"/>
      <c r="L198" s="7"/>
    </row>
    <row r="199" spans="2:12" x14ac:dyDescent="0.25">
      <c r="B199" s="7"/>
      <c r="C199" s="76"/>
      <c r="D199" s="76"/>
      <c r="E199" s="7"/>
      <c r="F199" s="7"/>
      <c r="G199" s="7"/>
      <c r="H199" s="7"/>
      <c r="I199" s="76"/>
      <c r="J199" s="76"/>
      <c r="K199" s="7"/>
      <c r="L199" s="7"/>
    </row>
    <row r="200" spans="2:12" x14ac:dyDescent="0.25">
      <c r="B200" s="7"/>
      <c r="C200" s="76"/>
      <c r="D200" s="76"/>
      <c r="E200" s="7"/>
      <c r="F200" s="7"/>
      <c r="G200" s="7"/>
      <c r="H200" s="7"/>
      <c r="I200" s="76"/>
      <c r="J200" s="76"/>
      <c r="K200" s="7"/>
      <c r="L200" s="7"/>
    </row>
    <row r="201" spans="2:12" x14ac:dyDescent="0.25">
      <c r="B201" s="7"/>
      <c r="C201" s="76"/>
      <c r="D201" s="76"/>
      <c r="E201" s="7"/>
      <c r="F201" s="7"/>
      <c r="G201" s="7"/>
      <c r="H201" s="7"/>
      <c r="I201" s="76"/>
      <c r="J201" s="76"/>
      <c r="K201" s="7"/>
      <c r="L201" s="7"/>
    </row>
    <row r="202" spans="2:12" x14ac:dyDescent="0.25">
      <c r="B202" s="7"/>
      <c r="C202" s="76"/>
      <c r="D202" s="76"/>
      <c r="E202" s="7"/>
      <c r="F202" s="7"/>
      <c r="G202" s="7"/>
      <c r="H202" s="7"/>
      <c r="I202" s="76"/>
      <c r="J202" s="76"/>
      <c r="K202" s="7"/>
      <c r="L202" s="7"/>
    </row>
    <row r="203" spans="2:12" x14ac:dyDescent="0.25">
      <c r="B203" s="7"/>
      <c r="C203" s="76"/>
      <c r="D203" s="76"/>
      <c r="E203" s="7"/>
      <c r="F203" s="7"/>
      <c r="G203" s="7"/>
      <c r="H203" s="7"/>
      <c r="I203" s="76"/>
      <c r="J203" s="76"/>
      <c r="K203" s="7"/>
      <c r="L203" s="7"/>
    </row>
    <row r="204" spans="2:12" x14ac:dyDescent="0.25">
      <c r="B204" s="7"/>
      <c r="C204" s="76"/>
      <c r="D204" s="76"/>
      <c r="E204" s="7"/>
      <c r="F204" s="7"/>
      <c r="G204" s="7"/>
      <c r="H204" s="7"/>
      <c r="I204" s="76"/>
      <c r="J204" s="76"/>
      <c r="K204" s="7"/>
      <c r="L204" s="7"/>
    </row>
    <row r="205" spans="2:12" x14ac:dyDescent="0.25">
      <c r="B205" s="7"/>
      <c r="C205" s="76"/>
      <c r="D205" s="76"/>
      <c r="E205" s="7"/>
      <c r="F205" s="7"/>
      <c r="G205" s="7"/>
      <c r="H205" s="7"/>
      <c r="I205" s="76"/>
      <c r="J205" s="76"/>
      <c r="K205" s="7"/>
      <c r="L205" s="7"/>
    </row>
    <row r="206" spans="2:12" x14ac:dyDescent="0.25">
      <c r="B206" s="7"/>
      <c r="C206" s="76"/>
      <c r="D206" s="76"/>
      <c r="E206" s="7"/>
      <c r="F206" s="7"/>
      <c r="G206" s="7"/>
      <c r="H206" s="7"/>
      <c r="I206" s="76"/>
      <c r="J206" s="76"/>
      <c r="K206" s="7"/>
      <c r="L206" s="7"/>
    </row>
    <row r="207" spans="2:12" x14ac:dyDescent="0.25">
      <c r="B207" s="7"/>
      <c r="C207" s="76"/>
      <c r="D207" s="76"/>
      <c r="E207" s="7"/>
      <c r="F207" s="7"/>
      <c r="G207" s="7"/>
      <c r="H207" s="7"/>
      <c r="I207" s="76"/>
      <c r="J207" s="76"/>
      <c r="K207" s="7"/>
      <c r="L207" s="7"/>
    </row>
    <row r="208" spans="2:12" x14ac:dyDescent="0.25">
      <c r="B208" s="7"/>
      <c r="C208" s="76"/>
      <c r="D208" s="76"/>
      <c r="E208" s="7"/>
      <c r="F208" s="7"/>
      <c r="G208" s="7"/>
      <c r="H208" s="7"/>
      <c r="I208" s="76"/>
      <c r="J208" s="76"/>
      <c r="K208" s="7"/>
      <c r="L208" s="7"/>
    </row>
    <row r="209" spans="2:12" x14ac:dyDescent="0.25">
      <c r="B209" s="7"/>
      <c r="C209" s="76"/>
      <c r="D209" s="76"/>
      <c r="E209" s="7"/>
      <c r="F209" s="7"/>
      <c r="G209" s="7"/>
      <c r="H209" s="7"/>
      <c r="I209" s="76"/>
      <c r="J209" s="76"/>
      <c r="K209" s="7"/>
      <c r="L209" s="7"/>
    </row>
    <row r="210" spans="2:12" x14ac:dyDescent="0.25">
      <c r="B210" s="7"/>
      <c r="C210" s="76"/>
      <c r="D210" s="76"/>
      <c r="E210" s="7"/>
      <c r="F210" s="7"/>
      <c r="G210" s="7"/>
      <c r="H210" s="7"/>
      <c r="I210" s="76"/>
      <c r="J210" s="76"/>
      <c r="K210" s="7"/>
      <c r="L210" s="7"/>
    </row>
    <row r="211" spans="2:12" x14ac:dyDescent="0.25">
      <c r="B211" s="7"/>
      <c r="C211" s="76"/>
      <c r="D211" s="76"/>
      <c r="E211" s="7"/>
      <c r="F211" s="7"/>
      <c r="G211" s="7"/>
      <c r="H211" s="7"/>
      <c r="I211" s="76"/>
      <c r="J211" s="76"/>
      <c r="K211" s="7"/>
      <c r="L211" s="7"/>
    </row>
    <row r="212" spans="2:12" x14ac:dyDescent="0.25">
      <c r="B212" s="7"/>
      <c r="C212" s="76"/>
      <c r="D212" s="76"/>
      <c r="E212" s="7"/>
      <c r="F212" s="7"/>
      <c r="G212" s="7"/>
      <c r="H212" s="7"/>
      <c r="I212" s="76"/>
      <c r="J212" s="76"/>
      <c r="K212" s="7"/>
      <c r="L212" s="7"/>
    </row>
    <row r="213" spans="2:12" x14ac:dyDescent="0.25">
      <c r="B213" s="7"/>
      <c r="C213" s="76"/>
      <c r="D213" s="76"/>
      <c r="E213" s="7"/>
      <c r="F213" s="7"/>
      <c r="G213" s="7"/>
      <c r="H213" s="7"/>
      <c r="I213" s="76"/>
      <c r="J213" s="76"/>
      <c r="K213" s="7"/>
      <c r="L213" s="7"/>
    </row>
    <row r="214" spans="2:12" x14ac:dyDescent="0.25">
      <c r="B214" s="7"/>
      <c r="C214" s="76"/>
      <c r="D214" s="76"/>
      <c r="E214" s="7"/>
      <c r="F214" s="7"/>
      <c r="G214" s="7"/>
      <c r="H214" s="7"/>
      <c r="I214" s="76"/>
      <c r="J214" s="76"/>
      <c r="K214" s="7"/>
      <c r="L214" s="7"/>
    </row>
    <row r="215" spans="2:12" x14ac:dyDescent="0.25">
      <c r="B215" s="7"/>
      <c r="C215" s="76"/>
      <c r="D215" s="76"/>
      <c r="E215" s="7"/>
      <c r="F215" s="7"/>
      <c r="G215" s="7"/>
      <c r="H215" s="7"/>
      <c r="I215" s="76"/>
      <c r="J215" s="76"/>
      <c r="K215" s="7"/>
      <c r="L215" s="7"/>
    </row>
    <row r="216" spans="2:12" x14ac:dyDescent="0.25">
      <c r="B216" s="7"/>
      <c r="C216" s="76"/>
      <c r="D216" s="76"/>
      <c r="E216" s="7"/>
      <c r="F216" s="7"/>
      <c r="G216" s="7"/>
      <c r="H216" s="7"/>
      <c r="I216" s="76"/>
      <c r="J216" s="76"/>
      <c r="K216" s="7"/>
      <c r="L216" s="7"/>
    </row>
    <row r="217" spans="2:12" x14ac:dyDescent="0.25">
      <c r="B217" s="7"/>
      <c r="C217" s="76"/>
      <c r="D217" s="76"/>
      <c r="E217" s="7"/>
      <c r="F217" s="7"/>
      <c r="G217" s="7"/>
      <c r="H217" s="7"/>
      <c r="I217" s="76"/>
      <c r="J217" s="76"/>
      <c r="K217" s="7"/>
      <c r="L217" s="7"/>
    </row>
    <row r="218" spans="2:12" x14ac:dyDescent="0.25">
      <c r="B218" s="7"/>
      <c r="C218" s="76"/>
      <c r="D218" s="76"/>
      <c r="E218" s="7"/>
      <c r="F218" s="7"/>
      <c r="G218" s="7"/>
      <c r="H218" s="7"/>
      <c r="I218" s="76"/>
      <c r="J218" s="76"/>
      <c r="K218" s="7"/>
      <c r="L218" s="7"/>
    </row>
    <row r="219" spans="2:12" x14ac:dyDescent="0.25">
      <c r="B219" s="7"/>
      <c r="C219" s="76"/>
      <c r="D219" s="76"/>
      <c r="E219" s="7"/>
      <c r="F219" s="7"/>
      <c r="G219" s="7"/>
      <c r="H219" s="7"/>
      <c r="I219" s="76"/>
      <c r="J219" s="76"/>
      <c r="K219" s="7"/>
      <c r="L219" s="7"/>
    </row>
    <row r="220" spans="2:12" x14ac:dyDescent="0.25">
      <c r="B220" s="7"/>
      <c r="C220" s="76"/>
      <c r="D220" s="76"/>
      <c r="E220" s="7"/>
      <c r="F220" s="7"/>
      <c r="G220" s="7"/>
      <c r="H220" s="7"/>
      <c r="I220" s="76"/>
      <c r="J220" s="76"/>
      <c r="K220" s="7"/>
      <c r="L220" s="7"/>
    </row>
    <row r="221" spans="2:12" x14ac:dyDescent="0.25">
      <c r="B221" s="7"/>
      <c r="C221" s="76"/>
      <c r="D221" s="76"/>
      <c r="E221" s="7"/>
      <c r="F221" s="7"/>
      <c r="G221" s="7"/>
      <c r="H221" s="7"/>
      <c r="I221" s="76"/>
      <c r="J221" s="76"/>
      <c r="K221" s="7"/>
      <c r="L221" s="7"/>
    </row>
    <row r="222" spans="2:12" x14ac:dyDescent="0.25">
      <c r="B222" s="7"/>
      <c r="C222" s="76"/>
      <c r="D222" s="76"/>
      <c r="E222" s="7"/>
      <c r="F222" s="7"/>
      <c r="G222" s="7"/>
      <c r="H222" s="7"/>
      <c r="I222" s="76"/>
      <c r="J222" s="76"/>
      <c r="K222" s="7"/>
      <c r="L222" s="7"/>
    </row>
    <row r="223" spans="2:12" x14ac:dyDescent="0.25">
      <c r="B223" s="7"/>
      <c r="C223" s="76"/>
      <c r="D223" s="76"/>
      <c r="E223" s="7"/>
      <c r="F223" s="7"/>
      <c r="G223" s="7"/>
      <c r="H223" s="7"/>
      <c r="I223" s="76"/>
      <c r="J223" s="76"/>
      <c r="K223" s="7"/>
      <c r="L223" s="7"/>
    </row>
    <row r="224" spans="2:12" x14ac:dyDescent="0.25">
      <c r="B224" s="7"/>
      <c r="C224" s="76"/>
      <c r="D224" s="76"/>
      <c r="E224" s="7"/>
      <c r="F224" s="7"/>
      <c r="G224" s="7"/>
      <c r="H224" s="7"/>
      <c r="I224" s="76"/>
      <c r="J224" s="76"/>
      <c r="K224" s="7"/>
      <c r="L224" s="7"/>
    </row>
    <row r="225" spans="2:12" x14ac:dyDescent="0.25">
      <c r="B225" s="7"/>
      <c r="C225" s="76"/>
      <c r="D225" s="76"/>
      <c r="E225" s="7"/>
      <c r="F225" s="7"/>
      <c r="G225" s="7"/>
      <c r="H225" s="7"/>
      <c r="I225" s="76"/>
      <c r="J225" s="76"/>
      <c r="K225" s="7"/>
      <c r="L225" s="7"/>
    </row>
    <row r="226" spans="2:12" x14ac:dyDescent="0.25">
      <c r="B226" s="7"/>
      <c r="C226" s="76"/>
      <c r="D226" s="76"/>
      <c r="E226" s="7"/>
      <c r="F226" s="7"/>
      <c r="G226" s="7"/>
      <c r="H226" s="7"/>
      <c r="I226" s="76"/>
      <c r="J226" s="76"/>
      <c r="K226" s="7"/>
      <c r="L226" s="7"/>
    </row>
    <row r="227" spans="2:12" x14ac:dyDescent="0.25">
      <c r="B227" s="7"/>
      <c r="C227" s="76"/>
      <c r="D227" s="76"/>
      <c r="E227" s="7"/>
      <c r="F227" s="7"/>
      <c r="G227" s="7"/>
      <c r="H227" s="7"/>
      <c r="I227" s="76"/>
      <c r="J227" s="76"/>
      <c r="K227" s="7"/>
      <c r="L227" s="7"/>
    </row>
    <row r="228" spans="2:12" x14ac:dyDescent="0.25">
      <c r="B228" s="7"/>
      <c r="C228" s="76"/>
      <c r="D228" s="76"/>
      <c r="E228" s="7"/>
      <c r="F228" s="7"/>
      <c r="G228" s="7"/>
      <c r="H228" s="7"/>
      <c r="I228" s="76"/>
      <c r="J228" s="76"/>
      <c r="K228" s="7"/>
      <c r="L228" s="7"/>
    </row>
    <row r="229" spans="2:12" x14ac:dyDescent="0.25">
      <c r="B229" s="7"/>
      <c r="C229" s="76"/>
      <c r="D229" s="76"/>
      <c r="E229" s="7"/>
      <c r="F229" s="7"/>
      <c r="G229" s="7"/>
      <c r="H229" s="7"/>
      <c r="I229" s="76"/>
      <c r="J229" s="76"/>
      <c r="K229" s="7"/>
      <c r="L229" s="7"/>
    </row>
    <row r="230" spans="2:12" x14ac:dyDescent="0.25">
      <c r="B230" s="7"/>
      <c r="C230" s="76"/>
      <c r="D230" s="76"/>
      <c r="E230" s="7"/>
      <c r="F230" s="7"/>
      <c r="G230" s="7"/>
      <c r="H230" s="7"/>
      <c r="I230" s="76"/>
      <c r="J230" s="76"/>
      <c r="K230" s="7"/>
      <c r="L230" s="7"/>
    </row>
    <row r="231" spans="2:12" x14ac:dyDescent="0.25">
      <c r="B231" s="7"/>
      <c r="C231" s="76"/>
      <c r="D231" s="76"/>
      <c r="E231" s="7"/>
      <c r="F231" s="7"/>
      <c r="G231" s="7"/>
      <c r="H231" s="7"/>
      <c r="I231" s="76"/>
      <c r="J231" s="76"/>
      <c r="K231" s="7"/>
      <c r="L231" s="7"/>
    </row>
    <row r="232" spans="2:12" x14ac:dyDescent="0.25">
      <c r="B232" s="7"/>
      <c r="C232" s="76"/>
      <c r="D232" s="76"/>
      <c r="E232" s="7"/>
      <c r="F232" s="7"/>
      <c r="G232" s="7"/>
      <c r="H232" s="7"/>
      <c r="I232" s="76"/>
      <c r="J232" s="76"/>
      <c r="K232" s="7"/>
      <c r="L232" s="7"/>
    </row>
    <row r="233" spans="2:12" x14ac:dyDescent="0.25">
      <c r="B233" s="7"/>
      <c r="C233" s="76"/>
      <c r="D233" s="76"/>
      <c r="E233" s="7"/>
      <c r="F233" s="7"/>
      <c r="G233" s="7"/>
      <c r="H233" s="7"/>
      <c r="I233" s="76"/>
      <c r="J233" s="76"/>
      <c r="K233" s="7"/>
      <c r="L233" s="7"/>
    </row>
    <row r="234" spans="2:12" x14ac:dyDescent="0.25">
      <c r="B234" s="7"/>
      <c r="C234" s="76"/>
      <c r="D234" s="76"/>
      <c r="E234" s="7"/>
      <c r="F234" s="7"/>
      <c r="G234" s="7"/>
      <c r="H234" s="7"/>
      <c r="I234" s="76"/>
      <c r="J234" s="76"/>
      <c r="K234" s="7"/>
      <c r="L234" s="7"/>
    </row>
    <row r="235" spans="2:12" x14ac:dyDescent="0.25">
      <c r="B235" s="7"/>
      <c r="C235" s="76"/>
      <c r="D235" s="76"/>
      <c r="E235" s="7"/>
      <c r="F235" s="7"/>
      <c r="G235" s="7"/>
      <c r="H235" s="7"/>
      <c r="I235" s="76"/>
      <c r="J235" s="76"/>
      <c r="K235" s="7"/>
      <c r="L235" s="7"/>
    </row>
    <row r="236" spans="2:12" x14ac:dyDescent="0.25">
      <c r="B236" s="7"/>
      <c r="C236" s="76"/>
      <c r="D236" s="76"/>
      <c r="E236" s="7"/>
      <c r="F236" s="7"/>
      <c r="G236" s="7"/>
      <c r="H236" s="7"/>
      <c r="I236" s="76"/>
      <c r="J236" s="76"/>
      <c r="K236" s="7"/>
      <c r="L236" s="7"/>
    </row>
    <row r="237" spans="2:12" x14ac:dyDescent="0.25">
      <c r="B237" s="7"/>
      <c r="C237" s="76"/>
      <c r="D237" s="76"/>
      <c r="E237" s="7"/>
      <c r="F237" s="7"/>
      <c r="G237" s="7"/>
      <c r="H237" s="7"/>
      <c r="I237" s="76"/>
      <c r="J237" s="76"/>
      <c r="K237" s="7"/>
      <c r="L237" s="7"/>
    </row>
    <row r="238" spans="2:12" x14ac:dyDescent="0.25">
      <c r="B238" s="7"/>
      <c r="C238" s="76"/>
      <c r="D238" s="76"/>
      <c r="E238" s="7"/>
      <c r="F238" s="7"/>
      <c r="G238" s="7"/>
      <c r="H238" s="7"/>
      <c r="I238" s="76"/>
      <c r="J238" s="76"/>
      <c r="K238" s="7"/>
      <c r="L238" s="7"/>
    </row>
    <row r="239" spans="2:12" x14ac:dyDescent="0.25">
      <c r="B239" s="7"/>
      <c r="C239" s="76"/>
      <c r="D239" s="76"/>
      <c r="E239" s="7"/>
      <c r="F239" s="7"/>
      <c r="G239" s="7"/>
      <c r="H239" s="7"/>
      <c r="I239" s="76"/>
      <c r="J239" s="76"/>
      <c r="K239" s="7"/>
      <c r="L239" s="7"/>
    </row>
    <row r="240" spans="2:12" x14ac:dyDescent="0.25">
      <c r="B240" s="7"/>
      <c r="C240" s="76"/>
      <c r="D240" s="76"/>
      <c r="E240" s="7"/>
      <c r="F240" s="7"/>
      <c r="G240" s="7"/>
      <c r="H240" s="7"/>
      <c r="I240" s="76"/>
      <c r="J240" s="76"/>
      <c r="K240" s="7"/>
      <c r="L240" s="7"/>
    </row>
    <row r="241" spans="2:12" x14ac:dyDescent="0.25">
      <c r="B241" s="7"/>
      <c r="C241" s="76"/>
      <c r="D241" s="76"/>
      <c r="E241" s="7"/>
      <c r="F241" s="7"/>
      <c r="G241" s="7"/>
      <c r="H241" s="7"/>
      <c r="I241" s="76"/>
      <c r="J241" s="76"/>
      <c r="K241" s="7"/>
      <c r="L241" s="7"/>
    </row>
    <row r="242" spans="2:12" x14ac:dyDescent="0.25">
      <c r="B242" s="7"/>
      <c r="C242" s="76"/>
      <c r="D242" s="76"/>
      <c r="E242" s="7"/>
      <c r="F242" s="7"/>
      <c r="G242" s="7"/>
      <c r="H242" s="7"/>
      <c r="I242" s="76"/>
      <c r="J242" s="76"/>
      <c r="K242" s="7"/>
      <c r="L242" s="7"/>
    </row>
    <row r="243" spans="2:12" x14ac:dyDescent="0.25">
      <c r="B243" s="7"/>
      <c r="C243" s="76"/>
      <c r="D243" s="76"/>
      <c r="E243" s="7"/>
      <c r="F243" s="7"/>
      <c r="G243" s="7"/>
      <c r="H243" s="7"/>
      <c r="I243" s="76"/>
      <c r="J243" s="76"/>
      <c r="K243" s="7"/>
      <c r="L243" s="7"/>
    </row>
    <row r="244" spans="2:12" x14ac:dyDescent="0.25">
      <c r="B244" s="7"/>
      <c r="C244" s="76"/>
      <c r="D244" s="76"/>
      <c r="E244" s="7"/>
      <c r="F244" s="7"/>
      <c r="G244" s="7"/>
      <c r="H244" s="7"/>
      <c r="I244" s="76"/>
      <c r="J244" s="76"/>
      <c r="K244" s="7"/>
      <c r="L244" s="7"/>
    </row>
    <row r="245" spans="2:12" x14ac:dyDescent="0.25">
      <c r="B245" s="7"/>
      <c r="C245" s="76"/>
      <c r="D245" s="76"/>
      <c r="E245" s="7"/>
      <c r="F245" s="7"/>
      <c r="G245" s="7"/>
      <c r="H245" s="7"/>
      <c r="I245" s="76"/>
      <c r="J245" s="76"/>
      <c r="K245" s="7"/>
      <c r="L245" s="7"/>
    </row>
    <row r="246" spans="2:12" x14ac:dyDescent="0.25">
      <c r="B246" s="7"/>
      <c r="C246" s="76"/>
      <c r="D246" s="76"/>
      <c r="E246" s="7"/>
      <c r="F246" s="7"/>
      <c r="G246" s="7"/>
      <c r="H246" s="7"/>
      <c r="I246" s="76"/>
      <c r="J246" s="76"/>
      <c r="K246" s="7"/>
      <c r="L246" s="7"/>
    </row>
    <row r="247" spans="2:12" x14ac:dyDescent="0.25">
      <c r="B247" s="7"/>
      <c r="C247" s="76"/>
      <c r="D247" s="76"/>
      <c r="E247" s="7"/>
      <c r="F247" s="7"/>
      <c r="G247" s="7"/>
      <c r="H247" s="7"/>
      <c r="I247" s="76"/>
      <c r="J247" s="76"/>
      <c r="K247" s="7"/>
      <c r="L247" s="7"/>
    </row>
    <row r="248" spans="2:12" x14ac:dyDescent="0.25">
      <c r="B248" s="7"/>
      <c r="C248" s="76"/>
      <c r="D248" s="76"/>
      <c r="E248" s="7"/>
      <c r="F248" s="7"/>
      <c r="G248" s="7"/>
      <c r="H248" s="7"/>
      <c r="I248" s="76"/>
      <c r="J248" s="76"/>
      <c r="K248" s="7"/>
      <c r="L248" s="7"/>
    </row>
    <row r="249" spans="2:12" x14ac:dyDescent="0.25">
      <c r="B249" s="7"/>
      <c r="C249" s="76"/>
      <c r="D249" s="76"/>
      <c r="E249" s="7"/>
      <c r="F249" s="7"/>
      <c r="G249" s="7"/>
      <c r="H249" s="7"/>
      <c r="I249" s="76"/>
      <c r="J249" s="76"/>
      <c r="K249" s="7"/>
      <c r="L249" s="7"/>
    </row>
    <row r="250" spans="2:12" x14ac:dyDescent="0.25">
      <c r="B250" s="7"/>
      <c r="C250" s="76"/>
      <c r="D250" s="76"/>
      <c r="E250" s="7"/>
      <c r="F250" s="7"/>
      <c r="G250" s="7"/>
      <c r="H250" s="7"/>
      <c r="I250" s="76"/>
      <c r="J250" s="76"/>
      <c r="K250" s="7"/>
      <c r="L250" s="7"/>
    </row>
    <row r="251" spans="2:12" x14ac:dyDescent="0.25">
      <c r="B251" s="7"/>
      <c r="C251" s="76"/>
      <c r="D251" s="76"/>
      <c r="E251" s="7"/>
      <c r="F251" s="7"/>
      <c r="G251" s="7"/>
      <c r="H251" s="7"/>
      <c r="I251" s="76"/>
      <c r="J251" s="76"/>
      <c r="K251" s="7"/>
      <c r="L251" s="7"/>
    </row>
    <row r="252" spans="2:12" x14ac:dyDescent="0.25">
      <c r="B252" s="7"/>
      <c r="C252" s="76"/>
      <c r="D252" s="76"/>
      <c r="E252" s="7"/>
      <c r="F252" s="7"/>
      <c r="G252" s="7"/>
      <c r="H252" s="7"/>
      <c r="I252" s="76"/>
      <c r="J252" s="76"/>
      <c r="K252" s="7"/>
      <c r="L252" s="7"/>
    </row>
    <row r="253" spans="2:12" x14ac:dyDescent="0.25">
      <c r="B253" s="7"/>
      <c r="C253" s="76"/>
      <c r="D253" s="76"/>
      <c r="E253" s="7"/>
      <c r="F253" s="7"/>
      <c r="G253" s="7"/>
      <c r="H253" s="7"/>
      <c r="I253" s="76"/>
      <c r="J253" s="76"/>
      <c r="K253" s="7"/>
      <c r="L253" s="7"/>
    </row>
    <row r="254" spans="2:12" x14ac:dyDescent="0.25">
      <c r="B254" s="7"/>
      <c r="C254" s="76"/>
      <c r="D254" s="76"/>
      <c r="E254" s="7"/>
      <c r="F254" s="7"/>
      <c r="G254" s="7"/>
      <c r="H254" s="7"/>
      <c r="I254" s="76"/>
      <c r="J254" s="76"/>
      <c r="K254" s="7"/>
      <c r="L254" s="7"/>
    </row>
    <row r="255" spans="2:12" x14ac:dyDescent="0.25">
      <c r="B255" s="7"/>
      <c r="C255" s="76"/>
      <c r="D255" s="76"/>
      <c r="E255" s="7"/>
      <c r="F255" s="7"/>
      <c r="G255" s="7"/>
      <c r="H255" s="7"/>
      <c r="I255" s="76"/>
      <c r="J255" s="76"/>
      <c r="K255" s="7"/>
      <c r="L255" s="7"/>
    </row>
    <row r="256" spans="2:12" x14ac:dyDescent="0.25">
      <c r="B256" s="7"/>
      <c r="C256" s="76"/>
      <c r="D256" s="76"/>
      <c r="E256" s="7"/>
      <c r="F256" s="7"/>
      <c r="G256" s="7"/>
      <c r="H256" s="7"/>
      <c r="I256" s="76"/>
      <c r="J256" s="76"/>
      <c r="K256" s="7"/>
      <c r="L256" s="7"/>
    </row>
    <row r="257" spans="2:12" x14ac:dyDescent="0.25">
      <c r="B257" s="7"/>
      <c r="C257" s="76"/>
      <c r="D257" s="76"/>
      <c r="E257" s="7"/>
      <c r="F257" s="7"/>
      <c r="G257" s="7"/>
      <c r="H257" s="7"/>
      <c r="I257" s="76"/>
      <c r="J257" s="76"/>
      <c r="K257" s="7"/>
      <c r="L257" s="7"/>
    </row>
    <row r="258" spans="2:12" x14ac:dyDescent="0.25">
      <c r="B258" s="7"/>
      <c r="C258" s="76"/>
      <c r="D258" s="76"/>
      <c r="E258" s="7"/>
      <c r="F258" s="7"/>
      <c r="G258" s="7"/>
      <c r="H258" s="7"/>
      <c r="I258" s="76"/>
      <c r="J258" s="76"/>
      <c r="K258" s="7"/>
      <c r="L258" s="7"/>
    </row>
    <row r="259" spans="2:12" x14ac:dyDescent="0.25">
      <c r="B259" s="7"/>
      <c r="C259" s="76"/>
      <c r="D259" s="76"/>
      <c r="E259" s="7"/>
      <c r="F259" s="7"/>
      <c r="G259" s="7"/>
      <c r="H259" s="7"/>
      <c r="I259" s="76"/>
      <c r="J259" s="76"/>
      <c r="K259" s="7"/>
      <c r="L259" s="7"/>
    </row>
    <row r="260" spans="2:12" x14ac:dyDescent="0.25">
      <c r="B260" s="7"/>
      <c r="C260" s="76"/>
      <c r="D260" s="76"/>
      <c r="E260" s="7"/>
      <c r="F260" s="7"/>
      <c r="G260" s="7"/>
      <c r="H260" s="7"/>
      <c r="I260" s="76"/>
      <c r="J260" s="76"/>
      <c r="K260" s="7"/>
      <c r="L260" s="7"/>
    </row>
    <row r="261" spans="2:12" x14ac:dyDescent="0.25">
      <c r="B261" s="7"/>
      <c r="C261" s="76"/>
      <c r="D261" s="76"/>
      <c r="E261" s="7"/>
      <c r="F261" s="7"/>
      <c r="G261" s="7"/>
      <c r="H261" s="7"/>
      <c r="I261" s="76"/>
      <c r="J261" s="76"/>
      <c r="K261" s="7"/>
      <c r="L261" s="7"/>
    </row>
    <row r="262" spans="2:12" x14ac:dyDescent="0.25">
      <c r="B262" s="7"/>
      <c r="C262" s="76"/>
      <c r="D262" s="76"/>
      <c r="E262" s="7"/>
      <c r="F262" s="7"/>
      <c r="G262" s="7"/>
      <c r="H262" s="7"/>
      <c r="I262" s="76"/>
      <c r="J262" s="76"/>
      <c r="K262" s="7"/>
      <c r="L262" s="7"/>
    </row>
    <row r="263" spans="2:12" x14ac:dyDescent="0.25">
      <c r="B263" s="7"/>
      <c r="C263" s="76"/>
      <c r="D263" s="76"/>
      <c r="E263" s="7"/>
      <c r="F263" s="7"/>
      <c r="G263" s="7"/>
      <c r="H263" s="7"/>
      <c r="I263" s="76"/>
      <c r="J263" s="76"/>
      <c r="K263" s="7"/>
      <c r="L263" s="7"/>
    </row>
    <row r="264" spans="2:12" x14ac:dyDescent="0.25">
      <c r="B264" s="7"/>
      <c r="C264" s="76"/>
      <c r="D264" s="76"/>
      <c r="E264" s="7"/>
      <c r="F264" s="7"/>
      <c r="G264" s="7"/>
      <c r="H264" s="7"/>
      <c r="I264" s="76"/>
      <c r="J264" s="76"/>
      <c r="K264" s="7"/>
      <c r="L264" s="7"/>
    </row>
    <row r="265" spans="2:12" x14ac:dyDescent="0.25">
      <c r="B265" s="7"/>
      <c r="C265" s="76"/>
      <c r="D265" s="76"/>
      <c r="E265" s="7"/>
      <c r="F265" s="7"/>
      <c r="G265" s="7"/>
      <c r="H265" s="7"/>
      <c r="I265" s="76"/>
      <c r="J265" s="76"/>
      <c r="K265" s="7"/>
      <c r="L265" s="7"/>
    </row>
    <row r="266" spans="2:12" x14ac:dyDescent="0.25">
      <c r="B266" s="7"/>
      <c r="C266" s="76"/>
      <c r="D266" s="76"/>
      <c r="E266" s="7"/>
      <c r="F266" s="7"/>
      <c r="G266" s="7"/>
      <c r="H266" s="7"/>
      <c r="I266" s="76"/>
      <c r="J266" s="76"/>
      <c r="K266" s="7"/>
      <c r="L266" s="7"/>
    </row>
    <row r="267" spans="2:12" x14ac:dyDescent="0.25">
      <c r="B267" s="7"/>
      <c r="C267" s="76"/>
      <c r="D267" s="76"/>
      <c r="E267" s="7"/>
      <c r="F267" s="7"/>
      <c r="G267" s="7"/>
      <c r="H267" s="7"/>
      <c r="I267" s="76"/>
      <c r="J267" s="76"/>
      <c r="K267" s="7"/>
      <c r="L267" s="7"/>
    </row>
    <row r="268" spans="2:12" x14ac:dyDescent="0.25">
      <c r="B268" s="7"/>
      <c r="C268" s="76"/>
      <c r="D268" s="76"/>
      <c r="E268" s="7"/>
      <c r="F268" s="7"/>
      <c r="G268" s="7"/>
      <c r="H268" s="7"/>
      <c r="I268" s="76"/>
      <c r="J268" s="76"/>
      <c r="K268" s="7"/>
      <c r="L268" s="7"/>
    </row>
    <row r="269" spans="2:12" x14ac:dyDescent="0.25">
      <c r="B269" s="7"/>
      <c r="C269" s="76"/>
      <c r="D269" s="76"/>
      <c r="E269" s="7"/>
      <c r="F269" s="7"/>
      <c r="G269" s="7"/>
      <c r="H269" s="7"/>
      <c r="I269" s="76"/>
      <c r="J269" s="76"/>
      <c r="K269" s="7"/>
      <c r="L269" s="7"/>
    </row>
    <row r="270" spans="2:12" x14ac:dyDescent="0.25">
      <c r="B270" s="7"/>
      <c r="C270" s="76"/>
      <c r="D270" s="76"/>
      <c r="E270" s="7"/>
      <c r="F270" s="7"/>
      <c r="G270" s="7"/>
      <c r="H270" s="7"/>
      <c r="I270" s="76"/>
      <c r="J270" s="76"/>
      <c r="K270" s="7"/>
      <c r="L270" s="7"/>
    </row>
    <row r="271" spans="2:12" x14ac:dyDescent="0.25">
      <c r="B271" s="1"/>
      <c r="E271" s="1"/>
      <c r="F271" s="1"/>
      <c r="G271" s="1"/>
      <c r="H271" s="1"/>
      <c r="K271" s="7"/>
      <c r="L271" s="7"/>
    </row>
    <row r="272" spans="2:12" x14ac:dyDescent="0.25">
      <c r="B272" s="1"/>
      <c r="E272" s="1"/>
      <c r="F272" s="1"/>
      <c r="G272" s="1"/>
      <c r="H272" s="1"/>
      <c r="K272" s="7"/>
      <c r="L272" s="7"/>
    </row>
  </sheetData>
  <mergeCells count="14">
    <mergeCell ref="L48:L49"/>
    <mergeCell ref="L2:N2"/>
    <mergeCell ref="B2:E3"/>
    <mergeCell ref="B109:D109"/>
    <mergeCell ref="B72:D72"/>
    <mergeCell ref="B96:D96"/>
    <mergeCell ref="B89:D89"/>
    <mergeCell ref="N47:O47"/>
    <mergeCell ref="N56:O56"/>
    <mergeCell ref="N62:O62"/>
    <mergeCell ref="N66:O66"/>
    <mergeCell ref="N72:O72"/>
    <mergeCell ref="N89:O89"/>
    <mergeCell ref="N96:O96"/>
  </mergeCells>
  <pageMargins left="0.511811024" right="0.511811024" top="0.78740157499999996" bottom="0.78740157499999996" header="0.31496062000000002" footer="0.31496062000000002"/>
  <pageSetup paperSize="9" orientation="landscape" r:id="rId1"/>
  <ignoredErrors>
    <ignoredError sqref="O7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showGridLines="0" topLeftCell="Q1" zoomScaleNormal="100" workbookViewId="0">
      <selection activeCell="AC63" sqref="AC63:AD63"/>
    </sheetView>
  </sheetViews>
  <sheetFormatPr defaultRowHeight="15" x14ac:dyDescent="0.25"/>
  <cols>
    <col min="1" max="1" width="8.5703125" style="72" hidden="1" customWidth="1"/>
    <col min="2" max="2" width="5.7109375" style="72" customWidth="1"/>
    <col min="3" max="3" width="17" style="72" customWidth="1"/>
    <col min="4" max="4" width="9.7109375" style="72" hidden="1" customWidth="1"/>
    <col min="5" max="5" width="9.140625" style="72" customWidth="1"/>
    <col min="6" max="6" width="17.28515625" style="72" hidden="1" customWidth="1"/>
    <col min="7" max="7" width="12.5703125" style="72" hidden="1" customWidth="1"/>
    <col min="8" max="8" width="11.85546875" style="72" hidden="1" customWidth="1"/>
    <col min="9" max="9" width="11.7109375" style="72" hidden="1" customWidth="1"/>
    <col min="10" max="10" width="0.85546875" style="73" customWidth="1"/>
    <col min="11" max="11" width="7.7109375" style="72" hidden="1" customWidth="1"/>
    <col min="12" max="12" width="8.7109375" style="72" customWidth="1"/>
    <col min="13" max="13" width="10.7109375" style="72" customWidth="1"/>
    <col min="14" max="14" width="8.5703125" style="72" customWidth="1"/>
    <col min="15" max="15" width="9.5703125" style="72" customWidth="1"/>
    <col min="16" max="16" width="10.7109375" style="72" customWidth="1"/>
    <col min="17" max="18" width="9.28515625" style="72" customWidth="1"/>
    <col min="19" max="19" width="9.7109375" style="72" customWidth="1"/>
    <col min="20" max="20" width="9" style="72" customWidth="1"/>
    <col min="21" max="21" width="8.85546875" style="72" customWidth="1"/>
    <col min="22" max="22" width="9.7109375" style="72" customWidth="1"/>
    <col min="23" max="23" width="9.140625" style="72" bestFit="1" customWidth="1"/>
    <col min="24" max="24" width="7.7109375" style="72" hidden="1" customWidth="1"/>
    <col min="25" max="25" width="7.5703125" style="72" hidden="1" customWidth="1"/>
    <col min="26" max="26" width="8.7109375" style="72" hidden="1" customWidth="1"/>
    <col min="27" max="27" width="20.7109375" customWidth="1"/>
    <col min="30" max="30" width="22.7109375" customWidth="1"/>
    <col min="31" max="31" width="15.7109375" customWidth="1"/>
    <col min="32" max="32" width="14.140625" customWidth="1"/>
    <col min="33" max="33" width="0.85546875" customWidth="1"/>
    <col min="34" max="34" width="22.7109375" customWidth="1"/>
  </cols>
  <sheetData>
    <row r="1" spans="1:34" ht="14.45" customHeight="1" x14ac:dyDescent="0.25">
      <c r="A1" s="191" t="s">
        <v>141</v>
      </c>
      <c r="B1" s="192"/>
      <c r="C1" s="192"/>
      <c r="D1" s="192"/>
      <c r="E1" s="192" t="s">
        <v>152</v>
      </c>
      <c r="F1" s="209"/>
      <c r="G1" s="195" t="s">
        <v>51</v>
      </c>
      <c r="H1" s="185"/>
      <c r="I1" s="184" t="e">
        <f>SUM(K1:AO1)</f>
        <v>#REF!</v>
      </c>
      <c r="J1" s="199"/>
      <c r="K1" s="182" t="e">
        <f>SUM(K5:K38)</f>
        <v>#REF!</v>
      </c>
      <c r="L1" s="206">
        <f>L10+L12+L14+L16+L24+L38</f>
        <v>155214.99224999998</v>
      </c>
      <c r="M1" s="206">
        <f t="shared" ref="M1:Z1" si="0">M10+M12+M14+M16+M24+M38</f>
        <v>570697.47908333328</v>
      </c>
      <c r="N1" s="206">
        <f t="shared" si="0"/>
        <v>129547.083</v>
      </c>
      <c r="O1" s="206">
        <f t="shared" si="0"/>
        <v>762139.68033333332</v>
      </c>
      <c r="P1" s="206">
        <f t="shared" si="0"/>
        <v>2165433.7389166667</v>
      </c>
      <c r="Q1" s="206">
        <f t="shared" si="0"/>
        <v>443292.0726666667</v>
      </c>
      <c r="R1" s="206">
        <f t="shared" si="0"/>
        <v>354187.77733333333</v>
      </c>
      <c r="S1" s="206">
        <f t="shared" si="0"/>
        <v>496697.47908333328</v>
      </c>
      <c r="T1" s="206">
        <f t="shared" si="0"/>
        <v>537610.52766666678</v>
      </c>
      <c r="U1" s="206">
        <f t="shared" si="0"/>
        <v>410401.46666666667</v>
      </c>
      <c r="V1" s="206">
        <f t="shared" si="0"/>
        <v>700444.54700000002</v>
      </c>
      <c r="W1" s="206">
        <f t="shared" si="0"/>
        <v>814241.79600000009</v>
      </c>
      <c r="X1" s="206">
        <f t="shared" si="0"/>
        <v>0</v>
      </c>
      <c r="Y1" s="206">
        <f t="shared" si="0"/>
        <v>0</v>
      </c>
      <c r="Z1" s="206">
        <f t="shared" si="0"/>
        <v>0</v>
      </c>
    </row>
    <row r="2" spans="1:34" ht="14.45" customHeight="1" x14ac:dyDescent="0.3">
      <c r="A2" s="191"/>
      <c r="B2" s="192"/>
      <c r="C2" s="192"/>
      <c r="D2" s="192"/>
      <c r="E2" s="210"/>
      <c r="F2" s="211"/>
      <c r="G2" s="212" t="s">
        <v>139</v>
      </c>
      <c r="H2" s="213"/>
      <c r="I2" s="214" t="e">
        <f>SUM(K1:S1)</f>
        <v>#REF!</v>
      </c>
      <c r="J2" s="208"/>
      <c r="K2" s="203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</row>
    <row r="3" spans="1:34" ht="14.45" customHeight="1" x14ac:dyDescent="0.3">
      <c r="A3" s="193"/>
      <c r="B3" s="194"/>
      <c r="C3" s="215"/>
      <c r="D3" s="215"/>
      <c r="E3" s="215"/>
      <c r="F3" s="216"/>
      <c r="G3" s="212" t="s">
        <v>140</v>
      </c>
      <c r="H3" s="217"/>
      <c r="I3" s="218">
        <f>SUM(T1:Z1)</f>
        <v>2462698.3373333337</v>
      </c>
      <c r="J3" s="208"/>
      <c r="K3" s="204"/>
      <c r="L3" s="355">
        <v>2014</v>
      </c>
      <c r="M3" s="356"/>
      <c r="N3" s="356"/>
      <c r="O3" s="356"/>
      <c r="P3" s="356"/>
      <c r="Q3" s="356"/>
      <c r="R3" s="356"/>
      <c r="S3" s="357"/>
      <c r="T3" s="358">
        <v>2015</v>
      </c>
      <c r="U3" s="359"/>
      <c r="V3" s="359"/>
      <c r="W3" s="359"/>
      <c r="X3" s="359"/>
      <c r="Y3" s="359"/>
      <c r="Z3" s="360"/>
    </row>
    <row r="4" spans="1:34" x14ac:dyDescent="0.25">
      <c r="A4" s="189" t="s">
        <v>135</v>
      </c>
      <c r="B4" s="189" t="s">
        <v>117</v>
      </c>
      <c r="C4" s="196" t="s">
        <v>117</v>
      </c>
      <c r="D4" s="196" t="s">
        <v>129</v>
      </c>
      <c r="E4" s="196" t="s">
        <v>1</v>
      </c>
      <c r="F4" s="189" t="s">
        <v>118</v>
      </c>
      <c r="G4" s="189" t="s">
        <v>124</v>
      </c>
      <c r="H4" s="189" t="s">
        <v>125</v>
      </c>
      <c r="I4" s="197" t="s">
        <v>126</v>
      </c>
      <c r="J4" s="207"/>
      <c r="K4" s="198" t="s">
        <v>102</v>
      </c>
      <c r="L4" s="230" t="s">
        <v>74</v>
      </c>
      <c r="M4" s="231" t="s">
        <v>75</v>
      </c>
      <c r="N4" s="230" t="s">
        <v>76</v>
      </c>
      <c r="O4" s="231" t="s">
        <v>77</v>
      </c>
      <c r="P4" s="230" t="s">
        <v>78</v>
      </c>
      <c r="Q4" s="231" t="s">
        <v>79</v>
      </c>
      <c r="R4" s="230" t="s">
        <v>80</v>
      </c>
      <c r="S4" s="231" t="s">
        <v>81</v>
      </c>
      <c r="T4" s="232" t="s">
        <v>82</v>
      </c>
      <c r="U4" s="233" t="s">
        <v>83</v>
      </c>
      <c r="V4" s="232" t="s">
        <v>73</v>
      </c>
      <c r="W4" s="233" t="s">
        <v>102</v>
      </c>
      <c r="X4" s="236" t="s">
        <v>74</v>
      </c>
      <c r="Y4" s="237" t="s">
        <v>75</v>
      </c>
      <c r="Z4" s="236" t="s">
        <v>76</v>
      </c>
    </row>
    <row r="5" spans="1:34" ht="14.45" hidden="1" x14ac:dyDescent="0.3">
      <c r="A5" s="187" t="s">
        <v>137</v>
      </c>
      <c r="B5" s="227">
        <v>84200</v>
      </c>
      <c r="C5" s="242" t="s">
        <v>113</v>
      </c>
      <c r="D5" s="242" t="s">
        <v>113</v>
      </c>
      <c r="E5" s="242" t="s">
        <v>113</v>
      </c>
      <c r="F5" s="247" t="s">
        <v>84</v>
      </c>
      <c r="G5" s="248"/>
      <c r="H5" s="249" t="s">
        <v>115</v>
      </c>
      <c r="I5" s="250">
        <f>'Custo '!H6</f>
        <v>1805427.08</v>
      </c>
      <c r="J5" s="200"/>
      <c r="K5" s="251" t="e">
        <f>#REF!</f>
        <v>#REF!</v>
      </c>
      <c r="L5" s="252" t="e">
        <f>#REF!</f>
        <v>#REF!</v>
      </c>
      <c r="M5" s="252" t="e">
        <f>#REF!</f>
        <v>#REF!</v>
      </c>
      <c r="N5" s="252" t="e">
        <f>#REF!</f>
        <v>#REF!</v>
      </c>
      <c r="O5" s="252" t="e">
        <f>#REF!</f>
        <v>#REF!</v>
      </c>
      <c r="P5" s="252" t="e">
        <f>#REF!</f>
        <v>#REF!</v>
      </c>
      <c r="Q5" s="252" t="e">
        <f>#REF!</f>
        <v>#REF!</v>
      </c>
      <c r="R5" s="252" t="e">
        <f>#REF!</f>
        <v>#REF!</v>
      </c>
      <c r="S5" s="252" t="e">
        <f>#REF!</f>
        <v>#REF!</v>
      </c>
      <c r="T5" s="252" t="e">
        <f>#REF!</f>
        <v>#REF!</v>
      </c>
      <c r="U5" s="252" t="e">
        <f>#REF!</f>
        <v>#REF!</v>
      </c>
      <c r="V5" s="252" t="e">
        <f>#REF!</f>
        <v>#REF!</v>
      </c>
      <c r="W5" s="252" t="e">
        <f>#REF!</f>
        <v>#REF!</v>
      </c>
      <c r="X5" s="253" t="e">
        <f>#REF!</f>
        <v>#REF!</v>
      </c>
      <c r="Y5" s="253" t="e">
        <f>#REF!</f>
        <v>#REF!</v>
      </c>
      <c r="Z5" s="253" t="e">
        <f>#REF!</f>
        <v>#REF!</v>
      </c>
      <c r="AH5" s="72"/>
    </row>
    <row r="6" spans="1:34" s="72" customFormat="1" ht="6" customHeight="1" x14ac:dyDescent="0.3">
      <c r="A6" s="187"/>
      <c r="B6" s="228"/>
      <c r="C6" s="243"/>
      <c r="D6" s="243"/>
      <c r="E6" s="243"/>
      <c r="F6" s="255"/>
      <c r="G6" s="200"/>
      <c r="H6" s="256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 spans="1:34" s="72" customFormat="1" ht="20.45" customHeight="1" x14ac:dyDescent="0.25">
      <c r="A7" s="181" t="s">
        <v>137</v>
      </c>
      <c r="B7" s="227">
        <v>84137</v>
      </c>
      <c r="C7" s="361" t="s">
        <v>146</v>
      </c>
      <c r="D7" s="241" t="s">
        <v>130</v>
      </c>
      <c r="E7" s="258" t="s">
        <v>3</v>
      </c>
      <c r="F7" s="257"/>
      <c r="G7" s="188"/>
      <c r="H7" s="254"/>
      <c r="I7" s="201" t="e">
        <f>SUM(K7:Z7)</f>
        <v>#REF!</v>
      </c>
      <c r="J7" s="200"/>
      <c r="K7" s="188" t="e">
        <f>SUM(#REF!)</f>
        <v>#REF!</v>
      </c>
      <c r="L7" s="229"/>
      <c r="M7" s="229">
        <v>74000</v>
      </c>
      <c r="N7" s="229"/>
      <c r="O7" s="229"/>
      <c r="P7" s="229">
        <v>74000</v>
      </c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35"/>
    </row>
    <row r="8" spans="1:34" x14ac:dyDescent="0.25">
      <c r="A8" s="181" t="s">
        <v>137</v>
      </c>
      <c r="B8" s="227">
        <v>84137</v>
      </c>
      <c r="C8" s="362"/>
      <c r="D8" s="260" t="s">
        <v>130</v>
      </c>
      <c r="E8" s="258" t="s">
        <v>114</v>
      </c>
      <c r="F8" s="244"/>
      <c r="G8" s="176"/>
      <c r="H8" s="179"/>
      <c r="I8" s="202">
        <f>'Custo '!H8</f>
        <v>270000</v>
      </c>
      <c r="J8" s="200"/>
      <c r="K8" s="176" t="e">
        <f>#REF!</f>
        <v>#REF!</v>
      </c>
      <c r="L8" s="229">
        <v>18000</v>
      </c>
      <c r="M8" s="229">
        <v>18000</v>
      </c>
      <c r="N8" s="229">
        <v>18000</v>
      </c>
      <c r="O8" s="229">
        <v>18000</v>
      </c>
      <c r="P8" s="229">
        <v>18000</v>
      </c>
      <c r="Q8" s="229">
        <v>18000</v>
      </c>
      <c r="R8" s="229">
        <v>18000</v>
      </c>
      <c r="S8" s="229">
        <v>18000</v>
      </c>
      <c r="T8" s="229">
        <v>18000</v>
      </c>
      <c r="U8" s="229">
        <v>18000</v>
      </c>
      <c r="V8" s="229">
        <v>18000</v>
      </c>
      <c r="W8" s="229">
        <f>18000*4</f>
        <v>72000</v>
      </c>
      <c r="X8" s="229"/>
      <c r="Y8" s="229"/>
      <c r="Z8" s="229"/>
      <c r="AA8" s="235"/>
      <c r="AB8" s="72"/>
      <c r="AC8" s="72"/>
      <c r="AD8" s="72"/>
      <c r="AE8" s="72"/>
      <c r="AF8" s="72"/>
      <c r="AG8" s="72"/>
      <c r="AH8" s="72"/>
    </row>
    <row r="9" spans="1:34" s="72" customFormat="1" x14ac:dyDescent="0.25">
      <c r="A9" s="181"/>
      <c r="B9" s="227">
        <v>84200</v>
      </c>
      <c r="C9" s="363"/>
      <c r="D9" s="241" t="s">
        <v>113</v>
      </c>
      <c r="E9" s="259" t="s">
        <v>113</v>
      </c>
      <c r="F9" s="244"/>
      <c r="G9" s="176"/>
      <c r="H9" s="190" t="s">
        <v>115</v>
      </c>
      <c r="I9" s="202">
        <f>'Custo '!H6</f>
        <v>1805427.08</v>
      </c>
      <c r="J9" s="200"/>
      <c r="K9" s="176"/>
      <c r="L9" s="238"/>
      <c r="M9" s="238"/>
      <c r="N9" s="238"/>
      <c r="O9" s="238"/>
      <c r="P9" s="238">
        <v>1805427.08</v>
      </c>
      <c r="Q9" s="238"/>
      <c r="R9" s="238"/>
      <c r="S9" s="238"/>
      <c r="T9" s="238"/>
      <c r="U9" s="238"/>
      <c r="V9" s="238"/>
      <c r="W9" s="238"/>
      <c r="X9" s="238"/>
      <c r="Y9" s="238"/>
      <c r="Z9" s="229"/>
      <c r="AA9" s="235"/>
    </row>
    <row r="10" spans="1:34" s="72" customFormat="1" ht="14.45" x14ac:dyDescent="0.3">
      <c r="A10" s="181"/>
      <c r="B10" s="243"/>
      <c r="C10" s="243"/>
      <c r="D10" s="242"/>
      <c r="E10" s="262" t="s">
        <v>51</v>
      </c>
      <c r="F10" s="244"/>
      <c r="G10" s="176"/>
      <c r="H10" s="190"/>
      <c r="I10" s="201"/>
      <c r="J10" s="200"/>
      <c r="K10" s="176"/>
      <c r="L10" s="245">
        <f>SUM(L7:L9)</f>
        <v>18000</v>
      </c>
      <c r="M10" s="245">
        <f t="shared" ref="M10:Z10" si="1">SUM(M7:M9)</f>
        <v>92000</v>
      </c>
      <c r="N10" s="245">
        <f t="shared" si="1"/>
        <v>18000</v>
      </c>
      <c r="O10" s="245">
        <f t="shared" si="1"/>
        <v>18000</v>
      </c>
      <c r="P10" s="245">
        <f>SUM(P7:P9)</f>
        <v>1897427.08</v>
      </c>
      <c r="Q10" s="245">
        <f t="shared" si="1"/>
        <v>18000</v>
      </c>
      <c r="R10" s="245">
        <f t="shared" si="1"/>
        <v>18000</v>
      </c>
      <c r="S10" s="245">
        <f t="shared" si="1"/>
        <v>18000</v>
      </c>
      <c r="T10" s="245">
        <f t="shared" si="1"/>
        <v>18000</v>
      </c>
      <c r="U10" s="245">
        <f t="shared" si="1"/>
        <v>18000</v>
      </c>
      <c r="V10" s="245">
        <f t="shared" si="1"/>
        <v>18000</v>
      </c>
      <c r="W10" s="245">
        <f t="shared" si="1"/>
        <v>72000</v>
      </c>
      <c r="X10" s="245">
        <f t="shared" si="1"/>
        <v>0</v>
      </c>
      <c r="Y10" s="245">
        <f t="shared" si="1"/>
        <v>0</v>
      </c>
      <c r="Z10" s="246">
        <f t="shared" si="1"/>
        <v>0</v>
      </c>
      <c r="AA10" s="235">
        <f>SUM(L10:Z10)</f>
        <v>2223427.08</v>
      </c>
    </row>
    <row r="11" spans="1:34" s="72" customFormat="1" ht="4.9000000000000004" customHeight="1" x14ac:dyDescent="0.25">
      <c r="A11" s="181"/>
      <c r="B11" s="243"/>
      <c r="C11" s="243"/>
      <c r="D11" s="243"/>
      <c r="E11" s="243"/>
      <c r="F11" s="244"/>
      <c r="G11" s="176"/>
      <c r="H11" s="190"/>
      <c r="I11" s="201"/>
      <c r="J11" s="200"/>
      <c r="K11" s="176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</row>
    <row r="12" spans="1:34" s="72" customFormat="1" ht="22.5" x14ac:dyDescent="0.25">
      <c r="A12" s="181" t="s">
        <v>137</v>
      </c>
      <c r="B12" s="227">
        <v>83882</v>
      </c>
      <c r="C12" s="261" t="s">
        <v>147</v>
      </c>
      <c r="D12" s="241" t="s">
        <v>130</v>
      </c>
      <c r="E12" s="258" t="s">
        <v>3</v>
      </c>
      <c r="F12" s="180"/>
      <c r="G12" s="176"/>
      <c r="H12" s="179"/>
      <c r="I12" s="220">
        <f>SUM(K12:Z12)</f>
        <v>970797.15249999997</v>
      </c>
      <c r="J12" s="200"/>
      <c r="K12" s="176"/>
      <c r="L12" s="245"/>
      <c r="M12" s="245">
        <v>291239.14574999997</v>
      </c>
      <c r="N12" s="245"/>
      <c r="O12" s="245"/>
      <c r="P12" s="245"/>
      <c r="Q12" s="245"/>
      <c r="R12" s="245"/>
      <c r="S12" s="245">
        <v>291239.14574999997</v>
      </c>
      <c r="T12" s="245">
        <v>388318.86100000003</v>
      </c>
      <c r="U12" s="245"/>
      <c r="V12" s="245"/>
      <c r="W12" s="245"/>
      <c r="X12" s="245"/>
      <c r="Y12" s="245"/>
      <c r="Z12" s="246"/>
      <c r="AA12" s="235">
        <f>SUM(L12:Z12)</f>
        <v>970797.15249999997</v>
      </c>
    </row>
    <row r="13" spans="1:34" s="72" customFormat="1" ht="5.45" customHeight="1" x14ac:dyDescent="0.25">
      <c r="A13" s="181"/>
      <c r="B13" s="243"/>
      <c r="C13" s="243"/>
      <c r="D13" s="243"/>
      <c r="E13" s="243"/>
      <c r="F13" s="244"/>
      <c r="G13" s="176"/>
      <c r="H13" s="190"/>
      <c r="I13" s="201"/>
      <c r="J13" s="200"/>
      <c r="K13" s="176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</row>
    <row r="14" spans="1:34" s="72" customFormat="1" ht="22.5" x14ac:dyDescent="0.25">
      <c r="A14" s="181" t="s">
        <v>137</v>
      </c>
      <c r="B14" s="227">
        <v>83909</v>
      </c>
      <c r="C14" s="240" t="s">
        <v>148</v>
      </c>
      <c r="D14" s="181" t="s">
        <v>130</v>
      </c>
      <c r="E14" s="258" t="s">
        <v>3</v>
      </c>
      <c r="F14" s="180"/>
      <c r="G14" s="176"/>
      <c r="H14" s="179"/>
      <c r="I14" s="220">
        <f>SUM(K14:Z14)</f>
        <v>457383.3075</v>
      </c>
      <c r="J14" s="200"/>
      <c r="K14" s="176"/>
      <c r="L14" s="245">
        <v>137214.99224999998</v>
      </c>
      <c r="M14" s="245"/>
      <c r="N14" s="245"/>
      <c r="O14" s="245"/>
      <c r="P14" s="245">
        <v>137214.99224999998</v>
      </c>
      <c r="Q14" s="245">
        <v>182953.323</v>
      </c>
      <c r="R14" s="245"/>
      <c r="S14" s="245"/>
      <c r="T14" s="245"/>
      <c r="U14" s="245"/>
      <c r="V14" s="245"/>
      <c r="W14" s="245"/>
      <c r="X14" s="245"/>
      <c r="Y14" s="245"/>
      <c r="Z14" s="245"/>
      <c r="AA14" s="235">
        <f>SUM(L14:Z14)</f>
        <v>457383.3075</v>
      </c>
    </row>
    <row r="15" spans="1:34" s="72" customFormat="1" ht="5.45" customHeight="1" x14ac:dyDescent="0.25">
      <c r="A15" s="181"/>
      <c r="B15" s="243"/>
      <c r="C15" s="243"/>
      <c r="D15" s="243"/>
      <c r="E15" s="243"/>
      <c r="F15" s="244"/>
      <c r="G15" s="176"/>
      <c r="H15" s="190"/>
      <c r="I15" s="201"/>
      <c r="J15" s="200"/>
      <c r="K15" s="176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</row>
    <row r="16" spans="1:34" s="72" customFormat="1" x14ac:dyDescent="0.25">
      <c r="A16" s="181" t="s">
        <v>137</v>
      </c>
      <c r="B16" s="227">
        <v>83907</v>
      </c>
      <c r="C16" s="181" t="s">
        <v>149</v>
      </c>
      <c r="D16" s="181" t="s">
        <v>130</v>
      </c>
      <c r="E16" s="258" t="s">
        <v>3</v>
      </c>
      <c r="F16" s="180"/>
      <c r="G16" s="176"/>
      <c r="H16" s="179"/>
      <c r="I16" s="220" t="e">
        <f>SUM(K16:Z16)</f>
        <v>#REF!</v>
      </c>
      <c r="J16" s="200"/>
      <c r="K16" s="176" t="e">
        <f>SUM(#REF!)</f>
        <v>#REF!</v>
      </c>
      <c r="L16" s="245"/>
      <c r="M16" s="245"/>
      <c r="N16" s="245">
        <v>111547.083</v>
      </c>
      <c r="O16" s="245"/>
      <c r="P16" s="245"/>
      <c r="Q16" s="245">
        <v>111547.083</v>
      </c>
      <c r="R16" s="245">
        <v>148729.44399999999</v>
      </c>
      <c r="S16" s="245"/>
      <c r="T16" s="245"/>
      <c r="U16" s="245"/>
      <c r="V16" s="245"/>
      <c r="W16" s="245"/>
      <c r="X16" s="245"/>
      <c r="Y16" s="245"/>
      <c r="Z16" s="245"/>
      <c r="AA16" s="235">
        <f>SUM(L16:Z16)</f>
        <v>371823.61</v>
      </c>
    </row>
    <row r="17" spans="1:32" s="72" customFormat="1" ht="4.9000000000000004" customHeight="1" x14ac:dyDescent="0.25">
      <c r="A17" s="181"/>
      <c r="B17" s="243"/>
      <c r="C17" s="243"/>
      <c r="D17" s="243"/>
      <c r="E17" s="243"/>
      <c r="F17" s="244"/>
      <c r="G17" s="176"/>
      <c r="H17" s="190"/>
      <c r="I17" s="201"/>
      <c r="J17" s="200"/>
      <c r="K17" s="176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</row>
    <row r="18" spans="1:32" s="72" customFormat="1" ht="14.45" hidden="1" x14ac:dyDescent="0.3">
      <c r="A18" s="181"/>
      <c r="B18" s="181"/>
      <c r="C18" s="181"/>
      <c r="D18" s="181"/>
      <c r="E18" s="181"/>
      <c r="F18" s="180"/>
      <c r="G18" s="176"/>
      <c r="H18" s="179"/>
      <c r="I18" s="220">
        <f>SUM(I26:I35)</f>
        <v>2531239</v>
      </c>
      <c r="J18" s="200"/>
      <c r="K18" s="219">
        <f>SUM(K26:K35)</f>
        <v>0</v>
      </c>
      <c r="L18" s="219"/>
      <c r="M18" s="219">
        <f t="shared" ref="M18:T18" si="2">SUM(M26:M35)</f>
        <v>187458.33333333334</v>
      </c>
      <c r="N18" s="219">
        <f t="shared" si="2"/>
        <v>187458.33333333334</v>
      </c>
      <c r="O18" s="219">
        <f t="shared" si="2"/>
        <v>261109.8</v>
      </c>
      <c r="P18" s="219">
        <f t="shared" si="2"/>
        <v>74625</v>
      </c>
      <c r="Q18" s="219">
        <f t="shared" si="2"/>
        <v>74625</v>
      </c>
      <c r="R18" s="219">
        <f t="shared" si="2"/>
        <v>187458.33333333334</v>
      </c>
      <c r="S18" s="219">
        <f t="shared" si="2"/>
        <v>187458.33333333334</v>
      </c>
      <c r="T18" s="219">
        <f t="shared" si="2"/>
        <v>187458.33333333334</v>
      </c>
      <c r="U18" s="219"/>
      <c r="V18" s="219">
        <f>SUM(V26:V35)</f>
        <v>647982.80000000005</v>
      </c>
      <c r="W18" s="219">
        <f>SUM(W26:W35)</f>
        <v>535604.7333333334</v>
      </c>
      <c r="X18" s="219"/>
      <c r="Y18" s="219"/>
      <c r="Z18" s="229"/>
      <c r="AA18" s="219"/>
    </row>
    <row r="19" spans="1:32" s="72" customFormat="1" ht="14.45" hidden="1" x14ac:dyDescent="0.3">
      <c r="A19" s="181"/>
      <c r="B19" s="181"/>
      <c r="C19" s="181"/>
      <c r="D19" s="181"/>
      <c r="E19" s="181"/>
      <c r="F19" s="180"/>
      <c r="G19" s="176"/>
      <c r="H19" s="179"/>
      <c r="I19" s="220"/>
      <c r="J19" s="200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29"/>
      <c r="AA19" s="219"/>
    </row>
    <row r="20" spans="1:32" s="72" customFormat="1" x14ac:dyDescent="0.25">
      <c r="A20" s="181"/>
      <c r="B20" s="227">
        <v>84710</v>
      </c>
      <c r="C20" s="352" t="s">
        <v>150</v>
      </c>
      <c r="D20" s="181"/>
      <c r="E20" s="258" t="s">
        <v>3</v>
      </c>
      <c r="F20" s="180"/>
      <c r="G20" s="176"/>
      <c r="H20" s="179"/>
      <c r="I20" s="220"/>
      <c r="J20" s="200"/>
      <c r="K20" s="219"/>
      <c r="L20" s="229"/>
      <c r="M20" s="229"/>
      <c r="N20" s="229"/>
      <c r="O20" s="229">
        <v>261109.8</v>
      </c>
      <c r="P20" s="229"/>
      <c r="Q20" s="229"/>
      <c r="R20" s="229"/>
      <c r="S20" s="229"/>
      <c r="T20" s="229"/>
      <c r="U20" s="229">
        <v>261109.8</v>
      </c>
      <c r="V20" s="229"/>
      <c r="W20" s="229">
        <v>348146.4</v>
      </c>
      <c r="X20" s="229"/>
      <c r="Y20" s="229"/>
      <c r="Z20" s="229"/>
      <c r="AA20" s="235"/>
    </row>
    <row r="21" spans="1:32" s="72" customFormat="1" x14ac:dyDescent="0.25">
      <c r="A21" s="181"/>
      <c r="B21" s="227">
        <v>84710</v>
      </c>
      <c r="C21" s="364"/>
      <c r="D21" s="181"/>
      <c r="E21" s="258" t="s">
        <v>131</v>
      </c>
      <c r="F21" s="180"/>
      <c r="G21" s="176"/>
      <c r="H21" s="179"/>
      <c r="I21" s="220"/>
      <c r="J21" s="200"/>
      <c r="K21" s="219"/>
      <c r="L21" s="229"/>
      <c r="M21" s="229">
        <v>131291.66666666669</v>
      </c>
      <c r="N21" s="229"/>
      <c r="O21" s="229">
        <v>131291.66666666669</v>
      </c>
      <c r="P21" s="229">
        <v>74625</v>
      </c>
      <c r="Q21" s="229">
        <v>74625</v>
      </c>
      <c r="R21" s="229">
        <v>131291.66666666669</v>
      </c>
      <c r="S21" s="229">
        <v>131291.66666666669</v>
      </c>
      <c r="T21" s="229">
        <v>131291.66666666669</v>
      </c>
      <c r="U21" s="229">
        <v>131291.66666666669</v>
      </c>
      <c r="V21" s="229"/>
      <c r="W21" s="229"/>
      <c r="X21" s="229"/>
      <c r="Y21" s="229"/>
      <c r="Z21" s="229"/>
      <c r="AA21" s="235"/>
    </row>
    <row r="22" spans="1:32" s="72" customFormat="1" x14ac:dyDescent="0.25">
      <c r="A22" s="181"/>
      <c r="B22" s="227">
        <v>84710</v>
      </c>
      <c r="C22" s="364"/>
      <c r="D22" s="181"/>
      <c r="E22" s="258" t="s">
        <v>13</v>
      </c>
      <c r="F22" s="180"/>
      <c r="G22" s="176"/>
      <c r="H22" s="179"/>
      <c r="I22" s="220"/>
      <c r="J22" s="200"/>
      <c r="K22" s="219"/>
      <c r="L22" s="229"/>
      <c r="M22" s="229">
        <v>56166.666666666664</v>
      </c>
      <c r="N22" s="229"/>
      <c r="O22" s="229">
        <v>56166.666666666664</v>
      </c>
      <c r="P22" s="229">
        <v>56166.666666666664</v>
      </c>
      <c r="Q22" s="229">
        <v>56166.666666666664</v>
      </c>
      <c r="R22" s="229">
        <v>56166.666666666664</v>
      </c>
      <c r="S22" s="229">
        <v>56166.666666666664</v>
      </c>
      <c r="T22" s="229"/>
      <c r="U22" s="229"/>
      <c r="V22" s="229"/>
      <c r="W22" s="229"/>
      <c r="X22" s="229"/>
      <c r="Y22" s="229"/>
      <c r="Z22" s="229"/>
      <c r="AA22" s="235"/>
    </row>
    <row r="23" spans="1:32" s="72" customFormat="1" x14ac:dyDescent="0.25">
      <c r="A23" s="181"/>
      <c r="B23" s="227">
        <v>84710</v>
      </c>
      <c r="C23" s="353"/>
      <c r="D23" s="181"/>
      <c r="E23" s="258" t="s">
        <v>144</v>
      </c>
      <c r="F23" s="180"/>
      <c r="G23" s="176"/>
      <c r="H23" s="179"/>
      <c r="I23" s="220"/>
      <c r="J23" s="200"/>
      <c r="K23" s="21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>
        <f>'Custo '!H26</f>
        <v>386873</v>
      </c>
      <c r="W23" s="229"/>
      <c r="X23" s="229"/>
      <c r="Y23" s="229"/>
      <c r="Z23" s="229"/>
      <c r="AA23" s="235"/>
    </row>
    <row r="24" spans="1:32" s="72" customFormat="1" x14ac:dyDescent="0.25">
      <c r="A24" s="181"/>
      <c r="B24" s="243"/>
      <c r="C24" s="243"/>
      <c r="D24" s="181"/>
      <c r="E24" s="262" t="s">
        <v>51</v>
      </c>
      <c r="F24" s="180"/>
      <c r="G24" s="176"/>
      <c r="H24" s="179"/>
      <c r="I24" s="220"/>
      <c r="J24" s="200"/>
      <c r="K24" s="219"/>
      <c r="L24" s="245"/>
      <c r="M24" s="245">
        <f t="shared" ref="M24:W24" si="3">SUM(M20:M23)</f>
        <v>187458.33333333334</v>
      </c>
      <c r="N24" s="245"/>
      <c r="O24" s="245">
        <f>SUM(O20:O23)</f>
        <v>448568.13333333336</v>
      </c>
      <c r="P24" s="245">
        <f t="shared" si="3"/>
        <v>130791.66666666666</v>
      </c>
      <c r="Q24" s="245">
        <f t="shared" si="3"/>
        <v>130791.66666666666</v>
      </c>
      <c r="R24" s="245">
        <f t="shared" si="3"/>
        <v>187458.33333333334</v>
      </c>
      <c r="S24" s="245">
        <f t="shared" si="3"/>
        <v>187458.33333333334</v>
      </c>
      <c r="T24" s="245">
        <f>SUM(T20:T23)</f>
        <v>131291.66666666669</v>
      </c>
      <c r="U24" s="245">
        <f>SUM(U20:U23)</f>
        <v>392401.46666666667</v>
      </c>
      <c r="V24" s="245">
        <f t="shared" si="3"/>
        <v>386873</v>
      </c>
      <c r="W24" s="245">
        <f t="shared" si="3"/>
        <v>348146.4</v>
      </c>
      <c r="X24" s="245"/>
      <c r="Y24" s="245"/>
      <c r="Z24" s="245"/>
      <c r="AA24" s="235">
        <f>SUM(L24:Z24)</f>
        <v>2531239</v>
      </c>
    </row>
    <row r="25" spans="1:32" s="72" customFormat="1" ht="4.9000000000000004" customHeight="1" x14ac:dyDescent="0.25">
      <c r="A25" s="181"/>
      <c r="B25" s="243"/>
      <c r="C25" s="243"/>
      <c r="D25" s="243"/>
      <c r="E25" s="243"/>
      <c r="F25" s="244"/>
      <c r="G25" s="176"/>
      <c r="H25" s="190"/>
      <c r="I25" s="201"/>
      <c r="J25" s="200"/>
      <c r="K25" s="176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</row>
    <row r="26" spans="1:32" ht="14.45" hidden="1" customHeight="1" x14ac:dyDescent="0.3">
      <c r="A26" s="186" t="s">
        <v>136</v>
      </c>
      <c r="B26" s="227">
        <v>84710</v>
      </c>
      <c r="C26" s="181" t="s">
        <v>128</v>
      </c>
      <c r="D26" s="181" t="s">
        <v>130</v>
      </c>
      <c r="E26" s="181" t="s">
        <v>3</v>
      </c>
      <c r="F26" s="180" t="s">
        <v>120</v>
      </c>
      <c r="G26" s="176">
        <f>'Custo '!$H$21+'Custo '!$H$23</f>
        <v>870366</v>
      </c>
      <c r="H26" s="179">
        <v>41821</v>
      </c>
      <c r="I26" s="202">
        <f>G26*0.3</f>
        <v>261109.8</v>
      </c>
      <c r="J26" s="200"/>
      <c r="K26" s="176"/>
      <c r="L26" s="176"/>
      <c r="M26" s="176"/>
      <c r="N26" s="176"/>
      <c r="O26" s="176">
        <f>I26</f>
        <v>261109.8</v>
      </c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29"/>
      <c r="AC26" s="72"/>
      <c r="AD26" s="72"/>
      <c r="AE26" s="72"/>
      <c r="AF26" s="72"/>
    </row>
    <row r="27" spans="1:32" ht="14.45" hidden="1" customHeight="1" x14ac:dyDescent="0.3">
      <c r="A27" s="186" t="s">
        <v>136</v>
      </c>
      <c r="B27" s="181">
        <v>84710</v>
      </c>
      <c r="C27" s="181" t="s">
        <v>128</v>
      </c>
      <c r="D27" s="181" t="s">
        <v>130</v>
      </c>
      <c r="E27" s="181" t="s">
        <v>3</v>
      </c>
      <c r="F27" s="180" t="s">
        <v>122</v>
      </c>
      <c r="G27" s="176">
        <f>'Custo '!$H$21+'Custo '!$H$23</f>
        <v>870366</v>
      </c>
      <c r="H27" s="179">
        <v>42064</v>
      </c>
      <c r="I27" s="202">
        <f>G27*0.3</f>
        <v>261109.8</v>
      </c>
      <c r="J27" s="200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>
        <f>I27</f>
        <v>261109.8</v>
      </c>
      <c r="W27" s="176"/>
      <c r="X27" s="176"/>
      <c r="Y27" s="176"/>
      <c r="Z27" s="229"/>
      <c r="AC27" s="72" t="s">
        <v>117</v>
      </c>
      <c r="AD27" s="72" t="s">
        <v>142</v>
      </c>
      <c r="AE27" s="72">
        <v>2014</v>
      </c>
      <c r="AF27" s="72">
        <v>2015</v>
      </c>
    </row>
    <row r="28" spans="1:32" ht="14.45" hidden="1" customHeight="1" x14ac:dyDescent="0.3">
      <c r="A28" s="186" t="s">
        <v>136</v>
      </c>
      <c r="B28" s="181">
        <v>84710</v>
      </c>
      <c r="C28" s="181" t="s">
        <v>128</v>
      </c>
      <c r="D28" s="181" t="s">
        <v>130</v>
      </c>
      <c r="E28" s="181" t="s">
        <v>3</v>
      </c>
      <c r="F28" s="180" t="s">
        <v>123</v>
      </c>
      <c r="G28" s="176">
        <f>'Custo '!$H$21+'Custo '!$H$23</f>
        <v>870366</v>
      </c>
      <c r="H28" s="179">
        <v>42036</v>
      </c>
      <c r="I28" s="202">
        <f>G28*0.4</f>
        <v>348146.4</v>
      </c>
      <c r="J28" s="200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>
        <f>I28</f>
        <v>348146.4</v>
      </c>
      <c r="X28" s="176"/>
      <c r="Y28" s="176"/>
      <c r="Z28" s="229"/>
      <c r="AC28" s="72">
        <v>84710</v>
      </c>
      <c r="AD28" s="72" t="s">
        <v>128</v>
      </c>
      <c r="AE28" s="72">
        <f>SUM(K18:S18)</f>
        <v>1160193.1333333333</v>
      </c>
      <c r="AF28" s="72">
        <f>SUM(T18:Z18)</f>
        <v>1371045.8666666667</v>
      </c>
    </row>
    <row r="29" spans="1:32" ht="14.45" hidden="1" customHeight="1" x14ac:dyDescent="0.3">
      <c r="A29" s="186" t="s">
        <v>136</v>
      </c>
      <c r="B29" s="181">
        <v>84710</v>
      </c>
      <c r="C29" s="181" t="s">
        <v>128</v>
      </c>
      <c r="D29" s="181" t="s">
        <v>95</v>
      </c>
      <c r="E29" s="181" t="s">
        <v>131</v>
      </c>
      <c r="F29" s="180" t="s">
        <v>132</v>
      </c>
      <c r="G29" s="176">
        <f>'Custo '!H80</f>
        <v>297000</v>
      </c>
      <c r="H29" s="183" t="s">
        <v>138</v>
      </c>
      <c r="I29" s="202">
        <f>'Custo '!H80</f>
        <v>297000</v>
      </c>
      <c r="J29" s="200"/>
      <c r="K29" s="176"/>
      <c r="L29" s="176"/>
      <c r="M29" s="176">
        <f>$I$29/8</f>
        <v>37125</v>
      </c>
      <c r="N29" s="176">
        <f>$I$29/8</f>
        <v>37125</v>
      </c>
      <c r="O29" s="176"/>
      <c r="P29" s="176">
        <f>$I$29/8</f>
        <v>37125</v>
      </c>
      <c r="Q29" s="176">
        <f>$I$29/8</f>
        <v>37125</v>
      </c>
      <c r="R29" s="176">
        <f>$I$29/8</f>
        <v>37125</v>
      </c>
      <c r="S29" s="176">
        <f>$I$29/8</f>
        <v>37125</v>
      </c>
      <c r="T29" s="176">
        <f>$I$29/8</f>
        <v>37125</v>
      </c>
      <c r="U29" s="176"/>
      <c r="V29" s="176"/>
      <c r="W29" s="176">
        <f>$I$29/8</f>
        <v>37125</v>
      </c>
      <c r="X29" s="176"/>
      <c r="Y29" s="176"/>
      <c r="Z29" s="229"/>
      <c r="AC29" s="72"/>
      <c r="AD29" s="72"/>
      <c r="AE29" s="72"/>
      <c r="AF29" s="72"/>
    </row>
    <row r="30" spans="1:32" ht="14.45" hidden="1" customHeight="1" x14ac:dyDescent="0.3">
      <c r="A30" s="186" t="s">
        <v>136</v>
      </c>
      <c r="B30" s="181">
        <v>84710</v>
      </c>
      <c r="C30" s="181" t="s">
        <v>128</v>
      </c>
      <c r="D30" s="181" t="s">
        <v>98</v>
      </c>
      <c r="E30" s="181" t="s">
        <v>131</v>
      </c>
      <c r="F30" s="180" t="s">
        <v>133</v>
      </c>
      <c r="G30" s="176">
        <f>'Custo '!H78</f>
        <v>190000</v>
      </c>
      <c r="H30" s="183" t="s">
        <v>138</v>
      </c>
      <c r="I30" s="202">
        <f>'Custo '!H78</f>
        <v>190000</v>
      </c>
      <c r="J30" s="200"/>
      <c r="K30" s="176"/>
      <c r="L30" s="176"/>
      <c r="M30" s="176">
        <f>$I$30/6</f>
        <v>31666.666666666668</v>
      </c>
      <c r="N30" s="176">
        <f>$I$30/6</f>
        <v>31666.666666666668</v>
      </c>
      <c r="O30" s="176"/>
      <c r="P30" s="176"/>
      <c r="Q30" s="176"/>
      <c r="R30" s="176">
        <f>$I$30/6</f>
        <v>31666.666666666668</v>
      </c>
      <c r="S30" s="176">
        <f>$I$30/6</f>
        <v>31666.666666666668</v>
      </c>
      <c r="T30" s="176">
        <f>$I$30/6</f>
        <v>31666.666666666668</v>
      </c>
      <c r="U30" s="176"/>
      <c r="V30" s="176"/>
      <c r="W30" s="176">
        <f>$I$30/6</f>
        <v>31666.666666666668</v>
      </c>
      <c r="X30" s="176"/>
      <c r="Y30" s="176"/>
      <c r="Z30" s="229"/>
      <c r="AC30" s="72"/>
      <c r="AD30" s="72"/>
      <c r="AE30" s="72"/>
      <c r="AF30" s="72"/>
    </row>
    <row r="31" spans="1:32" ht="14.45" hidden="1" customHeight="1" x14ac:dyDescent="0.3">
      <c r="A31" s="186" t="s">
        <v>136</v>
      </c>
      <c r="B31" s="181">
        <v>84710</v>
      </c>
      <c r="C31" s="181" t="s">
        <v>128</v>
      </c>
      <c r="D31" s="181" t="s">
        <v>96</v>
      </c>
      <c r="E31" s="181" t="s">
        <v>131</v>
      </c>
      <c r="F31" s="180" t="s">
        <v>133</v>
      </c>
      <c r="G31" s="176">
        <f>'Custo '!H81</f>
        <v>75000</v>
      </c>
      <c r="H31" s="183" t="s">
        <v>138</v>
      </c>
      <c r="I31" s="202">
        <f>'Custo '!H81</f>
        <v>75000</v>
      </c>
      <c r="J31" s="200"/>
      <c r="K31" s="176"/>
      <c r="L31" s="176"/>
      <c r="M31" s="176">
        <f>$I$31/6</f>
        <v>12500</v>
      </c>
      <c r="N31" s="176">
        <f>$I$31/6</f>
        <v>12500</v>
      </c>
      <c r="O31" s="176"/>
      <c r="P31" s="176"/>
      <c r="Q31" s="176"/>
      <c r="R31" s="176">
        <f>$I$31/6</f>
        <v>12500</v>
      </c>
      <c r="S31" s="176">
        <f>$I$31/6</f>
        <v>12500</v>
      </c>
      <c r="T31" s="176">
        <f>$I$31/6</f>
        <v>12500</v>
      </c>
      <c r="U31" s="176"/>
      <c r="V31" s="176"/>
      <c r="W31" s="176">
        <f>$I$31/6</f>
        <v>12500</v>
      </c>
      <c r="X31" s="176"/>
      <c r="Y31" s="176"/>
      <c r="Z31" s="229"/>
      <c r="AC31" s="72"/>
      <c r="AD31" s="72"/>
      <c r="AE31" s="72"/>
      <c r="AF31" s="72"/>
    </row>
    <row r="32" spans="1:32" ht="14.45" hidden="1" customHeight="1" x14ac:dyDescent="0.3">
      <c r="A32" s="186" t="s">
        <v>136</v>
      </c>
      <c r="B32" s="181">
        <v>84710</v>
      </c>
      <c r="C32" s="181" t="s">
        <v>128</v>
      </c>
      <c r="D32" s="181" t="s">
        <v>97</v>
      </c>
      <c r="E32" s="181" t="s">
        <v>131</v>
      </c>
      <c r="F32" s="180" t="s">
        <v>133</v>
      </c>
      <c r="G32" s="176">
        <f>'Custo '!H82</f>
        <v>75000</v>
      </c>
      <c r="H32" s="183" t="s">
        <v>138</v>
      </c>
      <c r="I32" s="202">
        <f>'Custo '!H82</f>
        <v>75000</v>
      </c>
      <c r="J32" s="200"/>
      <c r="K32" s="176"/>
      <c r="L32" s="176"/>
      <c r="M32" s="176">
        <f>$I$32/6</f>
        <v>12500</v>
      </c>
      <c r="N32" s="176">
        <f>$I$32/6</f>
        <v>12500</v>
      </c>
      <c r="O32" s="176"/>
      <c r="P32" s="176"/>
      <c r="Q32" s="176"/>
      <c r="R32" s="176">
        <f>$I$32/6</f>
        <v>12500</v>
      </c>
      <c r="S32" s="176">
        <f>$I$32/6</f>
        <v>12500</v>
      </c>
      <c r="T32" s="176">
        <f>$I$32/6</f>
        <v>12500</v>
      </c>
      <c r="U32" s="176"/>
      <c r="V32" s="176"/>
      <c r="W32" s="176">
        <f>$I$32/6</f>
        <v>12500</v>
      </c>
      <c r="X32" s="176"/>
      <c r="Y32" s="176"/>
      <c r="Z32" s="229"/>
      <c r="AC32" s="72"/>
      <c r="AD32" s="72"/>
      <c r="AE32" s="72">
        <v>2014</v>
      </c>
      <c r="AF32" s="72">
        <v>2015</v>
      </c>
    </row>
    <row r="33" spans="1:34" ht="14.45" hidden="1" customHeight="1" x14ac:dyDescent="0.3">
      <c r="A33" s="186" t="s">
        <v>136</v>
      </c>
      <c r="B33" s="181">
        <v>84710</v>
      </c>
      <c r="C33" s="181" t="s">
        <v>128</v>
      </c>
      <c r="D33" s="181" t="s">
        <v>99</v>
      </c>
      <c r="E33" s="181" t="s">
        <v>131</v>
      </c>
      <c r="F33" s="180" t="s">
        <v>132</v>
      </c>
      <c r="G33" s="176">
        <f>'Custo '!H76</f>
        <v>300000</v>
      </c>
      <c r="H33" s="183" t="s">
        <v>138</v>
      </c>
      <c r="I33" s="202">
        <f>'Custo '!H76</f>
        <v>300000</v>
      </c>
      <c r="J33" s="200"/>
      <c r="K33" s="176"/>
      <c r="L33" s="176"/>
      <c r="M33" s="176">
        <f>$I$33/8</f>
        <v>37500</v>
      </c>
      <c r="N33" s="176">
        <f>$I$33/8</f>
        <v>37500</v>
      </c>
      <c r="O33" s="176"/>
      <c r="P33" s="176">
        <f>$I$33/8</f>
        <v>37500</v>
      </c>
      <c r="Q33" s="176">
        <f>$I$33/8</f>
        <v>37500</v>
      </c>
      <c r="R33" s="176">
        <f>$I$33/8</f>
        <v>37500</v>
      </c>
      <c r="S33" s="176">
        <f>$I$33/8</f>
        <v>37500</v>
      </c>
      <c r="T33" s="176">
        <f>$I$33/8</f>
        <v>37500</v>
      </c>
      <c r="U33" s="176"/>
      <c r="V33" s="176"/>
      <c r="W33" s="176">
        <f>$I$33/8</f>
        <v>37500</v>
      </c>
      <c r="X33" s="176"/>
      <c r="Y33" s="176"/>
      <c r="Z33" s="229"/>
      <c r="AC33" s="72" t="s">
        <v>143</v>
      </c>
      <c r="AD33" s="72"/>
      <c r="AE33" s="72">
        <f>AE17+AE28</f>
        <v>1160193.1333333333</v>
      </c>
      <c r="AF33" s="72">
        <f>AF28+AF17</f>
        <v>1371045.8666666667</v>
      </c>
    </row>
    <row r="34" spans="1:34" ht="14.45" hidden="1" customHeight="1" x14ac:dyDescent="0.3">
      <c r="A34" s="186" t="s">
        <v>136</v>
      </c>
      <c r="B34" s="181">
        <v>84710</v>
      </c>
      <c r="C34" s="181" t="s">
        <v>128</v>
      </c>
      <c r="D34" s="181" t="s">
        <v>100</v>
      </c>
      <c r="E34" s="181" t="s">
        <v>13</v>
      </c>
      <c r="F34" s="180" t="s">
        <v>133</v>
      </c>
      <c r="G34" s="176">
        <f>'Custo '!H83+'Custo '!H84+'Custo '!H85</f>
        <v>337000</v>
      </c>
      <c r="H34" s="183" t="s">
        <v>138</v>
      </c>
      <c r="I34" s="202">
        <f>'Custo '!H83+'Custo '!H84+'Custo '!H85</f>
        <v>337000</v>
      </c>
      <c r="J34" s="200"/>
      <c r="K34" s="176"/>
      <c r="L34" s="176"/>
      <c r="M34" s="176">
        <f>$I$34/6</f>
        <v>56166.666666666664</v>
      </c>
      <c r="N34" s="176">
        <f>$I$34/6</f>
        <v>56166.666666666664</v>
      </c>
      <c r="O34" s="176"/>
      <c r="P34" s="176"/>
      <c r="Q34" s="176"/>
      <c r="R34" s="176">
        <f>$I$34/6</f>
        <v>56166.666666666664</v>
      </c>
      <c r="S34" s="176">
        <f>$I$34/6</f>
        <v>56166.666666666664</v>
      </c>
      <c r="T34" s="176">
        <f>$I$34/6</f>
        <v>56166.666666666664</v>
      </c>
      <c r="U34" s="176"/>
      <c r="V34" s="176"/>
      <c r="W34" s="176">
        <f>$I$34/6</f>
        <v>56166.666666666664</v>
      </c>
      <c r="X34" s="176"/>
      <c r="Y34" s="176"/>
      <c r="Z34" s="229"/>
      <c r="AC34" s="72"/>
      <c r="AD34" s="72"/>
      <c r="AE34" s="72"/>
      <c r="AF34" s="72"/>
    </row>
    <row r="35" spans="1:34" ht="14.45" hidden="1" customHeight="1" x14ac:dyDescent="0.3">
      <c r="A35" s="186" t="s">
        <v>136</v>
      </c>
      <c r="B35" s="181">
        <v>84710</v>
      </c>
      <c r="C35" s="181" t="s">
        <v>128</v>
      </c>
      <c r="D35" s="181" t="s">
        <v>69</v>
      </c>
      <c r="E35" s="181" t="s">
        <v>134</v>
      </c>
      <c r="F35" s="180" t="s">
        <v>116</v>
      </c>
      <c r="G35" s="176">
        <f>'Custo '!H86</f>
        <v>386873</v>
      </c>
      <c r="H35" s="183" t="s">
        <v>138</v>
      </c>
      <c r="I35" s="202">
        <f>'Custo '!H26</f>
        <v>386873</v>
      </c>
      <c r="J35" s="200"/>
      <c r="K35" s="176"/>
      <c r="L35" s="178"/>
      <c r="M35" s="176"/>
      <c r="N35" s="176"/>
      <c r="O35" s="176"/>
      <c r="P35" s="176"/>
      <c r="Q35" s="176"/>
      <c r="R35" s="176"/>
      <c r="S35" s="176"/>
      <c r="T35" s="176"/>
      <c r="U35" s="176"/>
      <c r="V35" s="176">
        <f>I35</f>
        <v>386873</v>
      </c>
      <c r="W35" s="176"/>
      <c r="X35" s="176"/>
      <c r="Y35" s="176"/>
      <c r="Z35" s="229"/>
      <c r="AC35" s="72"/>
      <c r="AD35" s="72"/>
      <c r="AE35" s="72"/>
      <c r="AF35" s="72"/>
    </row>
    <row r="36" spans="1:34" s="72" customFormat="1" x14ac:dyDescent="0.25">
      <c r="A36" s="181" t="s">
        <v>137</v>
      </c>
      <c r="B36" s="227">
        <v>84711</v>
      </c>
      <c r="C36" s="352" t="s">
        <v>151</v>
      </c>
      <c r="D36" s="181" t="s">
        <v>130</v>
      </c>
      <c r="E36" s="258" t="s">
        <v>3</v>
      </c>
      <c r="F36" s="244"/>
      <c r="G36" s="176"/>
      <c r="H36" s="183"/>
      <c r="I36" s="201" t="e">
        <f t="shared" ref="I36:I37" si="4">SUM(K36:Z36)</f>
        <v>#REF!</v>
      </c>
      <c r="J36" s="200"/>
      <c r="K36" s="176" t="e">
        <f>SUM(#REF!)</f>
        <v>#REF!</v>
      </c>
      <c r="L36" s="229"/>
      <c r="M36" s="229"/>
      <c r="N36" s="229"/>
      <c r="O36" s="229">
        <v>85939.197</v>
      </c>
      <c r="P36" s="229"/>
      <c r="Q36" s="229"/>
      <c r="R36" s="229"/>
      <c r="S36" s="229"/>
      <c r="T36" s="229"/>
      <c r="U36" s="229"/>
      <c r="V36" s="229">
        <v>85939.197</v>
      </c>
      <c r="W36" s="229">
        <v>114585.59600000001</v>
      </c>
      <c r="X36" s="229"/>
      <c r="Y36" s="229"/>
      <c r="Z36" s="229"/>
      <c r="AA36" s="235"/>
    </row>
    <row r="37" spans="1:34" s="72" customFormat="1" x14ac:dyDescent="0.25">
      <c r="A37" s="181" t="s">
        <v>137</v>
      </c>
      <c r="B37" s="227">
        <v>84711</v>
      </c>
      <c r="C37" s="353"/>
      <c r="D37" s="181" t="s">
        <v>103</v>
      </c>
      <c r="E37" s="258" t="s">
        <v>131</v>
      </c>
      <c r="F37" s="244"/>
      <c r="G37" s="176"/>
      <c r="H37" s="183"/>
      <c r="I37" s="201" t="e">
        <f t="shared" si="4"/>
        <v>#REF!</v>
      </c>
      <c r="J37" s="200"/>
      <c r="K37" s="176" t="e">
        <f>SUM(#REF!)</f>
        <v>#REF!</v>
      </c>
      <c r="L37" s="229"/>
      <c r="M37" s="229"/>
      <c r="N37" s="229"/>
      <c r="O37" s="229">
        <v>209632.35</v>
      </c>
      <c r="P37" s="229"/>
      <c r="Q37" s="229"/>
      <c r="R37" s="229"/>
      <c r="S37" s="229"/>
      <c r="T37" s="229"/>
      <c r="U37" s="229"/>
      <c r="V37" s="229">
        <v>209632.35</v>
      </c>
      <c r="W37" s="229">
        <v>279509.8</v>
      </c>
      <c r="X37" s="229"/>
      <c r="Y37" s="229"/>
      <c r="Z37" s="229"/>
      <c r="AA37" s="235"/>
    </row>
    <row r="38" spans="1:34" s="72" customFormat="1" x14ac:dyDescent="0.25">
      <c r="A38" s="181"/>
      <c r="B38" s="243"/>
      <c r="C38" s="243"/>
      <c r="D38" s="181"/>
      <c r="E38" s="262" t="s">
        <v>51</v>
      </c>
      <c r="F38" s="244"/>
      <c r="G38" s="176"/>
      <c r="H38" s="183"/>
      <c r="I38" s="221" t="e">
        <f>SUM(I36:I37)</f>
        <v>#REF!</v>
      </c>
      <c r="J38" s="200"/>
      <c r="K38" s="176"/>
      <c r="L38" s="245"/>
      <c r="M38" s="245"/>
      <c r="N38" s="245"/>
      <c r="O38" s="245">
        <f>SUM(O36:O37)</f>
        <v>295571.54700000002</v>
      </c>
      <c r="P38" s="245"/>
      <c r="Q38" s="245"/>
      <c r="R38" s="245"/>
      <c r="S38" s="245"/>
      <c r="T38" s="245"/>
      <c r="U38" s="245"/>
      <c r="V38" s="245">
        <f>SUM(V36:V37)</f>
        <v>295571.54700000002</v>
      </c>
      <c r="W38" s="245">
        <f>SUM(W36:W37)</f>
        <v>394095.39600000001</v>
      </c>
      <c r="X38" s="245"/>
      <c r="Y38" s="245"/>
      <c r="Z38" s="245"/>
      <c r="AA38" s="235">
        <f>SUM(N38:X38)</f>
        <v>985238.49</v>
      </c>
    </row>
    <row r="39" spans="1:34" x14ac:dyDescent="0.25">
      <c r="A39" s="181"/>
    </row>
    <row r="41" spans="1:34" x14ac:dyDescent="0.25">
      <c r="AA41" s="235">
        <f>AA38+AA24+AA16+AA14+AA12+AA10</f>
        <v>7539908.6399999997</v>
      </c>
    </row>
    <row r="45" spans="1:34" ht="23.25" x14ac:dyDescent="0.35">
      <c r="AC45" s="271" t="s">
        <v>156</v>
      </c>
    </row>
    <row r="46" spans="1:34" x14ac:dyDescent="0.25">
      <c r="AC46" s="269" t="s">
        <v>117</v>
      </c>
      <c r="AD46" s="269" t="s">
        <v>142</v>
      </c>
      <c r="AE46" s="270">
        <v>2014</v>
      </c>
      <c r="AF46" s="270">
        <v>2015</v>
      </c>
      <c r="AH46" s="270" t="s">
        <v>159</v>
      </c>
    </row>
    <row r="47" spans="1:34" x14ac:dyDescent="0.25">
      <c r="AC47" s="263">
        <f>B7</f>
        <v>84137</v>
      </c>
      <c r="AD47" s="224" t="s">
        <v>119</v>
      </c>
      <c r="AE47" s="222">
        <f>SUM(L7:S8)</f>
        <v>292000</v>
      </c>
      <c r="AF47" s="222">
        <f>SUM(T8:W8)</f>
        <v>126000</v>
      </c>
      <c r="AH47" s="234">
        <f>AE47+AF47</f>
        <v>418000</v>
      </c>
    </row>
    <row r="48" spans="1:34" x14ac:dyDescent="0.25">
      <c r="AC48" s="264">
        <f>B9</f>
        <v>84200</v>
      </c>
      <c r="AD48" s="226" t="s">
        <v>113</v>
      </c>
      <c r="AE48" s="234">
        <f>SUM(L9:S9)</f>
        <v>1805427.08</v>
      </c>
      <c r="AF48" s="234"/>
      <c r="AH48" s="234">
        <f t="shared" ref="AH48:AH53" si="5">AE48+AF48</f>
        <v>1805427.08</v>
      </c>
    </row>
    <row r="49" spans="10:34" x14ac:dyDescent="0.25">
      <c r="AC49" s="264">
        <v>83882</v>
      </c>
      <c r="AD49" s="226" t="s">
        <v>121</v>
      </c>
      <c r="AE49" s="234">
        <f>SUM(L12:S12)</f>
        <v>582478.29149999993</v>
      </c>
      <c r="AF49" s="234">
        <f>SUM(T12:Z12)</f>
        <v>388318.86100000003</v>
      </c>
      <c r="AH49" s="234">
        <f t="shared" si="5"/>
        <v>970797.15249999997</v>
      </c>
    </row>
    <row r="50" spans="10:34" x14ac:dyDescent="0.25">
      <c r="AC50" s="265">
        <v>83909</v>
      </c>
      <c r="AD50" s="225" t="s">
        <v>127</v>
      </c>
      <c r="AE50" s="223">
        <f>SUM(L14:S14)</f>
        <v>457383.3075</v>
      </c>
      <c r="AF50" s="223"/>
      <c r="AH50" s="234">
        <f t="shared" si="5"/>
        <v>457383.3075</v>
      </c>
    </row>
    <row r="51" spans="10:34" x14ac:dyDescent="0.25">
      <c r="AC51" s="264">
        <v>83907</v>
      </c>
      <c r="AD51" s="226" t="s">
        <v>149</v>
      </c>
      <c r="AE51" s="234">
        <f>SUM(L16:S16)</f>
        <v>371823.61</v>
      </c>
      <c r="AF51" s="234"/>
      <c r="AH51" s="234">
        <f t="shared" si="5"/>
        <v>371823.61</v>
      </c>
    </row>
    <row r="52" spans="10:34" s="72" customFormat="1" x14ac:dyDescent="0.25">
      <c r="J52" s="73"/>
      <c r="AC52" s="265">
        <v>84710</v>
      </c>
      <c r="AD52" s="225" t="s">
        <v>153</v>
      </c>
      <c r="AE52" s="223">
        <f>SUM(L24:S24)</f>
        <v>1272526.4666666666</v>
      </c>
      <c r="AF52" s="223">
        <f>SUM($T$20:$Z$23)</f>
        <v>1258712.5333333334</v>
      </c>
      <c r="AH52" s="234">
        <f t="shared" si="5"/>
        <v>2531239</v>
      </c>
    </row>
    <row r="53" spans="10:34" x14ac:dyDescent="0.25">
      <c r="AC53" s="268">
        <v>84711</v>
      </c>
      <c r="AD53" s="266" t="s">
        <v>166</v>
      </c>
      <c r="AE53" s="267">
        <f>SUM(L36:S37)</f>
        <v>295571.54700000002</v>
      </c>
      <c r="AF53" s="267">
        <f>SUM(T36:Z37)</f>
        <v>689666.94299999997</v>
      </c>
      <c r="AH53" s="267">
        <f t="shared" si="5"/>
        <v>985238.49</v>
      </c>
    </row>
    <row r="54" spans="10:34" ht="5.45" customHeight="1" x14ac:dyDescent="0.25">
      <c r="AC54" s="243"/>
      <c r="AD54" s="243"/>
      <c r="AE54" s="200"/>
      <c r="AF54" s="200"/>
    </row>
    <row r="55" spans="10:34" ht="15.75" x14ac:dyDescent="0.25">
      <c r="AC55" s="354" t="s">
        <v>51</v>
      </c>
      <c r="AD55" s="354"/>
      <c r="AE55" s="273">
        <f>SUM(AE47:AE53)</f>
        <v>5077210.3026666669</v>
      </c>
      <c r="AF55" s="273">
        <f>SUM(AF47:AF53)</f>
        <v>2462698.3373333337</v>
      </c>
      <c r="AG55" s="72"/>
      <c r="AH55" s="273">
        <f>SUM(AH47:AH53)</f>
        <v>7539908.6400000006</v>
      </c>
    </row>
    <row r="57" spans="10:34" s="72" customFormat="1" x14ac:dyDescent="0.25">
      <c r="J57" s="73"/>
    </row>
    <row r="58" spans="10:34" ht="19.149999999999999" customHeight="1" x14ac:dyDescent="0.35">
      <c r="AC58" s="271" t="s">
        <v>155</v>
      </c>
    </row>
    <row r="59" spans="10:34" x14ac:dyDescent="0.25">
      <c r="AC59" s="269" t="s">
        <v>117</v>
      </c>
      <c r="AD59" s="269" t="s">
        <v>142</v>
      </c>
      <c r="AE59" s="270">
        <v>2014</v>
      </c>
      <c r="AF59" s="270">
        <v>2015</v>
      </c>
      <c r="AH59" s="270" t="s">
        <v>159</v>
      </c>
    </row>
    <row r="60" spans="10:34" x14ac:dyDescent="0.25">
      <c r="AC60" s="265">
        <v>84710</v>
      </c>
      <c r="AD60" s="225" t="s">
        <v>153</v>
      </c>
      <c r="AE60" s="223">
        <f>SUM(L20:S23)</f>
        <v>1272526.466666667</v>
      </c>
      <c r="AF60" s="223">
        <f>SUM($T$20:$Z$23)</f>
        <v>1258712.5333333334</v>
      </c>
      <c r="AH60" s="277">
        <f t="shared" ref="AH60" si="6">AE60+AF60</f>
        <v>2531239.0000000005</v>
      </c>
    </row>
    <row r="61" spans="10:34" s="72" customFormat="1" x14ac:dyDescent="0.25">
      <c r="J61" s="73"/>
      <c r="AC61" s="272"/>
      <c r="AD61" s="243"/>
      <c r="AE61" s="200"/>
      <c r="AF61" s="200"/>
    </row>
    <row r="62" spans="10:34" ht="6" customHeight="1" x14ac:dyDescent="0.25">
      <c r="AC62" s="243"/>
      <c r="AD62" s="243"/>
      <c r="AE62" s="200"/>
      <c r="AF62" s="200"/>
    </row>
    <row r="63" spans="10:34" ht="15.75" x14ac:dyDescent="0.25">
      <c r="AC63" s="354" t="s">
        <v>154</v>
      </c>
      <c r="AD63" s="354"/>
      <c r="AE63" s="273">
        <f>AE60+AE55</f>
        <v>6349736.7693333337</v>
      </c>
      <c r="AF63" s="273">
        <f>AF60+AF55</f>
        <v>3721410.8706666669</v>
      </c>
      <c r="AH63" s="273">
        <f t="shared" ref="AH63" si="7">AE63+AF63</f>
        <v>10071147.640000001</v>
      </c>
    </row>
  </sheetData>
  <mergeCells count="7">
    <mergeCell ref="C36:C37"/>
    <mergeCell ref="AC55:AD55"/>
    <mergeCell ref="AC63:AD63"/>
    <mergeCell ref="L3:S3"/>
    <mergeCell ref="T3:Z3"/>
    <mergeCell ref="C7:C9"/>
    <mergeCell ref="C20:C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47" workbookViewId="0">
      <selection activeCell="D75" sqref="D75"/>
    </sheetView>
  </sheetViews>
  <sheetFormatPr defaultRowHeight="15" x14ac:dyDescent="0.25"/>
  <cols>
    <col min="1" max="3" width="9.140625" style="76"/>
    <col min="4" max="4" width="46.85546875" style="76" customWidth="1"/>
    <col min="5" max="5" width="21" style="76" customWidth="1"/>
    <col min="6" max="6" width="1.140625" style="76" customWidth="1"/>
    <col min="7" max="7" width="18.42578125" style="76" bestFit="1" customWidth="1"/>
    <col min="8" max="8" width="0.5703125" style="76" customWidth="1"/>
    <col min="9" max="9" width="8.5703125" style="76" customWidth="1"/>
    <col min="10" max="10" width="0.5703125" style="76" customWidth="1"/>
    <col min="11" max="11" width="47.140625" style="76" bestFit="1" customWidth="1"/>
    <col min="12" max="16384" width="9.140625" style="76"/>
  </cols>
  <sheetData>
    <row r="1" spans="1:11" ht="15.75" customHeight="1" thickBot="1" x14ac:dyDescent="0.3">
      <c r="A1" s="344" t="s">
        <v>205</v>
      </c>
      <c r="B1" s="344"/>
      <c r="C1" s="344"/>
      <c r="D1" s="344"/>
      <c r="E1" s="296" t="s">
        <v>169</v>
      </c>
      <c r="G1" s="341" t="s">
        <v>223</v>
      </c>
      <c r="H1" s="342"/>
      <c r="I1" s="342"/>
      <c r="J1" s="342"/>
      <c r="K1" s="343"/>
    </row>
    <row r="2" spans="1:11" ht="15.75" thickBot="1" x14ac:dyDescent="0.3">
      <c r="A2" s="345"/>
      <c r="B2" s="345"/>
      <c r="C2" s="345"/>
      <c r="D2" s="345"/>
      <c r="E2" s="88" t="s">
        <v>164</v>
      </c>
      <c r="G2" s="311" t="s">
        <v>224</v>
      </c>
      <c r="H2" s="74"/>
      <c r="I2" s="311" t="s">
        <v>167</v>
      </c>
      <c r="K2" s="311" t="s">
        <v>206</v>
      </c>
    </row>
    <row r="3" spans="1:11" x14ac:dyDescent="0.25">
      <c r="A3" s="89" t="s">
        <v>0</v>
      </c>
      <c r="B3" s="90"/>
      <c r="C3" s="89"/>
      <c r="D3" s="90"/>
      <c r="E3" s="91">
        <v>2223427.08</v>
      </c>
      <c r="G3" s="312">
        <f>SUM(G5:G8)</f>
        <v>2530167.1800000002</v>
      </c>
      <c r="H3" s="74"/>
      <c r="I3" s="313">
        <f>G3/E3-1</f>
        <v>0.13795824597045026</v>
      </c>
      <c r="K3" s="313"/>
    </row>
    <row r="4" spans="1:11" ht="15.75" x14ac:dyDescent="0.3">
      <c r="A4" s="92"/>
      <c r="B4" s="93" t="s">
        <v>38</v>
      </c>
      <c r="C4" s="93"/>
      <c r="D4" s="94"/>
      <c r="E4" s="96"/>
      <c r="G4" s="314"/>
      <c r="H4" s="74"/>
      <c r="I4" s="315"/>
      <c r="K4" s="315"/>
    </row>
    <row r="5" spans="1:11" ht="15.75" x14ac:dyDescent="0.3">
      <c r="A5" s="92"/>
      <c r="B5" s="93"/>
      <c r="C5" s="97" t="s">
        <v>145</v>
      </c>
      <c r="D5" s="94"/>
      <c r="E5" s="159">
        <v>1805427</v>
      </c>
      <c r="G5" s="316">
        <v>1995964</v>
      </c>
      <c r="H5" s="74"/>
      <c r="I5" s="317">
        <f>G5/E5-1</f>
        <v>0.10553569875713609</v>
      </c>
      <c r="K5" s="317" t="s">
        <v>216</v>
      </c>
    </row>
    <row r="6" spans="1:11" ht="15.75" x14ac:dyDescent="0.3">
      <c r="A6" s="92"/>
      <c r="B6" s="93"/>
      <c r="C6" s="97" t="s">
        <v>40</v>
      </c>
      <c r="D6" s="94"/>
      <c r="E6" s="159">
        <v>148000</v>
      </c>
      <c r="G6" s="316">
        <v>179203.18</v>
      </c>
      <c r="H6" s="74"/>
      <c r="I6" s="317">
        <f t="shared" ref="I6:I8" si="0">G6/E6-1</f>
        <v>0.21083229729729736</v>
      </c>
      <c r="K6" s="317" t="s">
        <v>215</v>
      </c>
    </row>
    <row r="7" spans="1:11" ht="15.75" x14ac:dyDescent="0.3">
      <c r="A7" s="92"/>
      <c r="B7" s="93"/>
      <c r="C7" s="97" t="s">
        <v>41</v>
      </c>
      <c r="D7" s="94"/>
      <c r="E7" s="159">
        <v>270000</v>
      </c>
      <c r="G7" s="316">
        <v>270000</v>
      </c>
      <c r="H7" s="74"/>
      <c r="I7" s="317">
        <f t="shared" si="0"/>
        <v>0</v>
      </c>
      <c r="K7" s="315" t="s">
        <v>217</v>
      </c>
    </row>
    <row r="8" spans="1:11" ht="15.75" x14ac:dyDescent="0.3">
      <c r="A8" s="92"/>
      <c r="B8" s="93"/>
      <c r="C8" s="97" t="s">
        <v>204</v>
      </c>
      <c r="D8" s="94"/>
      <c r="E8" s="96">
        <v>85000</v>
      </c>
      <c r="G8" s="316">
        <v>85000</v>
      </c>
      <c r="H8" s="74"/>
      <c r="I8" s="317">
        <f t="shared" si="0"/>
        <v>0</v>
      </c>
      <c r="K8" s="315" t="s">
        <v>217</v>
      </c>
    </row>
    <row r="9" spans="1:11" ht="2.25" customHeight="1" thickBot="1" x14ac:dyDescent="0.35">
      <c r="A9" s="98"/>
      <c r="B9" s="99"/>
      <c r="C9" s="100"/>
      <c r="D9" s="101"/>
      <c r="E9" s="102"/>
      <c r="G9" s="319"/>
      <c r="H9" s="74"/>
      <c r="I9" s="320"/>
      <c r="K9" s="320"/>
    </row>
    <row r="10" spans="1:11" ht="15.75" customHeight="1" x14ac:dyDescent="0.25">
      <c r="A10" s="103" t="s">
        <v>10</v>
      </c>
      <c r="B10" s="104"/>
      <c r="C10" s="104"/>
      <c r="D10" s="105"/>
      <c r="E10" s="107">
        <v>970797.15249999997</v>
      </c>
      <c r="G10" s="312">
        <v>970797</v>
      </c>
      <c r="H10" s="74"/>
      <c r="I10" s="313">
        <f>G10/E10-1</f>
        <v>-1.5708739931064031E-7</v>
      </c>
      <c r="K10" s="313"/>
    </row>
    <row r="11" spans="1:11" ht="2.25" customHeight="1" thickBot="1" x14ac:dyDescent="0.3">
      <c r="A11" s="108"/>
      <c r="B11" s="109"/>
      <c r="C11" s="109"/>
      <c r="D11" s="110"/>
      <c r="E11" s="112"/>
      <c r="G11" s="321"/>
      <c r="H11" s="74"/>
      <c r="I11" s="321"/>
      <c r="K11" s="321"/>
    </row>
    <row r="12" spans="1:11" x14ac:dyDescent="0.25">
      <c r="A12" s="103" t="s">
        <v>15</v>
      </c>
      <c r="B12" s="104"/>
      <c r="C12" s="104"/>
      <c r="D12" s="105"/>
      <c r="E12" s="107">
        <v>457383.3075</v>
      </c>
      <c r="G12" s="312">
        <f>SUM(G14:G19)</f>
        <v>1002576.3500000001</v>
      </c>
      <c r="H12" s="74"/>
      <c r="I12" s="313">
        <f>G12/E12-1</f>
        <v>1.1919828152014493</v>
      </c>
      <c r="K12" s="313"/>
    </row>
    <row r="13" spans="1:11" ht="15.75" x14ac:dyDescent="0.3">
      <c r="A13" s="113"/>
      <c r="B13" s="114" t="s">
        <v>44</v>
      </c>
      <c r="C13" s="114"/>
      <c r="D13" s="115"/>
      <c r="E13" s="116"/>
      <c r="G13" s="314"/>
      <c r="H13" s="74"/>
      <c r="I13" s="315"/>
      <c r="K13" s="315"/>
    </row>
    <row r="14" spans="1:11" ht="15.75" x14ac:dyDescent="0.3">
      <c r="A14" s="113"/>
      <c r="B14" s="114"/>
      <c r="C14" s="161" t="s">
        <v>208</v>
      </c>
      <c r="D14" s="115"/>
      <c r="E14" s="162">
        <v>457383</v>
      </c>
      <c r="G14" s="314">
        <v>512744.46</v>
      </c>
      <c r="H14" s="74"/>
      <c r="I14" s="317">
        <f>G14/E14-1</f>
        <v>0.12103961012980369</v>
      </c>
      <c r="K14" s="315" t="s">
        <v>218</v>
      </c>
    </row>
    <row r="15" spans="1:11" ht="15.75" x14ac:dyDescent="0.3">
      <c r="A15" s="113"/>
      <c r="B15" s="114" t="s">
        <v>209</v>
      </c>
      <c r="C15" s="114"/>
      <c r="D15" s="115"/>
      <c r="E15" s="162"/>
      <c r="G15" s="314"/>
      <c r="H15" s="74"/>
      <c r="I15" s="317"/>
      <c r="K15" s="315"/>
    </row>
    <row r="16" spans="1:11" ht="15.75" x14ac:dyDescent="0.3">
      <c r="A16" s="113"/>
      <c r="B16" s="114"/>
      <c r="C16" s="161" t="s">
        <v>210</v>
      </c>
      <c r="D16" s="115"/>
      <c r="E16" s="162">
        <f>E60</f>
        <v>0</v>
      </c>
      <c r="G16" s="314">
        <v>34090.879999999997</v>
      </c>
      <c r="H16" s="74"/>
      <c r="I16" s="317"/>
      <c r="K16" s="315" t="s">
        <v>219</v>
      </c>
    </row>
    <row r="17" spans="1:11" ht="15.75" x14ac:dyDescent="0.3">
      <c r="A17" s="113"/>
      <c r="B17" s="114"/>
      <c r="C17" s="161" t="s">
        <v>211</v>
      </c>
      <c r="D17" s="115"/>
      <c r="E17" s="162">
        <f>SUM(E61:E70)</f>
        <v>0</v>
      </c>
      <c r="G17" s="314">
        <v>309413.45</v>
      </c>
      <c r="H17" s="74"/>
      <c r="I17" s="317"/>
      <c r="K17" s="315" t="s">
        <v>219</v>
      </c>
    </row>
    <row r="18" spans="1:11" ht="15.75" x14ac:dyDescent="0.3">
      <c r="A18" s="113"/>
      <c r="B18" s="114"/>
      <c r="C18" s="161" t="s">
        <v>212</v>
      </c>
      <c r="D18" s="115"/>
      <c r="E18" s="162">
        <f>E64</f>
        <v>0</v>
      </c>
      <c r="G18" s="314">
        <v>62779.54</v>
      </c>
      <c r="H18" s="74"/>
      <c r="I18" s="317"/>
      <c r="K18" s="315" t="s">
        <v>219</v>
      </c>
    </row>
    <row r="19" spans="1:11" ht="15.75" x14ac:dyDescent="0.3">
      <c r="A19" s="113"/>
      <c r="B19" s="114"/>
      <c r="C19" s="161" t="s">
        <v>213</v>
      </c>
      <c r="D19" s="115"/>
      <c r="E19" s="162"/>
      <c r="G19" s="314">
        <v>83548.02</v>
      </c>
      <c r="H19" s="74"/>
      <c r="I19" s="315"/>
      <c r="K19" s="315" t="s">
        <v>219</v>
      </c>
    </row>
    <row r="20" spans="1:11" ht="1.5" customHeight="1" thickBot="1" x14ac:dyDescent="0.3">
      <c r="A20" s="108"/>
      <c r="B20" s="109"/>
      <c r="C20" s="109"/>
      <c r="D20" s="110"/>
      <c r="E20" s="112"/>
      <c r="G20" s="321"/>
      <c r="H20" s="74"/>
      <c r="I20" s="321"/>
      <c r="K20" s="321"/>
    </row>
    <row r="21" spans="1:11" x14ac:dyDescent="0.25">
      <c r="A21" s="103" t="s">
        <v>106</v>
      </c>
      <c r="B21" s="158"/>
      <c r="C21" s="158"/>
      <c r="D21" s="105"/>
      <c r="E21" s="107">
        <v>371823.61</v>
      </c>
      <c r="G21" s="312">
        <v>521824</v>
      </c>
      <c r="H21" s="74"/>
      <c r="I21" s="313">
        <f>G21/E21-1</f>
        <v>0.4034181422745049</v>
      </c>
      <c r="K21" s="313" t="s">
        <v>220</v>
      </c>
    </row>
    <row r="22" spans="1:11" ht="2.25" customHeight="1" thickBot="1" x14ac:dyDescent="0.3">
      <c r="A22" s="108"/>
      <c r="B22" s="109"/>
      <c r="C22" s="109"/>
      <c r="D22" s="110"/>
      <c r="E22" s="112"/>
      <c r="G22" s="321"/>
      <c r="H22" s="74"/>
      <c r="I22" s="320"/>
      <c r="K22" s="320"/>
    </row>
    <row r="23" spans="1:11" x14ac:dyDescent="0.25">
      <c r="A23" s="103" t="s">
        <v>107</v>
      </c>
      <c r="B23" s="104"/>
      <c r="C23" s="104"/>
      <c r="D23" s="105"/>
      <c r="E23" s="107">
        <f>SUM(E25:E29)</f>
        <v>2531239</v>
      </c>
      <c r="G23" s="312">
        <f>SUM(G25:G29)</f>
        <v>2535566</v>
      </c>
      <c r="H23" s="74"/>
      <c r="I23" s="313">
        <f>G23/E23-1</f>
        <v>1.709439527440848E-3</v>
      </c>
      <c r="K23" s="313"/>
    </row>
    <row r="24" spans="1:11" ht="15.75" x14ac:dyDescent="0.3">
      <c r="A24" s="113"/>
      <c r="B24" s="114" t="s">
        <v>44</v>
      </c>
      <c r="C24" s="114"/>
      <c r="D24" s="115"/>
      <c r="E24" s="116"/>
      <c r="G24" s="314"/>
      <c r="H24" s="74"/>
      <c r="I24" s="315"/>
      <c r="K24" s="315"/>
    </row>
    <row r="25" spans="1:11" ht="15.75" x14ac:dyDescent="0.3">
      <c r="A25" s="113"/>
      <c r="B25" s="114"/>
      <c r="C25" s="161" t="s">
        <v>71</v>
      </c>
      <c r="D25" s="115"/>
      <c r="E25" s="162">
        <v>469998</v>
      </c>
      <c r="G25" s="314">
        <v>469998</v>
      </c>
      <c r="H25" s="74"/>
      <c r="I25" s="317">
        <f>G25/E25-1</f>
        <v>0</v>
      </c>
      <c r="K25" s="315" t="s">
        <v>221</v>
      </c>
    </row>
    <row r="26" spans="1:11" ht="15.75" x14ac:dyDescent="0.3">
      <c r="A26" s="113"/>
      <c r="B26" s="114" t="s">
        <v>45</v>
      </c>
      <c r="C26" s="114"/>
      <c r="D26" s="115"/>
      <c r="E26" s="162"/>
      <c r="G26" s="314"/>
      <c r="H26" s="74"/>
      <c r="I26" s="317"/>
      <c r="K26" s="315"/>
    </row>
    <row r="27" spans="1:11" ht="15.75" x14ac:dyDescent="0.3">
      <c r="A27" s="113"/>
      <c r="B27" s="114"/>
      <c r="C27" s="161" t="s">
        <v>46</v>
      </c>
      <c r="D27" s="115"/>
      <c r="E27" s="162">
        <v>400368</v>
      </c>
      <c r="G27" s="314">
        <v>400368</v>
      </c>
      <c r="H27" s="74"/>
      <c r="I27" s="317">
        <f t="shared" ref="I27:I29" si="1">G27/E27-1</f>
        <v>0</v>
      </c>
      <c r="K27" s="315" t="s">
        <v>221</v>
      </c>
    </row>
    <row r="28" spans="1:11" ht="15.75" x14ac:dyDescent="0.3">
      <c r="A28" s="113"/>
      <c r="B28" s="114"/>
      <c r="C28" s="161" t="s">
        <v>47</v>
      </c>
      <c r="D28" s="115"/>
      <c r="E28" s="162">
        <v>1274000</v>
      </c>
      <c r="G28" s="314">
        <v>1274000</v>
      </c>
      <c r="H28" s="74"/>
      <c r="I28" s="317">
        <f t="shared" si="1"/>
        <v>0</v>
      </c>
      <c r="K28" s="315" t="s">
        <v>221</v>
      </c>
    </row>
    <row r="29" spans="1:11" ht="15.75" x14ac:dyDescent="0.3">
      <c r="A29" s="113"/>
      <c r="B29" s="114" t="s">
        <v>207</v>
      </c>
      <c r="C29" s="161"/>
      <c r="D29" s="115"/>
      <c r="E29" s="162">
        <v>386873</v>
      </c>
      <c r="G29" s="314">
        <v>391200</v>
      </c>
      <c r="H29" s="74"/>
      <c r="I29" s="317">
        <f t="shared" si="1"/>
        <v>1.1184548934663363E-2</v>
      </c>
      <c r="K29" s="315" t="s">
        <v>225</v>
      </c>
    </row>
    <row r="30" spans="1:11" ht="3" customHeight="1" thickBot="1" x14ac:dyDescent="0.35">
      <c r="A30" s="118"/>
      <c r="B30" s="119"/>
      <c r="C30" s="120"/>
      <c r="D30" s="121"/>
      <c r="E30" s="123"/>
      <c r="G30" s="324"/>
      <c r="H30" s="74"/>
      <c r="I30" s="325"/>
      <c r="K30" s="325"/>
    </row>
    <row r="31" spans="1:11" x14ac:dyDescent="0.25">
      <c r="A31" s="103" t="s">
        <v>108</v>
      </c>
      <c r="B31" s="104"/>
      <c r="C31" s="104"/>
      <c r="D31" s="105"/>
      <c r="E31" s="107">
        <f>SUM(E33:E35)</f>
        <v>985238.99</v>
      </c>
      <c r="G31" s="312">
        <v>1194871</v>
      </c>
      <c r="H31" s="74"/>
      <c r="I31" s="313">
        <f>G31/E31-1</f>
        <v>0.21277275070082236</v>
      </c>
      <c r="K31" s="313"/>
    </row>
    <row r="32" spans="1:11" ht="15.75" x14ac:dyDescent="0.3">
      <c r="A32" s="113"/>
      <c r="B32" s="114" t="s">
        <v>48</v>
      </c>
      <c r="C32" s="117"/>
      <c r="D32" s="115"/>
      <c r="E32" s="116"/>
      <c r="G32" s="314"/>
      <c r="H32" s="74"/>
      <c r="I32" s="315"/>
      <c r="K32" s="315"/>
    </row>
    <row r="33" spans="1:11" ht="15.75" x14ac:dyDescent="0.3">
      <c r="A33" s="113"/>
      <c r="B33" s="114"/>
      <c r="C33" s="161" t="s">
        <v>46</v>
      </c>
      <c r="D33" s="115"/>
      <c r="E33" s="162">
        <v>286463.99</v>
      </c>
      <c r="G33" s="314">
        <v>286464</v>
      </c>
      <c r="H33" s="74"/>
      <c r="I33" s="317">
        <f t="shared" ref="I33:I34" si="2">G33/E33-1</f>
        <v>3.4908401502775632E-8</v>
      </c>
      <c r="K33" s="315" t="s">
        <v>221</v>
      </c>
    </row>
    <row r="34" spans="1:11" ht="15.75" x14ac:dyDescent="0.3">
      <c r="A34" s="113"/>
      <c r="B34" s="114"/>
      <c r="C34" s="161" t="s">
        <v>92</v>
      </c>
      <c r="D34" s="115"/>
      <c r="E34" s="162">
        <v>698775</v>
      </c>
      <c r="G34" s="314">
        <v>698775</v>
      </c>
      <c r="H34" s="74"/>
      <c r="I34" s="317">
        <f t="shared" si="2"/>
        <v>0</v>
      </c>
      <c r="K34" s="315" t="s">
        <v>221</v>
      </c>
    </row>
    <row r="35" spans="1:11" ht="15.75" x14ac:dyDescent="0.3">
      <c r="A35" s="113"/>
      <c r="B35" s="114"/>
      <c r="C35" s="161" t="s">
        <v>207</v>
      </c>
      <c r="D35" s="115"/>
      <c r="E35" s="116" t="s">
        <v>214</v>
      </c>
      <c r="G35" s="314">
        <f>G34*0.3</f>
        <v>209632.5</v>
      </c>
      <c r="H35" s="74"/>
      <c r="I35" s="315"/>
      <c r="K35" s="315" t="s">
        <v>222</v>
      </c>
    </row>
    <row r="36" spans="1:11" ht="16.5" thickBot="1" x14ac:dyDescent="0.35">
      <c r="A36" s="124"/>
      <c r="B36" s="125"/>
      <c r="C36" s="125"/>
      <c r="D36" s="126"/>
      <c r="E36" s="128"/>
      <c r="F36" s="74"/>
      <c r="G36" s="326"/>
      <c r="H36" s="74"/>
      <c r="I36" s="325"/>
      <c r="K36" s="325"/>
    </row>
    <row r="37" spans="1:11" ht="15.75" thickBot="1" x14ac:dyDescent="0.3">
      <c r="A37" s="168" t="s">
        <v>51</v>
      </c>
      <c r="B37" s="169"/>
      <c r="C37" s="169"/>
      <c r="D37" s="170"/>
      <c r="E37" s="172">
        <f>SUM(E31,E23,E21,E12,E10,E3)</f>
        <v>7539909.1399999997</v>
      </c>
      <c r="G37" s="327">
        <f>SUM(G31,G23,G21,G12,G10,G3)</f>
        <v>8755801.5299999993</v>
      </c>
      <c r="H37" s="75"/>
      <c r="I37" s="310"/>
      <c r="K37" s="310"/>
    </row>
  </sheetData>
  <mergeCells count="2">
    <mergeCell ref="G1:K1"/>
    <mergeCell ref="A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Custo </vt:lpstr>
      <vt:lpstr>Forecast (DRAFT) Resumido</vt:lpstr>
      <vt:lpstr>Racional Custo Final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cp:lastPrinted>2014-04-14T13:11:56Z</cp:lastPrinted>
  <dcterms:created xsi:type="dcterms:W3CDTF">2014-03-13T13:17:15Z</dcterms:created>
  <dcterms:modified xsi:type="dcterms:W3CDTF">2014-09-26T12:55:12Z</dcterms:modified>
</cp:coreProperties>
</file>