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EstaPasta_de_trabalho" defaultThemeVersion="124226"/>
  <bookViews>
    <workbookView xWindow="0" yWindow="60" windowWidth="12000" windowHeight="1950" firstSheet="1" activeTab="2"/>
  </bookViews>
  <sheets>
    <sheet name="old" sheetId="22" state="hidden" r:id="rId1"/>
    <sheet name="Resumo financeiro" sheetId="33" r:id="rId2"/>
    <sheet name="pts84710" sheetId="35" r:id="rId3"/>
    <sheet name="pts84711" sheetId="34" r:id="rId4"/>
    <sheet name="racional" sheetId="36" r:id="rId5"/>
  </sheets>
  <definedNames>
    <definedName name="_xlnm._FilterDatabase" localSheetId="0" hidden="1">old!$A$4:$M$16</definedName>
    <definedName name="_xlnm._FilterDatabase" localSheetId="2" hidden="1">'pts84710'!$B$9:$M$22</definedName>
    <definedName name="_xlnm._FilterDatabase" localSheetId="3" hidden="1">'pts84711'!$B$9:$M$17</definedName>
    <definedName name="_xlnm.Print_Area" localSheetId="0">old!$A$18:$M$35</definedName>
  </definedNames>
  <calcPr calcId="145621"/>
</workbook>
</file>

<file path=xl/calcChain.xml><?xml version="1.0" encoding="utf-8"?>
<calcChain xmlns="http://schemas.openxmlformats.org/spreadsheetml/2006/main">
  <c r="H11" i="33" l="1"/>
  <c r="H9" i="33"/>
  <c r="I15" i="34" l="1"/>
  <c r="I11" i="34"/>
  <c r="I19" i="35"/>
  <c r="I21" i="35"/>
  <c r="M9" i="33" l="1"/>
  <c r="M4" i="33"/>
  <c r="L18" i="33" s="1"/>
  <c r="L5" i="33" l="1"/>
  <c r="I14" i="34" l="1"/>
  <c r="I20" i="35"/>
  <c r="P10" i="33" l="1"/>
  <c r="P19" i="36"/>
  <c r="I12" i="34" l="1"/>
  <c r="E44" i="36" l="1"/>
  <c r="N6" i="33"/>
  <c r="N8" i="33"/>
  <c r="O10" i="33"/>
  <c r="O8" i="33"/>
  <c r="O6" i="33"/>
  <c r="H5" i="33"/>
  <c r="J5" i="33" s="1"/>
  <c r="N5" i="33" s="1"/>
  <c r="Q12" i="33"/>
  <c r="E42" i="36" l="1"/>
  <c r="N7" i="33" l="1"/>
  <c r="C32" i="33" l="1"/>
  <c r="E43" i="36" l="1"/>
  <c r="O9" i="33" l="1"/>
  <c r="I11" i="33"/>
  <c r="P11" i="33" s="1"/>
  <c r="O11" i="33" l="1"/>
  <c r="O12" i="33" s="1"/>
  <c r="P11" i="36" l="1"/>
  <c r="G27" i="36"/>
  <c r="H28" i="36"/>
  <c r="G28" i="36"/>
  <c r="P23" i="36"/>
  <c r="Q19" i="36"/>
  <c r="Q22" i="36" s="1"/>
  <c r="Q18" i="36"/>
  <c r="G15" i="36"/>
  <c r="G14" i="36"/>
  <c r="H25" i="36"/>
  <c r="H24" i="36"/>
  <c r="H23" i="36"/>
  <c r="H22" i="36"/>
  <c r="H21" i="36"/>
  <c r="H20" i="36"/>
  <c r="G18" i="36"/>
  <c r="H13" i="36"/>
  <c r="H12" i="36"/>
  <c r="H11" i="36"/>
  <c r="H10" i="36"/>
  <c r="P9" i="36"/>
  <c r="Q9" i="36" s="1"/>
  <c r="Q10" i="36" s="1"/>
  <c r="H9" i="36"/>
  <c r="Q8" i="36"/>
  <c r="H8" i="36"/>
  <c r="Q7" i="36"/>
  <c r="H7" i="36"/>
  <c r="H6" i="36"/>
  <c r="G5" i="36"/>
  <c r="G18" i="35"/>
  <c r="I17" i="35"/>
  <c r="J17" i="35" s="1"/>
  <c r="I16" i="35"/>
  <c r="I15" i="35"/>
  <c r="I14" i="35"/>
  <c r="I13" i="35"/>
  <c r="I12" i="35"/>
  <c r="I11" i="35"/>
  <c r="I10" i="35"/>
  <c r="K10" i="35" s="1"/>
  <c r="Q23" i="36" l="1"/>
  <c r="Q15" i="36"/>
  <c r="I18" i="35"/>
  <c r="I8" i="35" s="1"/>
  <c r="J4" i="35" s="1"/>
  <c r="Q11" i="36"/>
  <c r="P22" i="36"/>
  <c r="H27" i="36"/>
  <c r="P15" i="36"/>
  <c r="P10" i="36"/>
  <c r="H14" i="36"/>
  <c r="H15" i="36"/>
  <c r="P5" i="36"/>
  <c r="H5" i="36"/>
  <c r="H18" i="36"/>
  <c r="Q5" i="36"/>
  <c r="K17" i="35"/>
  <c r="K8" i="35" s="1"/>
  <c r="L17" i="35"/>
  <c r="L10" i="35"/>
  <c r="J10" i="35"/>
  <c r="J8" i="35" s="1"/>
  <c r="L8" i="35" l="1"/>
  <c r="I10" i="34" l="1"/>
  <c r="K10" i="34" s="1"/>
  <c r="K8" i="34" s="1"/>
  <c r="P9" i="33"/>
  <c r="I8" i="34" l="1"/>
  <c r="L10" i="34"/>
  <c r="L8" i="34" s="1"/>
  <c r="J10" i="34"/>
  <c r="J8" i="34" s="1"/>
  <c r="G12" i="33" l="1"/>
  <c r="Q16" i="33"/>
  <c r="Q17" i="33" s="1"/>
  <c r="F6" i="33"/>
  <c r="F8" i="33"/>
  <c r="F9" i="33"/>
  <c r="L12" i="33" l="1"/>
  <c r="N12" i="33"/>
  <c r="N13" i="33" s="1"/>
  <c r="K12" i="33"/>
  <c r="C12" i="33"/>
  <c r="B12" i="33"/>
  <c r="J10" i="33"/>
  <c r="E10" i="33"/>
  <c r="J9" i="33"/>
  <c r="E9" i="33"/>
  <c r="E8" i="33"/>
  <c r="J7" i="33"/>
  <c r="P7" i="33" s="1"/>
  <c r="E7" i="33"/>
  <c r="E6" i="33"/>
  <c r="E5" i="33"/>
  <c r="H4" i="33"/>
  <c r="E4" i="33"/>
  <c r="E12" i="33" l="1"/>
  <c r="J8" i="33"/>
  <c r="P8" i="33" s="1"/>
  <c r="H12" i="33"/>
  <c r="M12" i="33"/>
  <c r="K13" i="33" s="1"/>
  <c r="J4" i="33"/>
  <c r="J6" i="33"/>
  <c r="P6" i="33" s="1"/>
  <c r="F12" i="33" l="1"/>
  <c r="P4" i="33"/>
  <c r="P12" i="33" s="1"/>
  <c r="P13" i="33" l="1"/>
  <c r="O14" i="33" s="1"/>
  <c r="P16" i="33"/>
  <c r="P18" i="33"/>
  <c r="M31" i="22"/>
  <c r="D32" i="22"/>
  <c r="M30" i="22"/>
  <c r="M29" i="22"/>
  <c r="K21" i="22"/>
  <c r="K32" i="22"/>
  <c r="J32" i="22"/>
  <c r="I32" i="22"/>
  <c r="H32" i="22"/>
  <c r="G32" i="22"/>
  <c r="L30" i="22"/>
  <c r="L29" i="22"/>
  <c r="E28" i="22"/>
  <c r="E32" i="22" s="1"/>
  <c r="L27" i="22"/>
  <c r="M27" i="22" s="1"/>
  <c r="L26" i="22"/>
  <c r="M26" i="22" s="1"/>
  <c r="L25" i="22"/>
  <c r="L24" i="22"/>
  <c r="M24" i="22" s="1"/>
  <c r="L23" i="22"/>
  <c r="L22" i="22"/>
  <c r="F21" i="22"/>
  <c r="F32" i="22" s="1"/>
  <c r="L21" i="22" l="1"/>
  <c r="L32" i="22" s="1"/>
  <c r="L28" i="22"/>
  <c r="M21" i="22" l="1"/>
  <c r="M32" i="22" s="1"/>
  <c r="L33" i="22" l="1"/>
  <c r="F5" i="22" l="1"/>
  <c r="G15" i="22" l="1"/>
  <c r="H15" i="22"/>
  <c r="I15" i="22"/>
  <c r="J15" i="22"/>
  <c r="K15" i="22"/>
  <c r="D15" i="22"/>
  <c r="L14" i="22"/>
  <c r="L13" i="22"/>
  <c r="E12" i="22"/>
  <c r="L12" i="22" s="1"/>
  <c r="L9" i="22"/>
  <c r="L10" i="22"/>
  <c r="L11" i="22"/>
  <c r="L8" i="22"/>
  <c r="L6" i="22"/>
  <c r="L7" i="22"/>
  <c r="M15" i="22"/>
  <c r="L5" i="22"/>
  <c r="L15" i="22" l="1"/>
  <c r="L16" i="22" s="1"/>
  <c r="E15" i="22"/>
  <c r="F15" i="22"/>
  <c r="I12" i="33"/>
  <c r="J11" i="33"/>
  <c r="J12" i="33" l="1"/>
  <c r="D12" i="33"/>
</calcChain>
</file>

<file path=xl/comments1.xml><?xml version="1.0" encoding="utf-8"?>
<comments xmlns="http://schemas.openxmlformats.org/spreadsheetml/2006/main">
  <authors>
    <author>Edja Mara De M Souza Mattar</author>
  </authors>
  <commentList>
    <comment ref="N5" authorId="0">
      <text>
        <r>
          <rPr>
            <b/>
            <sz val="9"/>
            <color indexed="81"/>
            <rFont val="Segoe UI"/>
          </rPr>
          <t>Edja Mara De M Souza Mattar:</t>
        </r>
        <r>
          <rPr>
            <sz val="9"/>
            <color indexed="81"/>
            <rFont val="Segoe UI"/>
          </rPr>
          <t xml:space="preserve">
1.848.861 + 30k que foi transferido para FOI de infra</t>
        </r>
      </text>
    </comment>
    <comment ref="N7" authorId="0">
      <text>
        <r>
          <rPr>
            <b/>
            <sz val="9"/>
            <color indexed="81"/>
            <rFont val="Segoe UI"/>
            <family val="2"/>
          </rPr>
          <t>Edja Mara De M Souza Mattar:</t>
        </r>
        <r>
          <rPr>
            <sz val="9"/>
            <color indexed="81"/>
            <rFont val="Segoe UI"/>
            <family val="2"/>
          </rPr>
          <t xml:space="preserve">
parte milestone ti wedo postergado para 2015 = R$109.996,00</t>
        </r>
      </text>
    </comment>
    <comment ref="P7" authorId="0">
      <text>
        <r>
          <rPr>
            <b/>
            <sz val="9"/>
            <color indexed="81"/>
            <rFont val="Segoe UI"/>
            <family val="2"/>
          </rPr>
          <t>Edja Mara De M Souza Mattar:</t>
        </r>
        <r>
          <rPr>
            <sz val="9"/>
            <color indexed="81"/>
            <rFont val="Segoe UI"/>
            <family val="2"/>
          </rPr>
          <t xml:space="preserve">
parte milestone ti wedo postergado para 2015 = R$109.996,00</t>
        </r>
      </text>
    </comment>
    <comment ref="H9" authorId="0">
      <text>
        <r>
          <rPr>
            <b/>
            <sz val="9"/>
            <color indexed="81"/>
            <rFont val="Segoe UI"/>
            <family val="2"/>
          </rPr>
          <t>Edja Mara De M Souza Mattar:</t>
        </r>
        <r>
          <rPr>
            <sz val="9"/>
            <color indexed="81"/>
            <rFont val="Segoe UI"/>
            <family val="2"/>
          </rPr>
          <t xml:space="preserve">
incluido 150k do recurso de testes</t>
        </r>
      </text>
    </comment>
    <comment ref="I9" authorId="0">
      <text>
        <r>
          <rPr>
            <b/>
            <sz val="9"/>
            <color indexed="81"/>
            <rFont val="Segoe UI"/>
            <family val="2"/>
          </rPr>
          <t>Edja Mara De M Souza Mattar:</t>
        </r>
        <r>
          <rPr>
            <sz val="9"/>
            <color indexed="81"/>
            <rFont val="Segoe UI"/>
            <family val="2"/>
          </rPr>
          <t xml:space="preserve">
incluido valor referente a testes de ~127k (30% do desenvolvimento)</t>
        </r>
      </text>
    </comment>
    <comment ref="H10" authorId="0">
      <text>
        <r>
          <rPr>
            <b/>
            <sz val="9"/>
            <color indexed="81"/>
            <rFont val="Segoe UI"/>
            <family val="2"/>
          </rPr>
          <t>Edja Mara De M Souza Mattar:</t>
        </r>
        <r>
          <rPr>
            <sz val="9"/>
            <color indexed="81"/>
            <rFont val="Segoe UI"/>
            <family val="2"/>
          </rPr>
          <t xml:space="preserve">
incluindo 151k do recurso wedo</t>
        </r>
      </text>
    </comment>
    <comment ref="H11" authorId="0">
      <text>
        <r>
          <rPr>
            <b/>
            <sz val="9"/>
            <color indexed="81"/>
            <rFont val="Segoe UI"/>
            <family val="2"/>
          </rPr>
          <t>Edja Mara De M Souza Mattar:</t>
        </r>
        <r>
          <rPr>
            <sz val="9"/>
            <color indexed="81"/>
            <rFont val="Segoe UI"/>
            <family val="2"/>
          </rPr>
          <t xml:space="preserve">
valor não baseline = R$ 806.384,87 + parte valor baseline ainda não aprovado = R$ 411.821,53</t>
        </r>
      </text>
    </comment>
    <comment ref="I11" authorId="0">
      <text>
        <r>
          <rPr>
            <b/>
            <sz val="9"/>
            <color indexed="81"/>
            <rFont val="Segoe UI"/>
            <family val="2"/>
          </rPr>
          <t>Edja Mara De M Souza Mattar:</t>
        </r>
        <r>
          <rPr>
            <sz val="9"/>
            <color indexed="81"/>
            <rFont val="Segoe UI"/>
            <family val="2"/>
          </rPr>
          <t xml:space="preserve">
total do baseline para este projeto é de R$1.316.400
inclui nesta coluna apenas o valor "saldo" do baseline atual. A diferença (R$ 411.821,53)
somei na coluna não baseline do projeto
</t>
        </r>
      </text>
    </comment>
    <comment ref="G12" authorId="0">
      <text>
        <r>
          <rPr>
            <b/>
            <sz val="9"/>
            <color indexed="81"/>
            <rFont val="Segoe UI"/>
            <family val="2"/>
          </rPr>
          <t>Edja Mara De M Souza Mattar:</t>
        </r>
        <r>
          <rPr>
            <sz val="9"/>
            <color indexed="81"/>
            <rFont val="Segoe UI"/>
            <family val="2"/>
          </rPr>
          <t xml:space="preserve">
valor de infra transferido para o FOI de infra</t>
        </r>
      </text>
    </comment>
  </commentList>
</comments>
</file>

<file path=xl/sharedStrings.xml><?xml version="1.0" encoding="utf-8"?>
<sst xmlns="http://schemas.openxmlformats.org/spreadsheetml/2006/main" count="340" uniqueCount="162">
  <si>
    <t>Desenvolvimento WEDO ( controle CRMxFatura )</t>
  </si>
  <si>
    <t>Infra para novas interfaces de fatura</t>
  </si>
  <si>
    <t>Desenvolvimento ARBOR ( dados de fatura )</t>
  </si>
  <si>
    <t>Desenvolvimento SFA ( dados de fatura)</t>
  </si>
  <si>
    <t>Testes integrados novas interfaces</t>
  </si>
  <si>
    <t>Desenvolvimento WEDO (novos controles)</t>
  </si>
  <si>
    <t>Novas interfaces e Controles CRMxREDE</t>
  </si>
  <si>
    <t>Desenvolvimento Accenture (SYS/MASC)</t>
  </si>
  <si>
    <t xml:space="preserve">84711 - [GRUPO 3] - Migração dos Controles SOx de Integridade do RAID atual </t>
  </si>
  <si>
    <t>Desenvolvimento SISRAF (dados de fatura)</t>
  </si>
  <si>
    <t>Informática</t>
  </si>
  <si>
    <t>Desenvolvimento ARBOR ( dados de No Bill)</t>
  </si>
  <si>
    <t>ME (CDSOL)</t>
  </si>
  <si>
    <t>Maio/14 Sol. Arquitetura</t>
  </si>
  <si>
    <t>Testes Integrados (Baseline ACC)</t>
  </si>
  <si>
    <t>sem variação</t>
  </si>
  <si>
    <t>84728 - [Grupo 4] - Fixo e Móvel Criação de Interfaces e Controles Novos de Integridade no RAID</t>
  </si>
  <si>
    <t>RAID</t>
  </si>
  <si>
    <t>Baseline</t>
  </si>
  <si>
    <t>Out/14</t>
  </si>
  <si>
    <t>Nov/14</t>
  </si>
  <si>
    <t>Total 2014</t>
  </si>
  <si>
    <t>Total</t>
  </si>
  <si>
    <t>STI</t>
  </si>
  <si>
    <t>Não baseline</t>
  </si>
  <si>
    <t>Sistema</t>
  </si>
  <si>
    <t>WEDO</t>
  </si>
  <si>
    <t>Infra</t>
  </si>
  <si>
    <t>TBD</t>
  </si>
  <si>
    <t>PRD</t>
  </si>
  <si>
    <t>ME</t>
  </si>
  <si>
    <t>não baseline</t>
  </si>
  <si>
    <t>set/14</t>
  </si>
  <si>
    <t>mai/15</t>
  </si>
  <si>
    <t>Jan/15</t>
  </si>
  <si>
    <t>IBM</t>
  </si>
  <si>
    <t>Abr/15</t>
  </si>
  <si>
    <t>Mar/15</t>
  </si>
  <si>
    <t>TI</t>
  </si>
  <si>
    <t>DSOL</t>
  </si>
  <si>
    <t>Previsão PRD</t>
  </si>
  <si>
    <t>Não Baseline</t>
  </si>
  <si>
    <t>84200 - Infra</t>
  </si>
  <si>
    <t>84137 - Vanilla</t>
  </si>
  <si>
    <t>83882 - Volumetria R2</t>
  </si>
  <si>
    <t>83909 - Volumetria R1</t>
  </si>
  <si>
    <t>83907 - eCDR</t>
  </si>
  <si>
    <t>84710 - [GRUPO 1 e 2] - Integridade</t>
  </si>
  <si>
    <t>84711 - [GRUPO 3] - Integridade</t>
  </si>
  <si>
    <t>84728 - [Grupo 4] -  Integridade</t>
  </si>
  <si>
    <t>Tipo</t>
  </si>
  <si>
    <t>Totais</t>
  </si>
  <si>
    <t>Inicial</t>
  </si>
  <si>
    <t>Atual</t>
  </si>
  <si>
    <t>Abr/15 (prev)</t>
  </si>
  <si>
    <t>Mar/15 (prev)</t>
  </si>
  <si>
    <t>CF + ME</t>
  </si>
  <si>
    <t xml:space="preserve">ME </t>
  </si>
  <si>
    <t>Comprometido</t>
  </si>
  <si>
    <t>Realizado</t>
  </si>
  <si>
    <t>Disponível</t>
  </si>
  <si>
    <t>Em azul = valores da ME</t>
  </si>
  <si>
    <t>Total Geral</t>
  </si>
  <si>
    <t>baseline</t>
  </si>
  <si>
    <t>Total Baseline</t>
  </si>
  <si>
    <t>Desembolso 2014</t>
  </si>
  <si>
    <t>Desembolso 2015</t>
  </si>
  <si>
    <t>+50%</t>
  </si>
  <si>
    <t>+30%</t>
  </si>
  <si>
    <t>racional</t>
  </si>
  <si>
    <t>FOI Infra</t>
  </si>
  <si>
    <t>FOI Baseline</t>
  </si>
  <si>
    <t>FOI-41000300  e  FOI-51000006</t>
  </si>
  <si>
    <t>Orçamento SAP (Não Baseline)</t>
  </si>
  <si>
    <t>Em vermelho = custo parcial</t>
  </si>
  <si>
    <t>Baseline Aprovado (A)</t>
  </si>
  <si>
    <t>FOI Infra (B)</t>
  </si>
  <si>
    <t># pt</t>
  </si>
  <si>
    <t>Fábrica</t>
  </si>
  <si>
    <t>Valor ME</t>
  </si>
  <si>
    <t>Status STI</t>
  </si>
  <si>
    <t>É baseline</t>
  </si>
  <si>
    <t>total Horas</t>
  </si>
  <si>
    <t>taxa</t>
  </si>
  <si>
    <t>valor</t>
  </si>
  <si>
    <t>contrato</t>
  </si>
  <si>
    <t>aguardando pt</t>
  </si>
  <si>
    <t>ACC Torre IV</t>
  </si>
  <si>
    <t>SIS</t>
  </si>
  <si>
    <t>MASC</t>
  </si>
  <si>
    <t>Suprimentos - Openswitch</t>
  </si>
  <si>
    <t>SW</t>
  </si>
  <si>
    <t>negociação será retomada final outubro</t>
  </si>
  <si>
    <t>ACC Torre II</t>
  </si>
  <si>
    <t>Infomatica</t>
  </si>
  <si>
    <t>x</t>
  </si>
  <si>
    <t>Acc Testes</t>
  </si>
  <si>
    <t>Testes</t>
  </si>
  <si>
    <t>aguardando rfp</t>
  </si>
  <si>
    <t># proposta</t>
  </si>
  <si>
    <t>SISMOVEL</t>
  </si>
  <si>
    <t xml:space="preserve">- </t>
  </si>
  <si>
    <t>Aprovação G1</t>
  </si>
  <si>
    <t>STC/SISRAF</t>
  </si>
  <si>
    <t xml:space="preserve">R$       150.000 </t>
  </si>
  <si>
    <t>SBL</t>
  </si>
  <si>
    <t xml:space="preserve">R$       297.000 </t>
  </si>
  <si>
    <t>ARBOR</t>
  </si>
  <si>
    <t xml:space="preserve">R$       190.000 </t>
  </si>
  <si>
    <t>SAC</t>
  </si>
  <si>
    <t xml:space="preserve">R$       127.000 </t>
  </si>
  <si>
    <t>SFA</t>
  </si>
  <si>
    <t xml:space="preserve">R$       180.000 </t>
  </si>
  <si>
    <t>GENEVA</t>
  </si>
  <si>
    <t xml:space="preserve">R$         30.000 </t>
  </si>
  <si>
    <t xml:space="preserve">R$       870.366 </t>
  </si>
  <si>
    <t xml:space="preserve">R$       300.000 </t>
  </si>
  <si>
    <t xml:space="preserve">R$       319.200 </t>
  </si>
  <si>
    <t>recurso Testes</t>
  </si>
  <si>
    <t>Total baseline</t>
  </si>
  <si>
    <t>Total Não Baseline</t>
  </si>
  <si>
    <t>nova ME de 12/09</t>
  </si>
  <si>
    <t>nova ME em 12/09</t>
  </si>
  <si>
    <t>nova ME em 07/10</t>
  </si>
  <si>
    <t>pt recebida</t>
  </si>
  <si>
    <t>valor original</t>
  </si>
  <si>
    <t>Storage adicional</t>
  </si>
  <si>
    <t>infra - storage adicional</t>
  </si>
  <si>
    <t>Total aprovado</t>
  </si>
  <si>
    <t>Reservado baseline</t>
  </si>
  <si>
    <t>Total para Não baseline</t>
  </si>
  <si>
    <t>Sistemas</t>
  </si>
  <si>
    <t>status</t>
  </si>
  <si>
    <t>Em validação com WEDO</t>
  </si>
  <si>
    <t>Em validação com CSOL</t>
  </si>
  <si>
    <t>Validado</t>
  </si>
  <si>
    <t>Serviços IBM (ODS)</t>
  </si>
  <si>
    <t>N/A</t>
  </si>
  <si>
    <t>email Leandro 08/10</t>
  </si>
  <si>
    <t>Total disponível para compromisso</t>
  </si>
  <si>
    <t>FOI 2014</t>
  </si>
  <si>
    <t>FOI 2015</t>
  </si>
  <si>
    <t>Transferido para FOI de Infra</t>
  </si>
  <si>
    <t>Não Baseline (B)</t>
  </si>
  <si>
    <t>Previsto Orçamento 2015 =</t>
  </si>
  <si>
    <t>Diferença =</t>
  </si>
  <si>
    <t>Orçamento Não baseline 2015 (atual)  =</t>
  </si>
  <si>
    <t>recurso WEDO</t>
  </si>
  <si>
    <t>↓</t>
  </si>
  <si>
    <t>v1</t>
  </si>
  <si>
    <t>v2</t>
  </si>
  <si>
    <t>v3</t>
  </si>
  <si>
    <t>Recurso WEDO</t>
  </si>
  <si>
    <t xml:space="preserve">IBM </t>
  </si>
  <si>
    <t>Accenture</t>
  </si>
  <si>
    <r>
      <t>VALOR TOTAL</t>
    </r>
    <r>
      <rPr>
        <b/>
        <sz val="10"/>
        <color rgb="FFFF0000"/>
        <rFont val="Calibri"/>
        <family val="2"/>
      </rPr>
      <t xml:space="preserve"> ATUAL</t>
    </r>
    <r>
      <rPr>
        <b/>
        <sz val="10"/>
        <color theme="1"/>
        <rFont val="Calibri"/>
        <family val="2"/>
      </rPr>
      <t xml:space="preserve"> DO PROJETO</t>
    </r>
  </si>
  <si>
    <r>
      <t xml:space="preserve">VALOR TOTAL </t>
    </r>
    <r>
      <rPr>
        <b/>
        <sz val="10"/>
        <color rgb="FFFF0000"/>
        <rFont val="Calibri"/>
        <family val="2"/>
      </rPr>
      <t>ATUAL</t>
    </r>
    <r>
      <rPr>
        <b/>
        <sz val="10"/>
        <color theme="1"/>
        <rFont val="Calibri"/>
        <family val="2"/>
      </rPr>
      <t xml:space="preserve"> NÃO BASELINE</t>
    </r>
  </si>
  <si>
    <t>Informatica</t>
  </si>
  <si>
    <t>Meta</t>
  </si>
  <si>
    <t>PT em revisão</t>
  </si>
  <si>
    <t>Og  atendido infra core</t>
  </si>
  <si>
    <t>Aguardando aprovação 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</si>
</sst>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R$&quot;\ * #,##0.00_-;\-&quot;R$&quot;\ * #,##0.00_-;_-&quot;R$&quot;\ * &quot;-&quot;??_-;_-@_-"/>
    <numFmt numFmtId="164" formatCode="_-&quot;R$&quot;\ * #,##0_-;\-&quot;R$&quot;\ * #,##0_-;_-&quot;R$&quot;\ * &quot;-&quot;??_-;_-@_-"/>
    <numFmt numFmtId="165" formatCode="[$-416]d\-mmm;@"/>
    <numFmt numFmtId="166" formatCode="_(* #,##0.00_);_(* \(#,##0.00\);_(* &quot;-&quot;??_);_(@_)"/>
    <numFmt numFmtId="167" formatCode="&quot;R$&quot;\ #,##0.00"/>
    <numFmt numFmtId="168" formatCode="&quot;R$&quot;\ #,##0"/>
    <numFmt numFmtId="169" formatCode="_(&quot;R$ &quot;* #,##0.00_);_(&quot;R$ &quot;* \(#,##0.00\);_(&quot;R$ &quot;* &quot;-&quot;??_);_(@_)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entury Gothic"/>
      <family val="2"/>
    </font>
    <font>
      <b/>
      <sz val="9"/>
      <color theme="1"/>
      <name val="Century Gothic"/>
      <family val="2"/>
    </font>
    <font>
      <sz val="9"/>
      <color rgb="FF002060"/>
      <name val="Century Gothic"/>
      <family val="2"/>
    </font>
    <font>
      <i/>
      <sz val="9"/>
      <color theme="1"/>
      <name val="Century Gothic"/>
      <family val="2"/>
    </font>
    <font>
      <sz val="9"/>
      <color theme="1"/>
      <name val="Century Gothic"/>
      <family val="2"/>
    </font>
    <font>
      <b/>
      <sz val="11"/>
      <color rgb="FF000000"/>
      <name val="Calibri"/>
      <family val="2"/>
    </font>
    <font>
      <b/>
      <sz val="11"/>
      <color rgb="FF16365C"/>
      <name val="Calibri"/>
      <family val="2"/>
    </font>
    <font>
      <b/>
      <sz val="11"/>
      <color rgb="FFFFFFFF"/>
      <name val="Calibri"/>
      <family val="2"/>
    </font>
    <font>
      <b/>
      <sz val="11"/>
      <color rgb="FF244062"/>
      <name val="Calibri"/>
      <family val="2"/>
    </font>
    <font>
      <b/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4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  <font>
      <sz val="11"/>
      <color rgb="FF000000"/>
      <name val="Calibri"/>
      <family val="2"/>
    </font>
    <font>
      <b/>
      <sz val="10"/>
      <color rgb="FFFF0000"/>
      <name val="Calibri"/>
      <family val="2"/>
    </font>
    <font>
      <b/>
      <sz val="10"/>
      <name val="Calibri"/>
      <family val="2"/>
    </font>
    <font>
      <b/>
      <sz val="11"/>
      <color rgb="FF1F497D"/>
      <name val="Calibri"/>
      <family val="2"/>
    </font>
    <font>
      <sz val="11"/>
      <color rgb="FFFF0000"/>
      <name val="Calibri"/>
      <family val="2"/>
    </font>
    <font>
      <sz val="11"/>
      <color rgb="FF1F497D"/>
      <name val="Calibri"/>
      <family val="2"/>
    </font>
    <font>
      <sz val="11"/>
      <name val="Calibri"/>
      <family val="2"/>
    </font>
    <font>
      <sz val="9"/>
      <color indexed="81"/>
      <name val="Segoe UI"/>
    </font>
    <font>
      <b/>
      <sz val="9"/>
      <color indexed="81"/>
      <name val="Segoe UI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1"/>
      <color theme="0"/>
      <name val="Calibri"/>
      <family val="2"/>
    </font>
    <font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</font>
    <font>
      <b/>
      <sz val="9"/>
      <color theme="0" tint="-0.499984740745262"/>
      <name val="Century Gothic"/>
      <family val="2"/>
    </font>
    <font>
      <sz val="9"/>
      <color theme="0" tint="-0.499984740745262"/>
      <name val="Century Gothic"/>
      <family val="2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6365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7030A0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8">
    <xf numFmtId="165" fontId="0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9" fontId="1" fillId="0" borderId="0" applyFont="0" applyFill="0" applyBorder="0" applyAlignment="0" applyProtection="0"/>
  </cellStyleXfs>
  <cellXfs count="246">
    <xf numFmtId="165" fontId="0" fillId="0" borderId="0" xfId="0"/>
    <xf numFmtId="165" fontId="4" fillId="4" borderId="5" xfId="0" applyFont="1" applyFill="1" applyBorder="1"/>
    <xf numFmtId="165" fontId="4" fillId="4" borderId="7" xfId="0" applyFont="1" applyFill="1" applyBorder="1"/>
    <xf numFmtId="165" fontId="6" fillId="4" borderId="5" xfId="0" applyFont="1" applyFill="1" applyBorder="1"/>
    <xf numFmtId="165" fontId="7" fillId="4" borderId="5" xfId="0" applyFont="1" applyFill="1" applyBorder="1"/>
    <xf numFmtId="165" fontId="11" fillId="0" borderId="0" xfId="0" applyFont="1" applyFill="1" applyBorder="1" applyAlignment="1">
      <alignment horizontal="left" vertical="center" readingOrder="1"/>
    </xf>
    <xf numFmtId="165" fontId="9" fillId="0" borderId="0" xfId="0" applyFont="1" applyBorder="1" applyAlignment="1">
      <alignment vertical="center" readingOrder="1"/>
    </xf>
    <xf numFmtId="44" fontId="0" fillId="0" borderId="0" xfId="3" applyFont="1"/>
    <xf numFmtId="165" fontId="0" fillId="0" borderId="0" xfId="0" applyFont="1"/>
    <xf numFmtId="44" fontId="0" fillId="0" borderId="10" xfId="0" applyNumberFormat="1" applyFont="1" applyBorder="1"/>
    <xf numFmtId="165" fontId="0" fillId="0" borderId="10" xfId="0" applyFont="1" applyBorder="1"/>
    <xf numFmtId="44" fontId="0" fillId="0" borderId="10" xfId="3" applyFont="1" applyBorder="1"/>
    <xf numFmtId="165" fontId="2" fillId="0" borderId="0" xfId="0" applyFont="1"/>
    <xf numFmtId="165" fontId="15" fillId="0" borderId="0" xfId="0" applyFont="1" applyAlignment="1">
      <alignment readingOrder="1"/>
    </xf>
    <xf numFmtId="44" fontId="15" fillId="0" borderId="0" xfId="3" applyFont="1" applyAlignment="1">
      <alignment readingOrder="1"/>
    </xf>
    <xf numFmtId="44" fontId="15" fillId="0" borderId="0" xfId="0" applyNumberFormat="1" applyFont="1" applyAlignment="1">
      <alignment readingOrder="1"/>
    </xf>
    <xf numFmtId="165" fontId="14" fillId="0" borderId="0" xfId="0" applyFont="1" applyAlignment="1">
      <alignment readingOrder="1"/>
    </xf>
    <xf numFmtId="165" fontId="16" fillId="0" borderId="0" xfId="0" applyFont="1" applyBorder="1" applyAlignment="1">
      <alignment vertical="center" readingOrder="1"/>
    </xf>
    <xf numFmtId="44" fontId="2" fillId="0" borderId="10" xfId="0" applyNumberFormat="1" applyFont="1" applyBorder="1"/>
    <xf numFmtId="17" fontId="13" fillId="3" borderId="10" xfId="5" applyNumberFormat="1" applyFont="1" applyFill="1" applyBorder="1" applyAlignment="1" applyProtection="1">
      <alignment horizontal="center" vertical="center" wrapText="1"/>
    </xf>
    <xf numFmtId="0" fontId="13" fillId="3" borderId="10" xfId="5" applyFont="1" applyFill="1" applyBorder="1" applyAlignment="1" applyProtection="1">
      <alignment horizontal="center" vertical="center" wrapText="1"/>
    </xf>
    <xf numFmtId="49" fontId="0" fillId="0" borderId="13" xfId="5" applyNumberFormat="1" applyFont="1" applyFill="1" applyBorder="1" applyAlignment="1" applyProtection="1">
      <alignment vertical="center"/>
      <protection locked="0"/>
    </xf>
    <xf numFmtId="1" fontId="0" fillId="0" borderId="10" xfId="0" applyNumberFormat="1" applyFont="1" applyBorder="1" applyAlignment="1">
      <alignment horizontal="center"/>
    </xf>
    <xf numFmtId="164" fontId="0" fillId="0" borderId="10" xfId="3" applyNumberFormat="1" applyFont="1" applyFill="1" applyBorder="1" applyAlignment="1" applyProtection="1">
      <alignment vertical="center"/>
      <protection locked="0"/>
    </xf>
    <xf numFmtId="1" fontId="0" fillId="0" borderId="10" xfId="0" applyNumberFormat="1" applyFont="1" applyFill="1" applyBorder="1" applyAlignment="1">
      <alignment horizontal="center"/>
    </xf>
    <xf numFmtId="44" fontId="0" fillId="0" borderId="10" xfId="0" applyNumberFormat="1" applyFont="1" applyFill="1" applyBorder="1"/>
    <xf numFmtId="164" fontId="0" fillId="12" borderId="10" xfId="3" applyNumberFormat="1" applyFont="1" applyFill="1" applyBorder="1" applyAlignment="1" applyProtection="1">
      <alignment vertical="center"/>
      <protection locked="0"/>
    </xf>
    <xf numFmtId="49" fontId="0" fillId="12" borderId="13" xfId="5" applyNumberFormat="1" applyFont="1" applyFill="1" applyBorder="1" applyAlignment="1" applyProtection="1">
      <alignment vertical="center"/>
      <protection locked="0"/>
    </xf>
    <xf numFmtId="44" fontId="0" fillId="12" borderId="10" xfId="0" applyNumberFormat="1" applyFont="1" applyFill="1" applyBorder="1"/>
    <xf numFmtId="44" fontId="0" fillId="0" borderId="0" xfId="0" applyNumberFormat="1" applyFont="1"/>
    <xf numFmtId="165" fontId="8" fillId="8" borderId="10" xfId="0" applyFont="1" applyFill="1" applyBorder="1" applyAlignment="1">
      <alignment horizontal="center" vertical="center" wrapText="1" readingOrder="1"/>
    </xf>
    <xf numFmtId="17" fontId="13" fillId="5" borderId="10" xfId="5" applyNumberFormat="1" applyFont="1" applyFill="1" applyBorder="1" applyAlignment="1" applyProtection="1">
      <alignment horizontal="center" vertical="center" wrapText="1"/>
    </xf>
    <xf numFmtId="0" fontId="13" fillId="5" borderId="10" xfId="5" applyFont="1" applyFill="1" applyBorder="1" applyAlignment="1" applyProtection="1">
      <alignment horizontal="center" vertical="center" wrapText="1"/>
    </xf>
    <xf numFmtId="44" fontId="0" fillId="0" borderId="10" xfId="3" applyNumberFormat="1" applyFont="1" applyFill="1" applyBorder="1" applyAlignment="1" applyProtection="1">
      <alignment vertical="center"/>
      <protection locked="0"/>
    </xf>
    <xf numFmtId="49" fontId="0" fillId="0" borderId="19" xfId="5" applyNumberFormat="1" applyFont="1" applyFill="1" applyBorder="1" applyAlignment="1" applyProtection="1">
      <alignment vertical="center"/>
      <protection locked="0"/>
    </xf>
    <xf numFmtId="44" fontId="0" fillId="0" borderId="10" xfId="3" applyNumberFormat="1" applyFont="1" applyBorder="1"/>
    <xf numFmtId="44" fontId="0" fillId="0" borderId="10" xfId="3" applyNumberFormat="1" applyFont="1" applyFill="1" applyBorder="1"/>
    <xf numFmtId="165" fontId="8" fillId="14" borderId="10" xfId="0" applyFont="1" applyFill="1" applyBorder="1" applyAlignment="1">
      <alignment horizontal="center" vertical="center" wrapText="1" readingOrder="1"/>
    </xf>
    <xf numFmtId="164" fontId="12" fillId="0" borderId="0" xfId="3" applyNumberFormat="1" applyFont="1" applyFill="1" applyBorder="1" applyAlignment="1">
      <alignment horizontal="center" vertical="center" readingOrder="1"/>
    </xf>
    <xf numFmtId="167" fontId="15" fillId="0" borderId="0" xfId="0" applyNumberFormat="1" applyFont="1" applyAlignment="1">
      <alignment readingOrder="1"/>
    </xf>
    <xf numFmtId="165" fontId="8" fillId="14" borderId="23" xfId="0" applyFont="1" applyFill="1" applyBorder="1" applyAlignment="1">
      <alignment horizontal="center" vertical="center" wrapText="1" readingOrder="1"/>
    </xf>
    <xf numFmtId="165" fontId="8" fillId="14" borderId="24" xfId="0" applyFont="1" applyFill="1" applyBorder="1" applyAlignment="1">
      <alignment horizontal="center" vertical="center" wrapText="1" readingOrder="1"/>
    </xf>
    <xf numFmtId="165" fontId="8" fillId="8" borderId="23" xfId="0" applyFont="1" applyFill="1" applyBorder="1" applyAlignment="1">
      <alignment horizontal="center" vertical="center" wrapText="1" readingOrder="1"/>
    </xf>
    <xf numFmtId="165" fontId="8" fillId="8" borderId="24" xfId="0" applyFont="1" applyFill="1" applyBorder="1" applyAlignment="1">
      <alignment horizontal="center" vertical="center" wrapText="1" readingOrder="1"/>
    </xf>
    <xf numFmtId="165" fontId="19" fillId="0" borderId="0" xfId="0" applyFont="1" applyFill="1" applyBorder="1" applyAlignment="1">
      <alignment vertical="center" wrapText="1" readingOrder="1"/>
    </xf>
    <xf numFmtId="164" fontId="19" fillId="0" borderId="0" xfId="3" quotePrefix="1" applyNumberFormat="1" applyFont="1" applyFill="1" applyBorder="1" applyAlignment="1">
      <alignment horizontal="center" vertical="center" readingOrder="1"/>
    </xf>
    <xf numFmtId="165" fontId="15" fillId="0" borderId="0" xfId="0" quotePrefix="1" applyFont="1" applyAlignment="1">
      <alignment horizontal="center" readingOrder="1"/>
    </xf>
    <xf numFmtId="165" fontId="8" fillId="12" borderId="10" xfId="0" applyFont="1" applyFill="1" applyBorder="1" applyAlignment="1">
      <alignment horizontal="center" vertical="center" wrapText="1" readingOrder="1"/>
    </xf>
    <xf numFmtId="168" fontId="12" fillId="0" borderId="23" xfId="3" applyNumberFormat="1" applyFont="1" applyFill="1" applyBorder="1" applyAlignment="1">
      <alignment horizontal="center" vertical="center" readingOrder="1"/>
    </xf>
    <xf numFmtId="168" fontId="12" fillId="0" borderId="10" xfId="3" applyNumberFormat="1" applyFont="1" applyFill="1" applyBorder="1" applyAlignment="1">
      <alignment horizontal="center" vertical="center" readingOrder="1"/>
    </xf>
    <xf numFmtId="168" fontId="12" fillId="0" borderId="24" xfId="3" applyNumberFormat="1" applyFont="1" applyFill="1" applyBorder="1" applyAlignment="1">
      <alignment horizontal="center" vertical="center" readingOrder="1"/>
    </xf>
    <xf numFmtId="168" fontId="12" fillId="0" borderId="12" xfId="3" applyNumberFormat="1" applyFont="1" applyFill="1" applyBorder="1" applyAlignment="1">
      <alignment horizontal="center" vertical="center" readingOrder="1"/>
    </xf>
    <xf numFmtId="168" fontId="18" fillId="0" borderId="23" xfId="3" applyNumberFormat="1" applyFont="1" applyFill="1" applyBorder="1" applyAlignment="1">
      <alignment horizontal="center" vertical="center" readingOrder="1"/>
    </xf>
    <xf numFmtId="168" fontId="12" fillId="14" borderId="25" xfId="3" applyNumberFormat="1" applyFont="1" applyFill="1" applyBorder="1" applyAlignment="1">
      <alignment horizontal="center" vertical="center" readingOrder="1"/>
    </xf>
    <xf numFmtId="168" fontId="12" fillId="14" borderId="26" xfId="3" applyNumberFormat="1" applyFont="1" applyFill="1" applyBorder="1" applyAlignment="1">
      <alignment horizontal="center" vertical="center" readingOrder="1"/>
    </xf>
    <xf numFmtId="168" fontId="8" fillId="14" borderId="27" xfId="0" applyNumberFormat="1" applyFont="1" applyFill="1" applyBorder="1" applyAlignment="1">
      <alignment horizontal="center" vertical="center" wrapText="1" readingOrder="1"/>
    </xf>
    <xf numFmtId="168" fontId="8" fillId="8" borderId="25" xfId="0" applyNumberFormat="1" applyFont="1" applyFill="1" applyBorder="1" applyAlignment="1">
      <alignment horizontal="center" vertical="center" wrapText="1" readingOrder="1"/>
    </xf>
    <xf numFmtId="168" fontId="8" fillId="8" borderId="26" xfId="0" applyNumberFormat="1" applyFont="1" applyFill="1" applyBorder="1" applyAlignment="1">
      <alignment horizontal="center" vertical="center" wrapText="1" readingOrder="1"/>
    </xf>
    <xf numFmtId="168" fontId="8" fillId="12" borderId="25" xfId="0" applyNumberFormat="1" applyFont="1" applyFill="1" applyBorder="1" applyAlignment="1">
      <alignment horizontal="center" vertical="center" wrapText="1" readingOrder="1"/>
    </xf>
    <xf numFmtId="168" fontId="8" fillId="12" borderId="26" xfId="0" applyNumberFormat="1" applyFont="1" applyFill="1" applyBorder="1" applyAlignment="1">
      <alignment horizontal="center" vertical="center" wrapText="1" readingOrder="1"/>
    </xf>
    <xf numFmtId="168" fontId="8" fillId="12" borderId="27" xfId="0" applyNumberFormat="1" applyFont="1" applyFill="1" applyBorder="1" applyAlignment="1">
      <alignment horizontal="center" vertical="center" wrapText="1" readingOrder="1"/>
    </xf>
    <xf numFmtId="168" fontId="18" fillId="0" borderId="10" xfId="3" applyNumberFormat="1" applyFont="1" applyFill="1" applyBorder="1" applyAlignment="1">
      <alignment horizontal="center" vertical="center" readingOrder="1"/>
    </xf>
    <xf numFmtId="49" fontId="15" fillId="0" borderId="0" xfId="0" applyNumberFormat="1" applyFont="1" applyAlignment="1">
      <alignment readingOrder="1"/>
    </xf>
    <xf numFmtId="168" fontId="20" fillId="0" borderId="10" xfId="3" applyNumberFormat="1" applyFont="1" applyFill="1" applyBorder="1" applyAlignment="1">
      <alignment horizontal="center" vertical="center" readingOrder="1"/>
    </xf>
    <xf numFmtId="168" fontId="20" fillId="0" borderId="23" xfId="3" applyNumberFormat="1" applyFont="1" applyFill="1" applyBorder="1" applyAlignment="1">
      <alignment horizontal="center" vertical="center" readingOrder="1"/>
    </xf>
    <xf numFmtId="165" fontId="3" fillId="3" borderId="38" xfId="0" applyFont="1" applyFill="1" applyBorder="1"/>
    <xf numFmtId="165" fontId="4" fillId="4" borderId="40" xfId="0" applyFont="1" applyFill="1" applyBorder="1"/>
    <xf numFmtId="165" fontId="4" fillId="4" borderId="41" xfId="0" applyFont="1" applyFill="1" applyBorder="1"/>
    <xf numFmtId="165" fontId="7" fillId="4" borderId="42" xfId="0" applyFont="1" applyFill="1" applyBorder="1"/>
    <xf numFmtId="168" fontId="18" fillId="0" borderId="24" xfId="3" applyNumberFormat="1" applyFont="1" applyFill="1" applyBorder="1" applyAlignment="1">
      <alignment horizontal="center" vertical="center" readingOrder="1"/>
    </xf>
    <xf numFmtId="165" fontId="10" fillId="10" borderId="47" xfId="0" applyFont="1" applyFill="1" applyBorder="1" applyAlignment="1">
      <alignment horizontal="center" vertical="center" wrapText="1" readingOrder="1"/>
    </xf>
    <xf numFmtId="165" fontId="8" fillId="11" borderId="33" xfId="0" applyFont="1" applyFill="1" applyBorder="1" applyAlignment="1">
      <alignment horizontal="center" vertical="center" readingOrder="1"/>
    </xf>
    <xf numFmtId="165" fontId="8" fillId="12" borderId="23" xfId="0" applyFont="1" applyFill="1" applyBorder="1" applyAlignment="1">
      <alignment horizontal="center" vertical="center" wrapText="1" readingOrder="1"/>
    </xf>
    <xf numFmtId="165" fontId="8" fillId="12" borderId="24" xfId="0" applyFont="1" applyFill="1" applyBorder="1" applyAlignment="1">
      <alignment horizontal="center" vertical="center" wrapText="1" readingOrder="1"/>
    </xf>
    <xf numFmtId="168" fontId="12" fillId="0" borderId="33" xfId="3" applyNumberFormat="1" applyFont="1" applyFill="1" applyBorder="1" applyAlignment="1">
      <alignment horizontal="center" vertical="center" readingOrder="1"/>
    </xf>
    <xf numFmtId="168" fontId="8" fillId="11" borderId="37" xfId="3" applyNumberFormat="1" applyFont="1" applyFill="1" applyBorder="1" applyAlignment="1">
      <alignment horizontal="center" vertical="center" readingOrder="1"/>
    </xf>
    <xf numFmtId="168" fontId="12" fillId="0" borderId="48" xfId="3" applyNumberFormat="1" applyFont="1" applyFill="1" applyBorder="1" applyAlignment="1">
      <alignment horizontal="center" vertical="center" readingOrder="1"/>
    </xf>
    <xf numFmtId="168" fontId="12" fillId="0" borderId="50" xfId="3" applyNumberFormat="1" applyFont="1" applyFill="1" applyBorder="1" applyAlignment="1">
      <alignment horizontal="center" vertical="center" readingOrder="1"/>
    </xf>
    <xf numFmtId="168" fontId="18" fillId="0" borderId="50" xfId="3" applyNumberFormat="1" applyFont="1" applyFill="1" applyBorder="1" applyAlignment="1">
      <alignment horizontal="center" vertical="center" readingOrder="1"/>
    </xf>
    <xf numFmtId="165" fontId="12" fillId="0" borderId="47" xfId="0" applyFont="1" applyFill="1" applyBorder="1" applyAlignment="1">
      <alignment horizontal="left" vertical="center" readingOrder="1"/>
    </xf>
    <xf numFmtId="165" fontId="12" fillId="0" borderId="33" xfId="0" applyFont="1" applyFill="1" applyBorder="1" applyAlignment="1">
      <alignment horizontal="left" vertical="center" readingOrder="1"/>
    </xf>
    <xf numFmtId="165" fontId="12" fillId="0" borderId="37" xfId="0" applyFont="1" applyFill="1" applyBorder="1" applyAlignment="1">
      <alignment horizontal="left" vertical="center" readingOrder="1"/>
    </xf>
    <xf numFmtId="165" fontId="19" fillId="0" borderId="0" xfId="0" applyFont="1" applyFill="1" applyBorder="1" applyAlignment="1">
      <alignment horizontal="left" vertical="center" wrapText="1" readingOrder="1"/>
    </xf>
    <xf numFmtId="164" fontId="20" fillId="0" borderId="0" xfId="3" applyNumberFormat="1" applyFont="1" applyFill="1" applyBorder="1" applyAlignment="1">
      <alignment vertical="center" readingOrder="1"/>
    </xf>
    <xf numFmtId="168" fontId="20" fillId="0" borderId="50" xfId="3" applyNumberFormat="1" applyFont="1" applyFill="1" applyBorder="1" applyAlignment="1">
      <alignment horizontal="center" vertical="center" readingOrder="1"/>
    </xf>
    <xf numFmtId="168" fontId="12" fillId="8" borderId="27" xfId="0" applyNumberFormat="1" applyFont="1" applyFill="1" applyBorder="1" applyAlignment="1">
      <alignment horizontal="center" vertical="center" wrapText="1" readingOrder="1"/>
    </xf>
    <xf numFmtId="168" fontId="8" fillId="0" borderId="0" xfId="0" applyNumberFormat="1" applyFont="1" applyFill="1" applyBorder="1" applyAlignment="1">
      <alignment horizontal="center" vertical="center" wrapText="1" readingOrder="1"/>
    </xf>
    <xf numFmtId="0" fontId="1" fillId="0" borderId="0" xfId="5"/>
    <xf numFmtId="20" fontId="1" fillId="0" borderId="0" xfId="5" applyNumberFormat="1"/>
    <xf numFmtId="0" fontId="1" fillId="0" borderId="0" xfId="5" applyAlignment="1">
      <alignment horizontal="center"/>
    </xf>
    <xf numFmtId="0" fontId="8" fillId="16" borderId="10" xfId="5" applyFont="1" applyFill="1" applyBorder="1" applyAlignment="1">
      <alignment horizontal="center" vertical="center"/>
    </xf>
    <xf numFmtId="0" fontId="8" fillId="9" borderId="10" xfId="5" applyFont="1" applyFill="1" applyBorder="1" applyAlignment="1">
      <alignment horizontal="center" vertical="center"/>
    </xf>
    <xf numFmtId="0" fontId="8" fillId="13" borderId="10" xfId="5" applyFont="1" applyFill="1" applyBorder="1" applyAlignment="1">
      <alignment horizontal="center" vertical="center"/>
    </xf>
    <xf numFmtId="0" fontId="21" fillId="17" borderId="10" xfId="5" applyFont="1" applyFill="1" applyBorder="1" applyAlignment="1">
      <alignment horizontal="center" vertical="center"/>
    </xf>
    <xf numFmtId="0" fontId="21" fillId="17" borderId="10" xfId="5" applyFont="1" applyFill="1" applyBorder="1" applyAlignment="1">
      <alignment vertical="center"/>
    </xf>
    <xf numFmtId="44" fontId="21" fillId="18" borderId="10" xfId="3" applyFont="1" applyFill="1" applyBorder="1" applyAlignment="1">
      <alignment vertical="center"/>
    </xf>
    <xf numFmtId="0" fontId="1" fillId="0" borderId="10" xfId="5" applyBorder="1"/>
    <xf numFmtId="44" fontId="1" fillId="0" borderId="10" xfId="5" applyNumberFormat="1" applyBorder="1"/>
    <xf numFmtId="0" fontId="1" fillId="0" borderId="10" xfId="5" applyFill="1" applyBorder="1"/>
    <xf numFmtId="44" fontId="0" fillId="0" borderId="10" xfId="3" applyFont="1" applyFill="1" applyBorder="1"/>
    <xf numFmtId="44" fontId="1" fillId="0" borderId="0" xfId="5" applyNumberFormat="1"/>
    <xf numFmtId="0" fontId="21" fillId="18" borderId="10" xfId="5" applyFont="1" applyFill="1" applyBorder="1" applyAlignment="1">
      <alignment vertical="center"/>
    </xf>
    <xf numFmtId="4" fontId="1" fillId="0" borderId="10" xfId="5" applyNumberFormat="1" applyBorder="1"/>
    <xf numFmtId="0" fontId="1" fillId="0" borderId="10" xfId="5" applyBorder="1" applyAlignment="1">
      <alignment horizontal="center"/>
    </xf>
    <xf numFmtId="0" fontId="0" fillId="0" borderId="10" xfId="5" applyFont="1" applyBorder="1"/>
    <xf numFmtId="0" fontId="0" fillId="0" borderId="10" xfId="5" applyFont="1" applyBorder="1" applyAlignment="1">
      <alignment horizontal="center"/>
    </xf>
    <xf numFmtId="165" fontId="15" fillId="0" borderId="0" xfId="0" applyFont="1" applyAlignment="1">
      <alignment horizontal="center" readingOrder="1"/>
    </xf>
    <xf numFmtId="165" fontId="3" fillId="3" borderId="55" xfId="0" applyFont="1" applyFill="1" applyBorder="1"/>
    <xf numFmtId="165" fontId="3" fillId="3" borderId="56" xfId="0" applyFont="1" applyFill="1" applyBorder="1"/>
    <xf numFmtId="164" fontId="3" fillId="6" borderId="38" xfId="0" applyNumberFormat="1" applyFont="1" applyFill="1" applyBorder="1" applyAlignment="1">
      <alignment horizontal="center"/>
    </xf>
    <xf numFmtId="44" fontId="3" fillId="6" borderId="38" xfId="0" applyNumberFormat="1" applyFont="1" applyFill="1" applyBorder="1" applyAlignment="1">
      <alignment horizontal="center"/>
    </xf>
    <xf numFmtId="165" fontId="15" fillId="0" borderId="0" xfId="0" applyFont="1" applyBorder="1" applyAlignment="1">
      <alignment readingOrder="1"/>
    </xf>
    <xf numFmtId="164" fontId="5" fillId="7" borderId="8" xfId="0" applyNumberFormat="1" applyFont="1" applyFill="1" applyBorder="1" applyAlignment="1">
      <alignment horizontal="center"/>
    </xf>
    <xf numFmtId="164" fontId="5" fillId="7" borderId="57" xfId="0" applyNumberFormat="1" applyFont="1" applyFill="1" applyBorder="1" applyAlignment="1">
      <alignment horizontal="center"/>
    </xf>
    <xf numFmtId="165" fontId="15" fillId="0" borderId="12" xfId="0" applyFont="1" applyBorder="1" applyAlignment="1">
      <alignment readingOrder="1"/>
    </xf>
    <xf numFmtId="165" fontId="7" fillId="4" borderId="7" xfId="0" applyFont="1" applyFill="1" applyBorder="1"/>
    <xf numFmtId="44" fontId="5" fillId="7" borderId="57" xfId="1" applyNumberFormat="1" applyFont="1" applyFill="1" applyBorder="1" applyAlignment="1">
      <alignment horizontal="center"/>
    </xf>
    <xf numFmtId="49" fontId="15" fillId="0" borderId="17" xfId="0" applyNumberFormat="1" applyFont="1" applyBorder="1" applyAlignment="1">
      <alignment readingOrder="1"/>
    </xf>
    <xf numFmtId="165" fontId="4" fillId="4" borderId="58" xfId="0" applyFont="1" applyFill="1" applyBorder="1"/>
    <xf numFmtId="165" fontId="7" fillId="4" borderId="58" xfId="0" applyFont="1" applyFill="1" applyBorder="1"/>
    <xf numFmtId="49" fontId="15" fillId="0" borderId="9" xfId="0" applyNumberFormat="1" applyFont="1" applyBorder="1" applyAlignment="1">
      <alignment readingOrder="1"/>
    </xf>
    <xf numFmtId="165" fontId="4" fillId="4" borderId="36" xfId="0" applyFont="1" applyFill="1" applyBorder="1"/>
    <xf numFmtId="165" fontId="7" fillId="4" borderId="59" xfId="0" applyFont="1" applyFill="1" applyBorder="1"/>
    <xf numFmtId="164" fontId="5" fillId="7" borderId="59" xfId="0" applyNumberFormat="1" applyFont="1" applyFill="1" applyBorder="1" applyAlignment="1">
      <alignment horizontal="center"/>
    </xf>
    <xf numFmtId="44" fontId="5" fillId="7" borderId="18" xfId="1" applyNumberFormat="1" applyFont="1" applyFill="1" applyBorder="1" applyAlignment="1">
      <alignment horizontal="center"/>
    </xf>
    <xf numFmtId="49" fontId="15" fillId="0" borderId="59" xfId="0" applyNumberFormat="1" applyFont="1" applyBorder="1" applyAlignment="1">
      <alignment readingOrder="1"/>
    </xf>
    <xf numFmtId="165" fontId="22" fillId="0" borderId="0" xfId="0" applyFont="1" applyAlignment="1">
      <alignment horizontal="center" readingOrder="1"/>
    </xf>
    <xf numFmtId="165" fontId="15" fillId="0" borderId="10" xfId="0" applyFont="1" applyBorder="1" applyAlignment="1">
      <alignment readingOrder="1"/>
    </xf>
    <xf numFmtId="167" fontId="15" fillId="0" borderId="10" xfId="0" applyNumberFormat="1" applyFont="1" applyBorder="1" applyAlignment="1">
      <alignment readingOrder="1"/>
    </xf>
    <xf numFmtId="167" fontId="14" fillId="0" borderId="10" xfId="0" applyNumberFormat="1" applyFont="1" applyBorder="1" applyAlignment="1">
      <alignment readingOrder="1"/>
    </xf>
    <xf numFmtId="44" fontId="17" fillId="0" borderId="10" xfId="3" applyFont="1" applyFill="1" applyBorder="1"/>
    <xf numFmtId="165" fontId="23" fillId="0" borderId="10" xfId="0" applyFont="1" applyBorder="1" applyAlignment="1">
      <alignment readingOrder="1"/>
    </xf>
    <xf numFmtId="165" fontId="14" fillId="0" borderId="10" xfId="0" applyFont="1" applyBorder="1" applyAlignment="1">
      <alignment horizontal="right" readingOrder="1"/>
    </xf>
    <xf numFmtId="165" fontId="0" fillId="0" borderId="13" xfId="0" applyBorder="1"/>
    <xf numFmtId="165" fontId="24" fillId="0" borderId="10" xfId="0" applyFont="1" applyBorder="1" applyAlignment="1">
      <alignment vertical="center"/>
    </xf>
    <xf numFmtId="165" fontId="25" fillId="0" borderId="10" xfId="0" applyFont="1" applyBorder="1" applyAlignment="1">
      <alignment vertical="center"/>
    </xf>
    <xf numFmtId="167" fontId="25" fillId="0" borderId="10" xfId="0" applyNumberFormat="1" applyFont="1" applyBorder="1" applyAlignment="1">
      <alignment vertical="center"/>
    </xf>
    <xf numFmtId="165" fontId="26" fillId="0" borderId="10" xfId="0" applyFont="1" applyBorder="1" applyAlignment="1">
      <alignment vertical="center"/>
    </xf>
    <xf numFmtId="167" fontId="26" fillId="0" borderId="10" xfId="0" applyNumberFormat="1" applyFont="1" applyBorder="1" applyAlignment="1">
      <alignment vertical="center"/>
    </xf>
    <xf numFmtId="167" fontId="27" fillId="0" borderId="10" xfId="0" applyNumberFormat="1" applyFont="1" applyBorder="1" applyAlignment="1">
      <alignment vertical="center"/>
    </xf>
    <xf numFmtId="165" fontId="15" fillId="0" borderId="0" xfId="0" applyFont="1" applyAlignment="1">
      <alignment horizontal="right" readingOrder="1"/>
    </xf>
    <xf numFmtId="167" fontId="15" fillId="0" borderId="10" xfId="3" applyNumberFormat="1" applyFont="1" applyBorder="1" applyAlignment="1">
      <alignment wrapText="1" readingOrder="1"/>
    </xf>
    <xf numFmtId="165" fontId="15" fillId="0" borderId="10" xfId="0" applyFont="1" applyBorder="1" applyAlignment="1">
      <alignment horizontal="right" readingOrder="1"/>
    </xf>
    <xf numFmtId="0" fontId="15" fillId="0" borderId="0" xfId="0" applyNumberFormat="1" applyFont="1" applyAlignment="1">
      <alignment readingOrder="1"/>
    </xf>
    <xf numFmtId="49" fontId="15" fillId="0" borderId="10" xfId="0" applyNumberFormat="1" applyFont="1" applyBorder="1" applyAlignment="1">
      <alignment readingOrder="1"/>
    </xf>
    <xf numFmtId="2" fontId="19" fillId="0" borderId="0" xfId="0" applyNumberFormat="1" applyFont="1" applyFill="1" applyBorder="1" applyAlignment="1">
      <alignment vertical="center" wrapText="1" readingOrder="1"/>
    </xf>
    <xf numFmtId="2" fontId="15" fillId="0" borderId="0" xfId="0" applyNumberFormat="1" applyFont="1" applyAlignment="1">
      <alignment readingOrder="1"/>
    </xf>
    <xf numFmtId="168" fontId="12" fillId="0" borderId="61" xfId="3" applyNumberFormat="1" applyFont="1" applyFill="1" applyBorder="1" applyAlignment="1">
      <alignment horizontal="center" vertical="center" readingOrder="1"/>
    </xf>
    <xf numFmtId="168" fontId="18" fillId="0" borderId="62" xfId="3" applyNumberFormat="1" applyFont="1" applyFill="1" applyBorder="1" applyAlignment="1">
      <alignment horizontal="center" vertical="center" readingOrder="1"/>
    </xf>
    <xf numFmtId="168" fontId="12" fillId="0" borderId="16" xfId="3" applyNumberFormat="1" applyFont="1" applyFill="1" applyBorder="1" applyAlignment="1">
      <alignment horizontal="center" vertical="center" readingOrder="1"/>
    </xf>
    <xf numFmtId="168" fontId="18" fillId="0" borderId="18" xfId="3" applyNumberFormat="1" applyFont="1" applyFill="1" applyBorder="1" applyAlignment="1">
      <alignment horizontal="center" vertical="center" readingOrder="1"/>
    </xf>
    <xf numFmtId="168" fontId="12" fillId="0" borderId="17" xfId="3" applyNumberFormat="1" applyFont="1" applyFill="1" applyBorder="1" applyAlignment="1">
      <alignment horizontal="center" vertical="center" readingOrder="1"/>
    </xf>
    <xf numFmtId="168" fontId="12" fillId="0" borderId="59" xfId="3" applyNumberFormat="1" applyFont="1" applyFill="1" applyBorder="1" applyAlignment="1">
      <alignment horizontal="center" vertical="center" readingOrder="1"/>
    </xf>
    <xf numFmtId="165" fontId="32" fillId="19" borderId="23" xfId="0" applyFont="1" applyFill="1" applyBorder="1" applyAlignment="1">
      <alignment horizontal="center" vertical="center" wrapText="1" readingOrder="1"/>
    </xf>
    <xf numFmtId="165" fontId="32" fillId="19" borderId="12" xfId="0" applyFont="1" applyFill="1" applyBorder="1" applyAlignment="1">
      <alignment horizontal="center" vertical="center" wrapText="1" readingOrder="1"/>
    </xf>
    <xf numFmtId="165" fontId="32" fillId="19" borderId="10" xfId="0" applyFont="1" applyFill="1" applyBorder="1" applyAlignment="1">
      <alignment horizontal="center" vertical="center" wrapText="1" readingOrder="1"/>
    </xf>
    <xf numFmtId="165" fontId="32" fillId="19" borderId="50" xfId="0" applyFont="1" applyFill="1" applyBorder="1" applyAlignment="1">
      <alignment horizontal="center" vertical="center" wrapText="1" readingOrder="1"/>
    </xf>
    <xf numFmtId="168" fontId="32" fillId="19" borderId="45" xfId="0" applyNumberFormat="1" applyFont="1" applyFill="1" applyBorder="1" applyAlignment="1">
      <alignment horizontal="center" vertical="center" wrapText="1" readingOrder="1"/>
    </xf>
    <xf numFmtId="168" fontId="32" fillId="19" borderId="26" xfId="0" applyNumberFormat="1" applyFont="1" applyFill="1" applyBorder="1" applyAlignment="1">
      <alignment horizontal="center" vertical="center" wrapText="1" readingOrder="1"/>
    </xf>
    <xf numFmtId="168" fontId="32" fillId="19" borderId="46" xfId="0" applyNumberFormat="1" applyFont="1" applyFill="1" applyBorder="1" applyAlignment="1">
      <alignment horizontal="center" vertical="center" wrapText="1" readingOrder="1"/>
    </xf>
    <xf numFmtId="2" fontId="15" fillId="0" borderId="0" xfId="0" quotePrefix="1" applyNumberFormat="1" applyFont="1" applyAlignment="1">
      <alignment horizontal="center" readingOrder="1"/>
    </xf>
    <xf numFmtId="167" fontId="19" fillId="0" borderId="10" xfId="0" applyNumberFormat="1" applyFont="1" applyBorder="1" applyAlignment="1">
      <alignment vertical="center"/>
    </xf>
    <xf numFmtId="165" fontId="22" fillId="9" borderId="2" xfId="0" applyFont="1" applyFill="1" applyBorder="1" applyAlignment="1">
      <alignment horizontal="right" readingOrder="1"/>
    </xf>
    <xf numFmtId="164" fontId="20" fillId="9" borderId="11" xfId="3" quotePrefix="1" applyNumberFormat="1" applyFont="1" applyFill="1" applyBorder="1" applyAlignment="1">
      <alignment horizontal="center" vertical="center" readingOrder="1"/>
    </xf>
    <xf numFmtId="165" fontId="23" fillId="0" borderId="18" xfId="0" applyFont="1" applyBorder="1" applyAlignment="1">
      <alignment readingOrder="1"/>
    </xf>
    <xf numFmtId="165" fontId="4" fillId="4" borderId="13" xfId="0" applyFont="1" applyFill="1" applyBorder="1"/>
    <xf numFmtId="165" fontId="7" fillId="4" borderId="14" xfId="0" applyFont="1" applyFill="1" applyBorder="1"/>
    <xf numFmtId="165" fontId="4" fillId="4" borderId="14" xfId="0" applyFont="1" applyFill="1" applyBorder="1"/>
    <xf numFmtId="165" fontId="7" fillId="4" borderId="12" xfId="0" applyFont="1" applyFill="1" applyBorder="1"/>
    <xf numFmtId="165" fontId="12" fillId="0" borderId="0" xfId="0" applyFont="1" applyFill="1" applyBorder="1" applyAlignment="1">
      <alignment vertical="center" wrapText="1" readingOrder="1"/>
    </xf>
    <xf numFmtId="165" fontId="33" fillId="0" borderId="0" xfId="0" applyFont="1" applyAlignment="1">
      <alignment readingOrder="1"/>
    </xf>
    <xf numFmtId="165" fontId="34" fillId="0" borderId="0" xfId="0" applyFont="1" applyAlignment="1">
      <alignment readingOrder="1"/>
    </xf>
    <xf numFmtId="165" fontId="35" fillId="3" borderId="15" xfId="0" applyFont="1" applyFill="1" applyBorder="1"/>
    <xf numFmtId="165" fontId="35" fillId="3" borderId="19" xfId="0" applyFont="1" applyFill="1" applyBorder="1"/>
    <xf numFmtId="165" fontId="35" fillId="3" borderId="38" xfId="0" applyFont="1" applyFill="1" applyBorder="1"/>
    <xf numFmtId="164" fontId="35" fillId="3" borderId="39" xfId="0" applyNumberFormat="1" applyFont="1" applyFill="1" applyBorder="1" applyAlignment="1">
      <alignment horizontal="center"/>
    </xf>
    <xf numFmtId="164" fontId="35" fillId="15" borderId="60" xfId="0" applyNumberFormat="1" applyFont="1" applyFill="1" applyBorder="1" applyAlignment="1">
      <alignment horizontal="center"/>
    </xf>
    <xf numFmtId="165" fontId="35" fillId="4" borderId="40" xfId="0" applyFont="1" applyFill="1" applyBorder="1"/>
    <xf numFmtId="165" fontId="36" fillId="4" borderId="5" xfId="0" applyFont="1" applyFill="1" applyBorder="1"/>
    <xf numFmtId="165" fontId="35" fillId="4" borderId="7" xfId="0" applyFont="1" applyFill="1" applyBorder="1"/>
    <xf numFmtId="164" fontId="36" fillId="2" borderId="6" xfId="0" applyNumberFormat="1" applyFont="1" applyFill="1" applyBorder="1" applyAlignment="1">
      <alignment horizontal="center"/>
    </xf>
    <xf numFmtId="44" fontId="33" fillId="0" borderId="35" xfId="0" applyNumberFormat="1" applyFont="1" applyBorder="1" applyAlignment="1">
      <alignment readingOrder="1"/>
    </xf>
    <xf numFmtId="165" fontId="35" fillId="4" borderId="41" xfId="0" applyFont="1" applyFill="1" applyBorder="1"/>
    <xf numFmtId="165" fontId="36" fillId="4" borderId="42" xfId="0" applyFont="1" applyFill="1" applyBorder="1"/>
    <xf numFmtId="165" fontId="35" fillId="4" borderId="43" xfId="0" applyFont="1" applyFill="1" applyBorder="1"/>
    <xf numFmtId="164" fontId="36" fillId="2" borderId="44" xfId="0" applyNumberFormat="1" applyFont="1" applyFill="1" applyBorder="1" applyAlignment="1">
      <alignment horizontal="center"/>
    </xf>
    <xf numFmtId="44" fontId="33" fillId="0" borderId="18" xfId="0" applyNumberFormat="1" applyFont="1" applyBorder="1" applyAlignment="1">
      <alignment readingOrder="1"/>
    </xf>
    <xf numFmtId="44" fontId="33" fillId="0" borderId="0" xfId="0" applyNumberFormat="1" applyFont="1" applyAlignment="1">
      <alignment readingOrder="1"/>
    </xf>
    <xf numFmtId="165" fontId="34" fillId="0" borderId="10" xfId="0" applyFont="1" applyBorder="1" applyAlignment="1">
      <alignment readingOrder="1"/>
    </xf>
    <xf numFmtId="167" fontId="33" fillId="0" borderId="10" xfId="0" applyNumberFormat="1" applyFont="1" applyBorder="1" applyAlignment="1">
      <alignment readingOrder="1"/>
    </xf>
    <xf numFmtId="167" fontId="34" fillId="0" borderId="10" xfId="0" applyNumberFormat="1" applyFont="1" applyBorder="1" applyAlignment="1">
      <alignment readingOrder="1"/>
    </xf>
    <xf numFmtId="165" fontId="37" fillId="0" borderId="0" xfId="0" applyFont="1"/>
    <xf numFmtId="164" fontId="35" fillId="15" borderId="39" xfId="0" applyNumberFormat="1" applyFont="1" applyFill="1" applyBorder="1" applyAlignment="1">
      <alignment horizontal="center"/>
    </xf>
    <xf numFmtId="165" fontId="33" fillId="0" borderId="17" xfId="0" applyFont="1" applyBorder="1" applyAlignment="1">
      <alignment readingOrder="1"/>
    </xf>
    <xf numFmtId="44" fontId="33" fillId="0" borderId="0" xfId="0" applyNumberFormat="1" applyFont="1" applyBorder="1" applyAlignment="1">
      <alignment readingOrder="1"/>
    </xf>
    <xf numFmtId="49" fontId="33" fillId="0" borderId="16" xfId="0" applyNumberFormat="1" applyFont="1" applyBorder="1" applyAlignment="1">
      <alignment readingOrder="1"/>
    </xf>
    <xf numFmtId="49" fontId="33" fillId="0" borderId="35" xfId="0" applyNumberFormat="1" applyFont="1" applyBorder="1" applyAlignment="1">
      <alignment readingOrder="1"/>
    </xf>
    <xf numFmtId="44" fontId="33" fillId="0" borderId="36" xfId="0" applyNumberFormat="1" applyFont="1" applyBorder="1" applyAlignment="1">
      <alignment readingOrder="1"/>
    </xf>
    <xf numFmtId="49" fontId="33" fillId="0" borderId="18" xfId="0" applyNumberFormat="1" applyFont="1" applyBorder="1" applyAlignment="1">
      <alignment readingOrder="1"/>
    </xf>
    <xf numFmtId="165" fontId="33" fillId="0" borderId="10" xfId="0" applyFont="1" applyBorder="1" applyAlignment="1">
      <alignment readingOrder="1"/>
    </xf>
    <xf numFmtId="44" fontId="38" fillId="0" borderId="10" xfId="3" applyFont="1" applyFill="1" applyBorder="1"/>
    <xf numFmtId="44" fontId="17" fillId="0" borderId="10" xfId="5" applyNumberFormat="1" applyFont="1" applyBorder="1"/>
    <xf numFmtId="168" fontId="12" fillId="0" borderId="64" xfId="3" applyNumberFormat="1" applyFont="1" applyFill="1" applyBorder="1" applyAlignment="1">
      <alignment horizontal="center" vertical="center" readingOrder="1"/>
    </xf>
    <xf numFmtId="168" fontId="18" fillId="0" borderId="64" xfId="3" applyNumberFormat="1" applyFont="1" applyFill="1" applyBorder="1" applyAlignment="1">
      <alignment horizontal="center" vertical="center" readingOrder="1"/>
    </xf>
    <xf numFmtId="168" fontId="12" fillId="13" borderId="65" xfId="0" applyNumberFormat="1" applyFont="1" applyFill="1" applyBorder="1" applyAlignment="1">
      <alignment horizontal="center" vertical="center" wrapText="1" readingOrder="1"/>
    </xf>
    <xf numFmtId="168" fontId="12" fillId="13" borderId="27" xfId="0" applyNumberFormat="1" applyFont="1" applyFill="1" applyBorder="1" applyAlignment="1">
      <alignment horizontal="center" vertical="center" wrapText="1" readingOrder="1"/>
    </xf>
    <xf numFmtId="165" fontId="19" fillId="3" borderId="0" xfId="0" applyFont="1" applyFill="1" applyBorder="1" applyAlignment="1">
      <alignment vertical="center" wrapText="1" readingOrder="1"/>
    </xf>
    <xf numFmtId="44" fontId="1" fillId="0" borderId="10" xfId="3" applyFont="1" applyFill="1" applyBorder="1"/>
    <xf numFmtId="44" fontId="1" fillId="0" borderId="10" xfId="3" applyFont="1" applyBorder="1"/>
    <xf numFmtId="165" fontId="2" fillId="0" borderId="15" xfId="0" applyFont="1" applyFill="1" applyBorder="1" applyAlignment="1">
      <alignment horizontal="right"/>
    </xf>
    <xf numFmtId="165" fontId="2" fillId="0" borderId="19" xfId="0" applyFont="1" applyFill="1" applyBorder="1" applyAlignment="1">
      <alignment horizontal="right"/>
    </xf>
    <xf numFmtId="164" fontId="2" fillId="0" borderId="10" xfId="3" applyNumberFormat="1" applyFont="1" applyFill="1" applyBorder="1" applyAlignment="1" applyProtection="1">
      <alignment horizontal="center" vertical="center"/>
      <protection locked="0"/>
    </xf>
    <xf numFmtId="44" fontId="2" fillId="0" borderId="10" xfId="3" applyNumberFormat="1" applyFont="1" applyFill="1" applyBorder="1" applyAlignment="1" applyProtection="1">
      <alignment horizontal="center" vertical="center"/>
      <protection locked="0"/>
    </xf>
    <xf numFmtId="164" fontId="18" fillId="0" borderId="0" xfId="3" applyNumberFormat="1" applyFont="1" applyFill="1" applyBorder="1" applyAlignment="1">
      <alignment vertical="center" readingOrder="1"/>
    </xf>
    <xf numFmtId="165" fontId="8" fillId="14" borderId="20" xfId="0" applyFont="1" applyFill="1" applyBorder="1" applyAlignment="1">
      <alignment horizontal="center" vertical="center" readingOrder="1"/>
    </xf>
    <xf numFmtId="165" fontId="8" fillId="14" borderId="21" xfId="0" applyFont="1" applyFill="1" applyBorder="1" applyAlignment="1">
      <alignment horizontal="center" vertical="center" readingOrder="1"/>
    </xf>
    <xf numFmtId="165" fontId="8" fillId="14" borderId="22" xfId="0" applyFont="1" applyFill="1" applyBorder="1" applyAlignment="1">
      <alignment horizontal="center" vertical="center" readingOrder="1"/>
    </xf>
    <xf numFmtId="165" fontId="8" fillId="8" borderId="20" xfId="0" applyFont="1" applyFill="1" applyBorder="1" applyAlignment="1">
      <alignment horizontal="center" vertical="center" wrapText="1" readingOrder="1"/>
    </xf>
    <xf numFmtId="165" fontId="8" fillId="8" borderId="21" xfId="0" applyFont="1" applyFill="1" applyBorder="1" applyAlignment="1">
      <alignment horizontal="center" vertical="center" wrapText="1" readingOrder="1"/>
    </xf>
    <xf numFmtId="165" fontId="8" fillId="8" borderId="22" xfId="0" applyFont="1" applyFill="1" applyBorder="1" applyAlignment="1">
      <alignment horizontal="center" vertical="center" wrapText="1" readingOrder="1"/>
    </xf>
    <xf numFmtId="165" fontId="8" fillId="12" borderId="28" xfId="0" applyFont="1" applyFill="1" applyBorder="1" applyAlignment="1">
      <alignment horizontal="center" vertical="center" wrapText="1" readingOrder="1"/>
    </xf>
    <xf numFmtId="165" fontId="8" fillId="12" borderId="29" xfId="0" applyFont="1" applyFill="1" applyBorder="1" applyAlignment="1">
      <alignment horizontal="center" vertical="center" wrapText="1" readingOrder="1"/>
    </xf>
    <xf numFmtId="165" fontId="8" fillId="12" borderId="30" xfId="0" applyFont="1" applyFill="1" applyBorder="1" applyAlignment="1">
      <alignment horizontal="center" vertical="center" wrapText="1" readingOrder="1"/>
    </xf>
    <xf numFmtId="165" fontId="8" fillId="13" borderId="54" xfId="0" applyFont="1" applyFill="1" applyBorder="1" applyAlignment="1">
      <alignment horizontal="center" vertical="center" wrapText="1" readingOrder="1"/>
    </xf>
    <xf numFmtId="165" fontId="8" fillId="13" borderId="51" xfId="0" applyFont="1" applyFill="1" applyBorder="1" applyAlignment="1">
      <alignment horizontal="center" vertical="center" wrapText="1" readingOrder="1"/>
    </xf>
    <xf numFmtId="165" fontId="8" fillId="13" borderId="52" xfId="0" applyFont="1" applyFill="1" applyBorder="1" applyAlignment="1">
      <alignment horizontal="center" vertical="center" wrapText="1" readingOrder="1"/>
    </xf>
    <xf numFmtId="165" fontId="8" fillId="13" borderId="53" xfId="0" applyFont="1" applyFill="1" applyBorder="1" applyAlignment="1">
      <alignment horizontal="center" vertical="center" wrapText="1" readingOrder="1"/>
    </xf>
    <xf numFmtId="165" fontId="14" fillId="0" borderId="0" xfId="0" applyFont="1" applyAlignment="1">
      <alignment horizontal="center" vertical="center" wrapText="1" readingOrder="1"/>
    </xf>
    <xf numFmtId="167" fontId="14" fillId="0" borderId="0" xfId="0" applyNumberFormat="1" applyFont="1" applyFill="1" applyBorder="1" applyAlignment="1">
      <alignment horizontal="center" vertical="center" wrapText="1" readingOrder="1"/>
    </xf>
    <xf numFmtId="164" fontId="20" fillId="0" borderId="0" xfId="3" applyNumberFormat="1" applyFont="1" applyFill="1" applyBorder="1" applyAlignment="1">
      <alignment vertical="center" readingOrder="1"/>
    </xf>
    <xf numFmtId="168" fontId="12" fillId="0" borderId="0" xfId="3" applyNumberFormat="1" applyFont="1" applyFill="1" applyBorder="1" applyAlignment="1">
      <alignment horizontal="center" vertical="center" readingOrder="1"/>
    </xf>
    <xf numFmtId="168" fontId="18" fillId="0" borderId="49" xfId="3" applyNumberFormat="1" applyFont="1" applyFill="1" applyBorder="1" applyAlignment="1">
      <alignment horizontal="center" vertical="center" readingOrder="1"/>
    </xf>
    <xf numFmtId="168" fontId="18" fillId="0" borderId="51" xfId="3" applyNumberFormat="1" applyFont="1" applyFill="1" applyBorder="1" applyAlignment="1">
      <alignment horizontal="center" vertical="center" readingOrder="1"/>
    </xf>
    <xf numFmtId="165" fontId="12" fillId="0" borderId="0" xfId="0" applyFont="1" applyFill="1" applyBorder="1" applyAlignment="1">
      <alignment horizontal="center" vertical="center" readingOrder="1"/>
    </xf>
    <xf numFmtId="168" fontId="12" fillId="0" borderId="31" xfId="3" applyNumberFormat="1" applyFont="1" applyFill="1" applyBorder="1" applyAlignment="1">
      <alignment horizontal="center" vertical="center" readingOrder="1"/>
    </xf>
    <xf numFmtId="168" fontId="12" fillId="0" borderId="32" xfId="3" applyNumberFormat="1" applyFont="1" applyFill="1" applyBorder="1" applyAlignment="1">
      <alignment horizontal="center" vertical="center" readingOrder="1"/>
    </xf>
    <xf numFmtId="168" fontId="12" fillId="0" borderId="4" xfId="3" applyNumberFormat="1" applyFont="1" applyFill="1" applyBorder="1" applyAlignment="1">
      <alignment horizontal="center" vertical="center" readingOrder="1"/>
    </xf>
    <xf numFmtId="164" fontId="19" fillId="0" borderId="0" xfId="3" quotePrefix="1" applyNumberFormat="1" applyFont="1" applyFill="1" applyBorder="1" applyAlignment="1">
      <alignment horizontal="right" vertical="center" readingOrder="1"/>
    </xf>
    <xf numFmtId="165" fontId="15" fillId="0" borderId="1" xfId="0" applyFont="1" applyBorder="1" applyAlignment="1">
      <alignment horizontal="center" readingOrder="1"/>
    </xf>
    <xf numFmtId="165" fontId="32" fillId="19" borderId="34" xfId="0" applyFont="1" applyFill="1" applyBorder="1" applyAlignment="1">
      <alignment horizontal="center" vertical="center" wrapText="1" readingOrder="1"/>
    </xf>
    <xf numFmtId="165" fontId="32" fillId="19" borderId="30" xfId="0" applyFont="1" applyFill="1" applyBorder="1" applyAlignment="1">
      <alignment horizontal="center" vertical="center" wrapText="1" readingOrder="1"/>
    </xf>
    <xf numFmtId="165" fontId="32" fillId="19" borderId="28" xfId="0" applyFont="1" applyFill="1" applyBorder="1" applyAlignment="1">
      <alignment horizontal="center" vertical="center" wrapText="1" readingOrder="1"/>
    </xf>
    <xf numFmtId="165" fontId="32" fillId="19" borderId="63" xfId="0" applyFont="1" applyFill="1" applyBorder="1" applyAlignment="1">
      <alignment horizontal="center" vertical="center" wrapText="1" readingOrder="1"/>
    </xf>
    <xf numFmtId="168" fontId="12" fillId="0" borderId="2" xfId="3" applyNumberFormat="1" applyFont="1" applyFill="1" applyBorder="1" applyAlignment="1">
      <alignment horizontal="center" vertical="center" readingOrder="1"/>
    </xf>
    <xf numFmtId="168" fontId="12" fillId="0" borderId="11" xfId="3" applyNumberFormat="1" applyFont="1" applyFill="1" applyBorder="1" applyAlignment="1">
      <alignment horizontal="center" vertical="center" readingOrder="1"/>
    </xf>
    <xf numFmtId="168" fontId="12" fillId="0" borderId="3" xfId="3" applyNumberFormat="1" applyFont="1" applyFill="1" applyBorder="1" applyAlignment="1">
      <alignment horizontal="center" vertical="center" readingOrder="1"/>
    </xf>
  </cellXfs>
  <cellStyles count="8">
    <cellStyle name="Moeda" xfId="3" builtinId="4"/>
    <cellStyle name="Moeda 15" xfId="7"/>
    <cellStyle name="Normal" xfId="0" builtinId="0"/>
    <cellStyle name="Normal 10 10" xfId="5"/>
    <cellStyle name="Normal 2" xfId="4"/>
    <cellStyle name="Normal 3" xfId="6"/>
    <cellStyle name="Porcentagem" xfId="1" builtinId="5"/>
    <cellStyle name="Vírgula 12" xfId="2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9">
    <tabColor rgb="FFFFC000"/>
    <pageSetUpPr fitToPage="1"/>
  </sheetPr>
  <dimension ref="A2:M35"/>
  <sheetViews>
    <sheetView workbookViewId="0">
      <selection activeCell="C12" sqref="C12"/>
    </sheetView>
  </sheetViews>
  <sheetFormatPr defaultRowHeight="15" x14ac:dyDescent="0.25"/>
  <cols>
    <col min="1" max="1" width="12.5703125" style="8" bestFit="1" customWidth="1"/>
    <col min="2" max="2" width="13.5703125" style="8" bestFit="1" customWidth="1"/>
    <col min="3" max="3" width="6" style="8" bestFit="1" customWidth="1"/>
    <col min="4" max="4" width="16.85546875" style="8" bestFit="1" customWidth="1"/>
    <col min="5" max="7" width="15.85546875" style="8" bestFit="1" customWidth="1"/>
    <col min="8" max="8" width="14.28515625" style="8" bestFit="1" customWidth="1"/>
    <col min="9" max="9" width="15.85546875" style="8" bestFit="1" customWidth="1"/>
    <col min="10" max="11" width="14.28515625" style="8" bestFit="1" customWidth="1"/>
    <col min="12" max="13" width="15.85546875" style="8" bestFit="1" customWidth="1"/>
    <col min="14" max="14" width="11.5703125" style="8" bestFit="1" customWidth="1"/>
    <col min="15" max="16384" width="9.140625" style="8"/>
  </cols>
  <sheetData>
    <row r="2" spans="1:13" x14ac:dyDescent="0.25">
      <c r="A2" s="8" t="s">
        <v>52</v>
      </c>
    </row>
    <row r="4" spans="1:13" x14ac:dyDescent="0.25">
      <c r="A4" s="19" t="s">
        <v>50</v>
      </c>
      <c r="B4" s="19" t="s">
        <v>40</v>
      </c>
      <c r="C4" s="19" t="s">
        <v>23</v>
      </c>
      <c r="D4" s="19" t="s">
        <v>30</v>
      </c>
      <c r="E4" s="19">
        <v>41791</v>
      </c>
      <c r="F4" s="19">
        <v>41821</v>
      </c>
      <c r="G4" s="19">
        <v>41852</v>
      </c>
      <c r="H4" s="19">
        <v>41883</v>
      </c>
      <c r="I4" s="19">
        <v>41913</v>
      </c>
      <c r="J4" s="19">
        <v>41944</v>
      </c>
      <c r="K4" s="19">
        <v>41974</v>
      </c>
      <c r="L4" s="19" t="s">
        <v>21</v>
      </c>
      <c r="M4" s="20">
        <v>2015</v>
      </c>
    </row>
    <row r="5" spans="1:13" x14ac:dyDescent="0.25">
      <c r="A5" s="10" t="s">
        <v>41</v>
      </c>
      <c r="B5" s="27" t="s">
        <v>33</v>
      </c>
      <c r="C5" s="22">
        <v>84137</v>
      </c>
      <c r="D5" s="9">
        <v>534203</v>
      </c>
      <c r="E5" s="23"/>
      <c r="F5" s="23">
        <f>53760.9</f>
        <v>53760.9</v>
      </c>
      <c r="G5" s="23">
        <v>10000</v>
      </c>
      <c r="H5" s="23">
        <v>18000</v>
      </c>
      <c r="I5" s="23">
        <v>18000</v>
      </c>
      <c r="J5" s="23">
        <v>18000</v>
      </c>
      <c r="K5" s="23">
        <v>18000</v>
      </c>
      <c r="L5" s="23">
        <f>SUM(E5:K5)</f>
        <v>135760.9</v>
      </c>
      <c r="M5" s="23">
        <v>398442.1</v>
      </c>
    </row>
    <row r="6" spans="1:13" x14ac:dyDescent="0.25">
      <c r="A6" s="10" t="s">
        <v>41</v>
      </c>
      <c r="B6" s="21" t="s">
        <v>32</v>
      </c>
      <c r="C6" s="22">
        <v>84200</v>
      </c>
      <c r="D6" s="9">
        <v>1995964</v>
      </c>
      <c r="E6" s="23">
        <v>1675964</v>
      </c>
      <c r="F6" s="23"/>
      <c r="G6" s="23"/>
      <c r="H6" s="23"/>
      <c r="I6" s="23"/>
      <c r="J6" s="23"/>
      <c r="K6" s="23"/>
      <c r="L6" s="23">
        <f>SUM(E6:K6)</f>
        <v>1675964</v>
      </c>
      <c r="M6" s="26">
        <v>320000</v>
      </c>
    </row>
    <row r="7" spans="1:13" x14ac:dyDescent="0.25">
      <c r="A7" s="10" t="s">
        <v>18</v>
      </c>
      <c r="B7" s="21" t="s">
        <v>34</v>
      </c>
      <c r="C7" s="24">
        <v>83882</v>
      </c>
      <c r="D7" s="9">
        <v>70000</v>
      </c>
      <c r="E7" s="23">
        <v>70000</v>
      </c>
      <c r="F7" s="23"/>
      <c r="G7" s="23"/>
      <c r="H7" s="23"/>
      <c r="I7" s="23"/>
      <c r="J7" s="23"/>
      <c r="K7" s="23"/>
      <c r="L7" s="23">
        <f>SUM(E7:K7)</f>
        <v>70000</v>
      </c>
      <c r="M7" s="9">
        <v>0</v>
      </c>
    </row>
    <row r="8" spans="1:13" x14ac:dyDescent="0.25">
      <c r="A8" s="10" t="s">
        <v>41</v>
      </c>
      <c r="B8" s="21" t="s">
        <v>34</v>
      </c>
      <c r="C8" s="24">
        <v>83882</v>
      </c>
      <c r="D8" s="28">
        <v>900797</v>
      </c>
      <c r="E8" s="23"/>
      <c r="F8" s="23">
        <v>180159</v>
      </c>
      <c r="G8" s="23"/>
      <c r="H8" s="23"/>
      <c r="I8" s="23"/>
      <c r="J8" s="23"/>
      <c r="K8" s="23"/>
      <c r="L8" s="23">
        <f>SUM(E8:K8)</f>
        <v>180159</v>
      </c>
      <c r="M8" s="23">
        <v>720638</v>
      </c>
    </row>
    <row r="9" spans="1:13" x14ac:dyDescent="0.25">
      <c r="A9" s="10" t="s">
        <v>18</v>
      </c>
      <c r="B9" s="21" t="s">
        <v>19</v>
      </c>
      <c r="C9" s="24">
        <v>83907</v>
      </c>
      <c r="D9" s="25">
        <v>25000</v>
      </c>
      <c r="E9" s="23">
        <v>25000</v>
      </c>
      <c r="F9" s="23"/>
      <c r="G9" s="23"/>
      <c r="H9" s="23"/>
      <c r="I9" s="23"/>
      <c r="J9" s="23"/>
      <c r="K9" s="23"/>
      <c r="L9" s="23">
        <f t="shared" ref="L9:L14" si="0">SUM(E9:K9)</f>
        <v>25000</v>
      </c>
      <c r="M9" s="23"/>
    </row>
    <row r="10" spans="1:13" x14ac:dyDescent="0.25">
      <c r="A10" s="10" t="s">
        <v>41</v>
      </c>
      <c r="B10" s="21" t="s">
        <v>19</v>
      </c>
      <c r="C10" s="24">
        <v>83907</v>
      </c>
      <c r="D10" s="28">
        <v>496824</v>
      </c>
      <c r="E10" s="23"/>
      <c r="F10" s="23">
        <v>149047</v>
      </c>
      <c r="G10" s="23"/>
      <c r="H10" s="23"/>
      <c r="I10" s="23"/>
      <c r="J10" s="23"/>
      <c r="K10" s="23"/>
      <c r="L10" s="23">
        <f t="shared" si="0"/>
        <v>149047</v>
      </c>
      <c r="M10" s="23">
        <v>347777</v>
      </c>
    </row>
    <row r="11" spans="1:13" x14ac:dyDescent="0.25">
      <c r="A11" s="10" t="s">
        <v>41</v>
      </c>
      <c r="B11" s="21" t="s">
        <v>20</v>
      </c>
      <c r="C11" s="24">
        <v>83909</v>
      </c>
      <c r="D11" s="9">
        <v>1002576</v>
      </c>
      <c r="E11" s="23"/>
      <c r="F11" s="23">
        <v>300773</v>
      </c>
      <c r="G11" s="23"/>
      <c r="H11" s="23"/>
      <c r="I11" s="23"/>
      <c r="J11" s="23"/>
      <c r="K11" s="23"/>
      <c r="L11" s="23">
        <f t="shared" si="0"/>
        <v>300773</v>
      </c>
      <c r="M11" s="23">
        <v>701803</v>
      </c>
    </row>
    <row r="12" spans="1:13" x14ac:dyDescent="0.25">
      <c r="A12" s="10" t="s">
        <v>18</v>
      </c>
      <c r="B12" s="21" t="s">
        <v>36</v>
      </c>
      <c r="C12" s="24">
        <v>84710</v>
      </c>
      <c r="D12" s="25">
        <v>1665200</v>
      </c>
      <c r="E12" s="25">
        <f>D12</f>
        <v>1665200</v>
      </c>
      <c r="F12" s="25"/>
      <c r="G12" s="25"/>
      <c r="H12" s="25"/>
      <c r="I12" s="25"/>
      <c r="J12" s="25"/>
      <c r="K12" s="25"/>
      <c r="L12" s="23">
        <f t="shared" si="0"/>
        <v>1665200</v>
      </c>
      <c r="M12" s="10"/>
    </row>
    <row r="13" spans="1:13" x14ac:dyDescent="0.25">
      <c r="A13" s="10" t="s">
        <v>41</v>
      </c>
      <c r="B13" s="21" t="s">
        <v>36</v>
      </c>
      <c r="C13" s="24">
        <v>84710</v>
      </c>
      <c r="D13" s="25">
        <v>870366</v>
      </c>
      <c r="E13" s="10"/>
      <c r="F13" s="23">
        <v>261110</v>
      </c>
      <c r="G13" s="10"/>
      <c r="H13" s="10"/>
      <c r="I13" s="10"/>
      <c r="J13" s="10"/>
      <c r="K13" s="10"/>
      <c r="L13" s="23">
        <f t="shared" si="0"/>
        <v>261110</v>
      </c>
      <c r="M13" s="23">
        <v>609256</v>
      </c>
    </row>
    <row r="14" spans="1:13" x14ac:dyDescent="0.25">
      <c r="A14" s="10" t="s">
        <v>41</v>
      </c>
      <c r="B14" s="21" t="s">
        <v>37</v>
      </c>
      <c r="C14" s="24">
        <v>84711</v>
      </c>
      <c r="D14" s="25">
        <v>1194870</v>
      </c>
      <c r="E14" s="25"/>
      <c r="F14" s="25">
        <v>85939</v>
      </c>
      <c r="G14" s="25"/>
      <c r="H14" s="25"/>
      <c r="I14" s="25"/>
      <c r="J14" s="25"/>
      <c r="K14" s="25"/>
      <c r="L14" s="25">
        <f t="shared" si="0"/>
        <v>85939</v>
      </c>
      <c r="M14" s="25">
        <v>1108931</v>
      </c>
    </row>
    <row r="15" spans="1:13" s="12" customFormat="1" x14ac:dyDescent="0.25">
      <c r="A15" s="209" t="s">
        <v>51</v>
      </c>
      <c r="B15" s="210"/>
      <c r="C15" s="210"/>
      <c r="D15" s="18">
        <f t="shared" ref="D15:M15" si="1">SUBTOTAL(9,D5:D14)</f>
        <v>8755800</v>
      </c>
      <c r="E15" s="18">
        <f t="shared" si="1"/>
        <v>3436164</v>
      </c>
      <c r="F15" s="18">
        <f t="shared" si="1"/>
        <v>1030788.9</v>
      </c>
      <c r="G15" s="18">
        <f t="shared" si="1"/>
        <v>10000</v>
      </c>
      <c r="H15" s="18">
        <f t="shared" si="1"/>
        <v>18000</v>
      </c>
      <c r="I15" s="18">
        <f t="shared" si="1"/>
        <v>18000</v>
      </c>
      <c r="J15" s="18">
        <f t="shared" si="1"/>
        <v>18000</v>
      </c>
      <c r="K15" s="18">
        <f t="shared" si="1"/>
        <v>18000</v>
      </c>
      <c r="L15" s="18">
        <f t="shared" si="1"/>
        <v>4548952.9000000004</v>
      </c>
      <c r="M15" s="18">
        <f t="shared" si="1"/>
        <v>4206847.0999999996</v>
      </c>
    </row>
    <row r="16" spans="1:13" x14ac:dyDescent="0.25">
      <c r="L16" s="211">
        <f>L15+M15</f>
        <v>8755800</v>
      </c>
      <c r="M16" s="211"/>
    </row>
    <row r="18" spans="1:13" x14ac:dyDescent="0.25">
      <c r="A18" s="8" t="s">
        <v>53</v>
      </c>
      <c r="I18" s="29"/>
      <c r="M18" s="29"/>
    </row>
    <row r="19" spans="1:13" x14ac:dyDescent="0.25">
      <c r="G19" s="29"/>
      <c r="M19" s="29"/>
    </row>
    <row r="20" spans="1:13" x14ac:dyDescent="0.25">
      <c r="A20" s="31" t="s">
        <v>50</v>
      </c>
      <c r="B20" s="31" t="s">
        <v>29</v>
      </c>
      <c r="C20" s="31" t="s">
        <v>23</v>
      </c>
      <c r="D20" s="31" t="s">
        <v>30</v>
      </c>
      <c r="E20" s="31">
        <v>41791</v>
      </c>
      <c r="F20" s="31">
        <v>41821</v>
      </c>
      <c r="G20" s="31">
        <v>41852</v>
      </c>
      <c r="H20" s="31">
        <v>41883</v>
      </c>
      <c r="I20" s="31">
        <v>41913</v>
      </c>
      <c r="J20" s="31">
        <v>41944</v>
      </c>
      <c r="K20" s="31">
        <v>41974</v>
      </c>
      <c r="L20" s="31" t="s">
        <v>21</v>
      </c>
      <c r="M20" s="32">
        <v>2015</v>
      </c>
    </row>
    <row r="21" spans="1:13" x14ac:dyDescent="0.25">
      <c r="A21" s="10" t="s">
        <v>41</v>
      </c>
      <c r="B21" s="21" t="s">
        <v>20</v>
      </c>
      <c r="C21" s="22">
        <v>84137</v>
      </c>
      <c r="D21" s="9">
        <v>534203.18999999994</v>
      </c>
      <c r="E21" s="33"/>
      <c r="F21" s="33">
        <f>53760.9</f>
        <v>53760.9</v>
      </c>
      <c r="G21" s="33">
        <v>13197.5</v>
      </c>
      <c r="H21" s="33">
        <v>17737.439999999999</v>
      </c>
      <c r="I21" s="33">
        <v>18000</v>
      </c>
      <c r="J21" s="33">
        <v>18000</v>
      </c>
      <c r="K21" s="33">
        <f>18000+42500</f>
        <v>60500</v>
      </c>
      <c r="L21" s="33">
        <f>SUM(E21:K21)</f>
        <v>181195.84</v>
      </c>
      <c r="M21" s="33">
        <f>D21-L21</f>
        <v>353007.35</v>
      </c>
    </row>
    <row r="22" spans="1:13" x14ac:dyDescent="0.25">
      <c r="A22" s="10" t="s">
        <v>41</v>
      </c>
      <c r="B22" s="21" t="s">
        <v>19</v>
      </c>
      <c r="C22" s="22">
        <v>84200</v>
      </c>
      <c r="D22" s="9">
        <v>1880848.2</v>
      </c>
      <c r="E22" s="33"/>
      <c r="F22" s="33"/>
      <c r="G22" s="33">
        <v>270109.81</v>
      </c>
      <c r="H22" s="33">
        <v>683251.38</v>
      </c>
      <c r="I22" s="33">
        <v>927487.01</v>
      </c>
      <c r="J22" s="33"/>
      <c r="K22" s="33"/>
      <c r="L22" s="33">
        <f>SUM(E22:K22)</f>
        <v>1880848.2</v>
      </c>
      <c r="M22" s="35">
        <v>0</v>
      </c>
    </row>
    <row r="23" spans="1:13" x14ac:dyDescent="0.25">
      <c r="A23" s="10" t="s">
        <v>18</v>
      </c>
      <c r="B23" s="21" t="s">
        <v>34</v>
      </c>
      <c r="C23" s="24">
        <v>83882</v>
      </c>
      <c r="D23" s="9">
        <v>70000</v>
      </c>
      <c r="E23" s="33">
        <v>70000</v>
      </c>
      <c r="F23" s="33"/>
      <c r="G23" s="33"/>
      <c r="H23" s="33"/>
      <c r="I23" s="33"/>
      <c r="J23" s="33"/>
      <c r="K23" s="33"/>
      <c r="L23" s="33">
        <f>SUM(E23:K23)</f>
        <v>70000</v>
      </c>
      <c r="M23" s="35">
        <v>0</v>
      </c>
    </row>
    <row r="24" spans="1:13" x14ac:dyDescent="0.25">
      <c r="A24" s="10" t="s">
        <v>41</v>
      </c>
      <c r="B24" s="21" t="s">
        <v>34</v>
      </c>
      <c r="C24" s="24">
        <v>83882</v>
      </c>
      <c r="D24" s="28">
        <v>1619999.94</v>
      </c>
      <c r="E24" s="33"/>
      <c r="F24" s="33"/>
      <c r="G24" s="33">
        <v>485999.94</v>
      </c>
      <c r="H24" s="29"/>
      <c r="I24" s="33"/>
      <c r="J24" s="33"/>
      <c r="K24" s="33"/>
      <c r="L24" s="33">
        <f>SUM(E24:K24)</f>
        <v>485999.94</v>
      </c>
      <c r="M24" s="33">
        <f>D24-L24</f>
        <v>1134000</v>
      </c>
    </row>
    <row r="25" spans="1:13" x14ac:dyDescent="0.25">
      <c r="A25" s="10" t="s">
        <v>18</v>
      </c>
      <c r="B25" s="21" t="s">
        <v>34</v>
      </c>
      <c r="C25" s="24">
        <v>83907</v>
      </c>
      <c r="D25" s="25">
        <v>25000</v>
      </c>
      <c r="E25" s="33">
        <v>25000</v>
      </c>
      <c r="F25" s="33"/>
      <c r="G25" s="33"/>
      <c r="H25" s="33"/>
      <c r="I25" s="33"/>
      <c r="J25" s="33"/>
      <c r="K25" s="33"/>
      <c r="L25" s="33">
        <f t="shared" ref="L25:L30" si="2">SUM(E25:K25)</f>
        <v>25000</v>
      </c>
      <c r="M25" s="35">
        <v>0</v>
      </c>
    </row>
    <row r="26" spans="1:13" x14ac:dyDescent="0.25">
      <c r="A26" s="10" t="s">
        <v>41</v>
      </c>
      <c r="B26" s="21" t="s">
        <v>34</v>
      </c>
      <c r="C26" s="24">
        <v>83907</v>
      </c>
      <c r="D26" s="28">
        <v>774999.98</v>
      </c>
      <c r="E26" s="33"/>
      <c r="F26" s="33"/>
      <c r="G26" s="33">
        <v>232500.05</v>
      </c>
      <c r="H26" s="33"/>
      <c r="I26" s="33"/>
      <c r="K26" s="33"/>
      <c r="L26" s="33">
        <f t="shared" si="2"/>
        <v>232500.05</v>
      </c>
      <c r="M26" s="33">
        <f>D26-L26</f>
        <v>542499.92999999993</v>
      </c>
    </row>
    <row r="27" spans="1:13" x14ac:dyDescent="0.25">
      <c r="A27" s="10" t="s">
        <v>41</v>
      </c>
      <c r="B27" s="21" t="s">
        <v>20</v>
      </c>
      <c r="C27" s="24">
        <v>83909</v>
      </c>
      <c r="D27" s="9">
        <v>890796.7</v>
      </c>
      <c r="E27" s="33"/>
      <c r="F27" s="29"/>
      <c r="G27" s="33">
        <v>267239.01</v>
      </c>
      <c r="H27" s="33"/>
      <c r="I27" s="33"/>
      <c r="J27" s="33">
        <v>95802.04</v>
      </c>
      <c r="K27" s="33"/>
      <c r="L27" s="33">
        <f t="shared" si="2"/>
        <v>363041.05</v>
      </c>
      <c r="M27" s="33">
        <f>D27-L27</f>
        <v>527755.64999999991</v>
      </c>
    </row>
    <row r="28" spans="1:13" x14ac:dyDescent="0.25">
      <c r="A28" s="10" t="s">
        <v>18</v>
      </c>
      <c r="B28" s="21" t="s">
        <v>54</v>
      </c>
      <c r="C28" s="24">
        <v>84710</v>
      </c>
      <c r="D28" s="25">
        <v>1665200</v>
      </c>
      <c r="E28" s="25">
        <f>D28</f>
        <v>1665200</v>
      </c>
      <c r="F28" s="25"/>
      <c r="G28" s="25"/>
      <c r="H28" s="25"/>
      <c r="I28" s="25"/>
      <c r="J28" s="25"/>
      <c r="K28" s="25"/>
      <c r="L28" s="33">
        <f t="shared" si="2"/>
        <v>1665200</v>
      </c>
      <c r="M28" s="35">
        <v>0</v>
      </c>
    </row>
    <row r="29" spans="1:13" x14ac:dyDescent="0.25">
      <c r="A29" s="10" t="s">
        <v>41</v>
      </c>
      <c r="B29" s="21" t="s">
        <v>54</v>
      </c>
      <c r="C29" s="24">
        <v>84710</v>
      </c>
      <c r="D29" s="25">
        <v>870366</v>
      </c>
      <c r="E29" s="9"/>
      <c r="F29" s="33"/>
      <c r="G29" s="9"/>
      <c r="H29" s="9"/>
      <c r="I29" s="9"/>
      <c r="J29" s="9"/>
      <c r="K29" s="9"/>
      <c r="L29" s="33">
        <f t="shared" si="2"/>
        <v>0</v>
      </c>
      <c r="M29" s="33">
        <f>D29</f>
        <v>870366</v>
      </c>
    </row>
    <row r="30" spans="1:13" x14ac:dyDescent="0.25">
      <c r="A30" s="10" t="s">
        <v>41</v>
      </c>
      <c r="B30" s="21" t="s">
        <v>55</v>
      </c>
      <c r="C30" s="24">
        <v>84711</v>
      </c>
      <c r="D30" s="25">
        <v>1194871</v>
      </c>
      <c r="E30" s="25"/>
      <c r="F30" s="25"/>
      <c r="G30" s="25"/>
      <c r="H30" s="25"/>
      <c r="I30" s="25"/>
      <c r="J30" s="25"/>
      <c r="K30" s="25"/>
      <c r="L30" s="25">
        <f t="shared" si="2"/>
        <v>0</v>
      </c>
      <c r="M30" s="36">
        <f>D30</f>
        <v>1194871</v>
      </c>
    </row>
    <row r="31" spans="1:13" x14ac:dyDescent="0.25">
      <c r="A31" s="10" t="s">
        <v>41</v>
      </c>
      <c r="B31" s="34"/>
      <c r="C31" s="24" t="s">
        <v>28</v>
      </c>
      <c r="D31" s="25">
        <v>473714.99</v>
      </c>
      <c r="E31" s="25"/>
      <c r="F31" s="25"/>
      <c r="G31" s="25"/>
      <c r="H31" s="25"/>
      <c r="I31" s="25"/>
      <c r="J31" s="25"/>
      <c r="K31" s="25"/>
      <c r="L31" s="25"/>
      <c r="M31" s="36">
        <f>D31</f>
        <v>473714.99</v>
      </c>
    </row>
    <row r="32" spans="1:13" x14ac:dyDescent="0.25">
      <c r="A32" s="209" t="s">
        <v>51</v>
      </c>
      <c r="B32" s="210"/>
      <c r="C32" s="210"/>
      <c r="D32" s="18">
        <f>SUBTOTAL(9,D21:D31)</f>
        <v>10000000</v>
      </c>
      <c r="E32" s="18">
        <f t="shared" ref="E32:L32" si="3">SUBTOTAL(9,E21:E30)</f>
        <v>1760200</v>
      </c>
      <c r="F32" s="18">
        <f t="shared" si="3"/>
        <v>53760.9</v>
      </c>
      <c r="G32" s="18">
        <f t="shared" si="3"/>
        <v>1269046.31</v>
      </c>
      <c r="H32" s="18">
        <f t="shared" si="3"/>
        <v>700988.82</v>
      </c>
      <c r="I32" s="18">
        <f t="shared" si="3"/>
        <v>945487.01</v>
      </c>
      <c r="J32" s="18">
        <f t="shared" si="3"/>
        <v>113802.04</v>
      </c>
      <c r="K32" s="18">
        <f t="shared" si="3"/>
        <v>60500</v>
      </c>
      <c r="L32" s="18">
        <f t="shared" si="3"/>
        <v>4903785.08</v>
      </c>
      <c r="M32" s="18">
        <f>M21+M22+M23+M24+M25+M26+M27+M28+M29+M30+M31</f>
        <v>5096214.92</v>
      </c>
    </row>
    <row r="33" spans="4:13" x14ac:dyDescent="0.25">
      <c r="D33" s="29"/>
      <c r="E33" s="29"/>
      <c r="F33" s="29"/>
      <c r="G33" s="29"/>
      <c r="H33" s="29"/>
      <c r="I33" s="29"/>
      <c r="J33" s="29"/>
      <c r="K33" s="29"/>
      <c r="L33" s="212">
        <f>L32+M32</f>
        <v>10000000</v>
      </c>
      <c r="M33" s="212"/>
    </row>
    <row r="35" spans="4:13" x14ac:dyDescent="0.25">
      <c r="G35" s="29"/>
    </row>
  </sheetData>
  <autoFilter ref="A4:M16"/>
  <sortState ref="A3:N19">
    <sortCondition ref="D3:D19"/>
    <sortCondition ref="A3:A19"/>
  </sortState>
  <mergeCells count="4">
    <mergeCell ref="A15:C15"/>
    <mergeCell ref="L16:M16"/>
    <mergeCell ref="A32:C32"/>
    <mergeCell ref="L33:M33"/>
  </mergeCells>
  <pageMargins left="0.25" right="0.25" top="0.75" bottom="0.75" header="0.3" footer="0.3"/>
  <pageSetup paperSize="9" scale="76" fitToHeight="0" orientation="landscape" r:id="rId1"/>
  <ignoredErrors>
    <ignoredError sqref="L16:M16 L21:M21 L22:M30 L31:M33" unlockedFormula="1"/>
    <ignoredError sqref="L5:M15" formulaRange="1" unlockedFormula="1"/>
    <ignoredError sqref="G15:K15 G32:J3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2"/>
  <sheetViews>
    <sheetView showGridLines="0" topLeftCell="E1" zoomScale="91" zoomScaleNormal="91" workbookViewId="0">
      <selection activeCell="P4" sqref="P4:Q11"/>
    </sheetView>
  </sheetViews>
  <sheetFormatPr defaultRowHeight="12.75" x14ac:dyDescent="0.2"/>
  <cols>
    <col min="1" max="1" width="35.85546875" style="13" bestFit="1" customWidth="1"/>
    <col min="2" max="2" width="15.85546875" style="13" hidden="1" customWidth="1"/>
    <col min="3" max="3" width="15.7109375" style="13" customWidth="1"/>
    <col min="4" max="4" width="13.5703125" style="13" customWidth="1"/>
    <col min="5" max="5" width="15.7109375" style="13" customWidth="1"/>
    <col min="6" max="6" width="13.42578125" style="13" customWidth="1"/>
    <col min="7" max="7" width="10" style="13" customWidth="1"/>
    <col min="8" max="8" width="16.85546875" style="13" customWidth="1"/>
    <col min="9" max="9" width="15.42578125" style="13" bestFit="1" customWidth="1"/>
    <col min="10" max="10" width="16.28515625" style="13" bestFit="1" customWidth="1"/>
    <col min="11" max="11" width="15.7109375" style="13" customWidth="1"/>
    <col min="12" max="12" width="14.140625" style="13" customWidth="1"/>
    <col min="13" max="15" width="14.7109375" style="13" customWidth="1"/>
    <col min="16" max="17" width="16.5703125" style="13" bestFit="1" customWidth="1"/>
    <col min="18" max="18" width="9.140625" style="13"/>
    <col min="19" max="19" width="14.5703125" style="13" bestFit="1" customWidth="1"/>
    <col min="20" max="16384" width="9.140625" style="13"/>
  </cols>
  <sheetData>
    <row r="1" spans="1:19" ht="13.5" thickBot="1" x14ac:dyDescent="0.25">
      <c r="F1" s="13" t="s">
        <v>71</v>
      </c>
      <c r="G1" s="13" t="s">
        <v>70</v>
      </c>
      <c r="K1" s="238" t="s">
        <v>72</v>
      </c>
      <c r="L1" s="238"/>
      <c r="M1" s="238"/>
    </row>
    <row r="2" spans="1:19" ht="24.75" customHeight="1" x14ac:dyDescent="0.2">
      <c r="A2" s="17"/>
      <c r="B2" s="70" t="s">
        <v>13</v>
      </c>
      <c r="C2" s="214" t="s">
        <v>57</v>
      </c>
      <c r="D2" s="215"/>
      <c r="E2" s="216"/>
      <c r="F2" s="225" t="s">
        <v>75</v>
      </c>
      <c r="G2" s="223" t="s">
        <v>76</v>
      </c>
      <c r="H2" s="217" t="s">
        <v>56</v>
      </c>
      <c r="I2" s="218"/>
      <c r="J2" s="219"/>
      <c r="K2" s="220" t="s">
        <v>73</v>
      </c>
      <c r="L2" s="221"/>
      <c r="M2" s="222"/>
      <c r="N2" s="241" t="s">
        <v>65</v>
      </c>
      <c r="O2" s="242"/>
      <c r="P2" s="239" t="s">
        <v>66</v>
      </c>
      <c r="Q2" s="240"/>
    </row>
    <row r="3" spans="1:19" ht="15.75" thickBot="1" x14ac:dyDescent="0.25">
      <c r="A3" s="6"/>
      <c r="B3" s="71" t="s">
        <v>12</v>
      </c>
      <c r="C3" s="40" t="s">
        <v>41</v>
      </c>
      <c r="D3" s="37" t="s">
        <v>18</v>
      </c>
      <c r="E3" s="41" t="s">
        <v>22</v>
      </c>
      <c r="F3" s="226"/>
      <c r="G3" s="224"/>
      <c r="H3" s="42" t="s">
        <v>143</v>
      </c>
      <c r="I3" s="30" t="s">
        <v>18</v>
      </c>
      <c r="J3" s="43" t="s">
        <v>22</v>
      </c>
      <c r="K3" s="72" t="s">
        <v>58</v>
      </c>
      <c r="L3" s="47" t="s">
        <v>59</v>
      </c>
      <c r="M3" s="73" t="s">
        <v>60</v>
      </c>
      <c r="N3" s="153" t="s">
        <v>41</v>
      </c>
      <c r="O3" s="154" t="s">
        <v>18</v>
      </c>
      <c r="P3" s="155" t="s">
        <v>24</v>
      </c>
      <c r="Q3" s="156" t="s">
        <v>18</v>
      </c>
    </row>
    <row r="4" spans="1:19" ht="20.100000000000001" customHeight="1" x14ac:dyDescent="0.2">
      <c r="A4" s="79" t="s">
        <v>43</v>
      </c>
      <c r="B4" s="74">
        <v>503000</v>
      </c>
      <c r="C4" s="48">
        <v>534203</v>
      </c>
      <c r="D4" s="49"/>
      <c r="E4" s="50">
        <f>C4+D4</f>
        <v>534203</v>
      </c>
      <c r="F4" s="202"/>
      <c r="G4" s="50"/>
      <c r="H4" s="48">
        <f>85000+270000+179203.18</f>
        <v>534203.17999999993</v>
      </c>
      <c r="I4" s="49"/>
      <c r="J4" s="50">
        <f>H4+I4</f>
        <v>534203.17999999993</v>
      </c>
      <c r="K4" s="48">
        <v>229016.21</v>
      </c>
      <c r="L4" s="49">
        <v>53760.959999999999</v>
      </c>
      <c r="M4" s="50">
        <f>183360.96+1987+66078.05</f>
        <v>251426.01</v>
      </c>
      <c r="N4" s="48">
        <v>217957</v>
      </c>
      <c r="O4" s="51"/>
      <c r="P4" s="49">
        <f>J4-N4</f>
        <v>316246.17999999993</v>
      </c>
      <c r="Q4" s="77"/>
    </row>
    <row r="5" spans="1:19" ht="20.100000000000001" customHeight="1" x14ac:dyDescent="0.2">
      <c r="A5" s="80" t="s">
        <v>42</v>
      </c>
      <c r="B5" s="74">
        <v>1805427</v>
      </c>
      <c r="C5" s="48">
        <v>1995964</v>
      </c>
      <c r="D5" s="49"/>
      <c r="E5" s="50">
        <f>C5</f>
        <v>1995964</v>
      </c>
      <c r="F5" s="202"/>
      <c r="G5" s="50">
        <v>30000</v>
      </c>
      <c r="H5" s="48">
        <f>1850848.2-1987.54+30000</f>
        <v>1878860.66</v>
      </c>
      <c r="I5" s="49"/>
      <c r="J5" s="50">
        <f>H5</f>
        <v>1878860.66</v>
      </c>
      <c r="K5" s="48">
        <v>260640.52</v>
      </c>
      <c r="L5" s="49">
        <f>1588220.14</f>
        <v>1588220.14</v>
      </c>
      <c r="M5" s="50"/>
      <c r="N5" s="48">
        <f>J5</f>
        <v>1878860.66</v>
      </c>
      <c r="O5" s="51"/>
      <c r="P5" s="49"/>
      <c r="Q5" s="77"/>
    </row>
    <row r="6" spans="1:19" ht="20.100000000000001" customHeight="1" x14ac:dyDescent="0.2">
      <c r="A6" s="80" t="s">
        <v>44</v>
      </c>
      <c r="B6" s="74">
        <v>970797</v>
      </c>
      <c r="C6" s="48">
        <v>900797</v>
      </c>
      <c r="D6" s="49">
        <v>70000</v>
      </c>
      <c r="E6" s="50">
        <f>C6+D6</f>
        <v>970797</v>
      </c>
      <c r="F6" s="202">
        <f>D6</f>
        <v>70000</v>
      </c>
      <c r="G6" s="50"/>
      <c r="H6" s="48">
        <v>1620000</v>
      </c>
      <c r="I6" s="49">
        <v>20910.89</v>
      </c>
      <c r="J6" s="50">
        <f>H6+I6</f>
        <v>1640910.89</v>
      </c>
      <c r="K6" s="48">
        <v>1134000</v>
      </c>
      <c r="L6" s="49">
        <v>485999.94</v>
      </c>
      <c r="M6" s="50"/>
      <c r="N6" s="48">
        <f>485999.94</f>
        <v>485999.94</v>
      </c>
      <c r="O6" s="51">
        <f>I6</f>
        <v>20910.89</v>
      </c>
      <c r="P6" s="49">
        <f>J6-N6-O6</f>
        <v>1134000.06</v>
      </c>
      <c r="Q6" s="77"/>
    </row>
    <row r="7" spans="1:19" ht="20.100000000000001" customHeight="1" x14ac:dyDescent="0.2">
      <c r="A7" s="80" t="s">
        <v>45</v>
      </c>
      <c r="B7" s="74">
        <v>457383</v>
      </c>
      <c r="C7" s="48">
        <v>1002576</v>
      </c>
      <c r="D7" s="49"/>
      <c r="E7" s="50">
        <f>C7+D7</f>
        <v>1002576</v>
      </c>
      <c r="F7" s="202"/>
      <c r="G7" s="50"/>
      <c r="H7" s="48">
        <v>890797</v>
      </c>
      <c r="I7" s="49"/>
      <c r="J7" s="77">
        <f>H7+I7</f>
        <v>890797</v>
      </c>
      <c r="K7" s="48">
        <v>623557.68999999994</v>
      </c>
      <c r="L7" s="49">
        <v>267239.01</v>
      </c>
      <c r="M7" s="50"/>
      <c r="N7" s="48">
        <f>(267239.01*2)-109996</f>
        <v>424482.02</v>
      </c>
      <c r="O7" s="51"/>
      <c r="P7" s="49">
        <f>J7-N7</f>
        <v>466314.98</v>
      </c>
      <c r="Q7" s="77"/>
    </row>
    <row r="8" spans="1:19" ht="20.100000000000001" customHeight="1" x14ac:dyDescent="0.2">
      <c r="A8" s="80" t="s">
        <v>46</v>
      </c>
      <c r="B8" s="74">
        <v>371824</v>
      </c>
      <c r="C8" s="48">
        <v>496824</v>
      </c>
      <c r="D8" s="49">
        <v>25000</v>
      </c>
      <c r="E8" s="50">
        <f>C8+D8</f>
        <v>521824</v>
      </c>
      <c r="F8" s="202">
        <f>D8</f>
        <v>25000</v>
      </c>
      <c r="G8" s="50"/>
      <c r="H8" s="48">
        <v>775000</v>
      </c>
      <c r="I8" s="49">
        <v>8515.84</v>
      </c>
      <c r="J8" s="77">
        <f>H8+I8</f>
        <v>783515.84</v>
      </c>
      <c r="K8" s="48">
        <v>542499.93000000005</v>
      </c>
      <c r="L8" s="49">
        <v>232500.05</v>
      </c>
      <c r="M8" s="50"/>
      <c r="N8" s="76">
        <f>232500.05</f>
        <v>232500.05</v>
      </c>
      <c r="O8" s="151">
        <f>I8</f>
        <v>8515.84</v>
      </c>
      <c r="P8" s="149">
        <f>J8-N8-O8</f>
        <v>542499.95000000007</v>
      </c>
      <c r="Q8" s="147"/>
    </row>
    <row r="9" spans="1:19" ht="20.100000000000001" customHeight="1" x14ac:dyDescent="0.2">
      <c r="A9" s="80" t="s">
        <v>47</v>
      </c>
      <c r="B9" s="74">
        <v>2531239</v>
      </c>
      <c r="C9" s="48">
        <v>870366</v>
      </c>
      <c r="D9" s="49">
        <v>1665200</v>
      </c>
      <c r="E9" s="50">
        <f>C9+D9</f>
        <v>2535566</v>
      </c>
      <c r="F9" s="202">
        <f>D9</f>
        <v>1665200</v>
      </c>
      <c r="G9" s="50"/>
      <c r="H9" s="64">
        <f>22171+1791851+134492.16</f>
        <v>1948514.16</v>
      </c>
      <c r="I9" s="63">
        <v>692840</v>
      </c>
      <c r="J9" s="84">
        <f>H9+I9</f>
        <v>2641354.16</v>
      </c>
      <c r="K9" s="48"/>
      <c r="L9" s="49"/>
      <c r="M9" s="231">
        <f>2607017-66078.05</f>
        <v>2540938.9500000002</v>
      </c>
      <c r="N9" s="48"/>
      <c r="O9" s="51">
        <f>I9</f>
        <v>692840</v>
      </c>
      <c r="P9" s="61">
        <f>H9</f>
        <v>1948514.16</v>
      </c>
      <c r="Q9" s="78"/>
    </row>
    <row r="10" spans="1:19" ht="20.100000000000001" customHeight="1" x14ac:dyDescent="0.2">
      <c r="A10" s="80" t="s">
        <v>48</v>
      </c>
      <c r="B10" s="74">
        <v>985239</v>
      </c>
      <c r="C10" s="48">
        <v>1194870</v>
      </c>
      <c r="D10" s="49"/>
      <c r="E10" s="50">
        <f>C10+D10</f>
        <v>1194870</v>
      </c>
      <c r="F10" s="203"/>
      <c r="G10" s="69"/>
      <c r="H10" s="64">
        <v>1461159</v>
      </c>
      <c r="I10" s="63">
        <v>164135</v>
      </c>
      <c r="J10" s="84">
        <f>H10+I10</f>
        <v>1625294</v>
      </c>
      <c r="K10" s="48"/>
      <c r="L10" s="49"/>
      <c r="M10" s="232"/>
      <c r="N10" s="48">
        <v>151500</v>
      </c>
      <c r="O10" s="152">
        <f>I10</f>
        <v>164135</v>
      </c>
      <c r="P10" s="150">
        <f>H10-N10</f>
        <v>1309659</v>
      </c>
      <c r="Q10" s="148"/>
      <c r="S10" s="14"/>
    </row>
    <row r="11" spans="1:19" ht="20.100000000000001" customHeight="1" thickBot="1" x14ac:dyDescent="0.25">
      <c r="A11" s="81" t="s">
        <v>49</v>
      </c>
      <c r="B11" s="74">
        <v>2212394</v>
      </c>
      <c r="C11" s="48"/>
      <c r="D11" s="49"/>
      <c r="E11" s="50"/>
      <c r="F11" s="203"/>
      <c r="G11" s="69"/>
      <c r="H11" s="52">
        <f>2169728.21-I11</f>
        <v>1295929.94</v>
      </c>
      <c r="I11" s="52">
        <f>1760200-I10-I9-I8-I6</f>
        <v>873798.27</v>
      </c>
      <c r="J11" s="78">
        <f>I11+H11</f>
        <v>2169728.21</v>
      </c>
      <c r="K11" s="48"/>
      <c r="L11" s="49"/>
      <c r="M11" s="50"/>
      <c r="N11" s="48"/>
      <c r="O11" s="51">
        <f>I11</f>
        <v>873798.27</v>
      </c>
      <c r="P11" s="61">
        <f>H11-Q11</f>
        <v>884108.40999999992</v>
      </c>
      <c r="Q11" s="78">
        <v>411821.53</v>
      </c>
      <c r="S11" s="15"/>
    </row>
    <row r="12" spans="1:19" s="16" customFormat="1" ht="20.100000000000001" customHeight="1" thickBot="1" x14ac:dyDescent="0.25">
      <c r="A12" s="5"/>
      <c r="B12" s="75">
        <f>SUM(B4:B11)</f>
        <v>9837303</v>
      </c>
      <c r="C12" s="53">
        <f>SUM(C4:C11)</f>
        <v>6995600</v>
      </c>
      <c r="D12" s="54">
        <f ca="1">SUM(D4:D13)</f>
        <v>1760200</v>
      </c>
      <c r="E12" s="55">
        <f>SUM(E4:E11)</f>
        <v>8755800</v>
      </c>
      <c r="F12" s="204">
        <f>SUM(F4:F11)</f>
        <v>1760200</v>
      </c>
      <c r="G12" s="205">
        <f>G5</f>
        <v>30000</v>
      </c>
      <c r="H12" s="56">
        <f t="shared" ref="H12:M12" si="0">SUM(H4:H11)</f>
        <v>10404463.939999999</v>
      </c>
      <c r="I12" s="57">
        <f t="shared" si="0"/>
        <v>1760200</v>
      </c>
      <c r="J12" s="85">
        <f t="shared" si="0"/>
        <v>12164663.940000001</v>
      </c>
      <c r="K12" s="58">
        <f t="shared" si="0"/>
        <v>2789714.35</v>
      </c>
      <c r="L12" s="59">
        <f t="shared" si="0"/>
        <v>2627720.0999999996</v>
      </c>
      <c r="M12" s="60">
        <f t="shared" si="0"/>
        <v>2792364.96</v>
      </c>
      <c r="N12" s="157">
        <f>SUM(N4:N11)</f>
        <v>3391299.67</v>
      </c>
      <c r="O12" s="158">
        <f>SUM(O4:O11)</f>
        <v>1760200</v>
      </c>
      <c r="P12" s="158">
        <f>SUM(P4:P11)</f>
        <v>6601342.7400000002</v>
      </c>
      <c r="Q12" s="159">
        <f>Q11</f>
        <v>411821.53</v>
      </c>
    </row>
    <row r="13" spans="1:19" ht="22.5" customHeight="1" thickBot="1" x14ac:dyDescent="0.25">
      <c r="B13" s="38"/>
      <c r="C13" s="38"/>
      <c r="D13" s="233"/>
      <c r="E13" s="233"/>
      <c r="F13" s="230" t="s">
        <v>148</v>
      </c>
      <c r="G13" s="230"/>
      <c r="H13" s="230"/>
      <c r="I13" s="38"/>
      <c r="J13" s="38" t="s">
        <v>148</v>
      </c>
      <c r="K13" s="234">
        <f>K12+L12+M12</f>
        <v>8209799.4099999992</v>
      </c>
      <c r="L13" s="235"/>
      <c r="M13" s="236"/>
      <c r="N13" s="243">
        <f>N12+O12</f>
        <v>5151499.67</v>
      </c>
      <c r="O13" s="245"/>
      <c r="P13" s="243">
        <f>P12+Q12</f>
        <v>7013164.2700000005</v>
      </c>
      <c r="Q13" s="244"/>
      <c r="S13" s="15"/>
    </row>
    <row r="14" spans="1:19" ht="15.75" customHeight="1" thickBot="1" x14ac:dyDescent="0.25">
      <c r="A14" s="213" t="s">
        <v>61</v>
      </c>
      <c r="B14" s="213"/>
      <c r="H14" s="227" t="s">
        <v>156</v>
      </c>
      <c r="I14" s="169"/>
      <c r="J14" s="228" t="s">
        <v>155</v>
      </c>
      <c r="M14" s="160"/>
      <c r="N14" s="46"/>
      <c r="O14" s="234">
        <f>N13+P13</f>
        <v>12164663.940000001</v>
      </c>
      <c r="P14" s="235"/>
      <c r="Q14" s="46"/>
    </row>
    <row r="15" spans="1:19" ht="15" customHeight="1" x14ac:dyDescent="0.2">
      <c r="A15" s="229" t="s">
        <v>74</v>
      </c>
      <c r="B15" s="229"/>
      <c r="F15" s="206"/>
      <c r="G15" s="206"/>
      <c r="H15" s="227"/>
      <c r="I15" s="86"/>
      <c r="J15" s="228"/>
      <c r="K15" s="44"/>
      <c r="P15" s="44"/>
      <c r="Q15" s="44"/>
    </row>
    <row r="16" spans="1:19" ht="15" customHeight="1" x14ac:dyDescent="0.2">
      <c r="A16" s="83"/>
      <c r="B16" s="83"/>
      <c r="F16" s="82"/>
      <c r="G16" s="82"/>
      <c r="H16" s="227"/>
      <c r="I16" s="145"/>
      <c r="J16" s="228"/>
      <c r="K16" s="44"/>
      <c r="M16" s="237" t="s">
        <v>146</v>
      </c>
      <c r="N16" s="237"/>
      <c r="O16" s="237"/>
      <c r="P16" s="45">
        <f>P12</f>
        <v>6601342.7400000002</v>
      </c>
      <c r="Q16" s="145">
        <f>M9-P9</f>
        <v>592424.79000000027</v>
      </c>
    </row>
    <row r="17" spans="1:17" ht="15.75" thickBot="1" x14ac:dyDescent="0.25">
      <c r="I17" s="39"/>
      <c r="K17" s="44"/>
      <c r="L17" s="44"/>
      <c r="M17" s="45"/>
      <c r="N17" s="237" t="s">
        <v>144</v>
      </c>
      <c r="O17" s="237"/>
      <c r="P17" s="45">
        <v>6014771</v>
      </c>
      <c r="Q17" s="45">
        <f>Q16-151500</f>
        <v>440924.79000000027</v>
      </c>
    </row>
    <row r="18" spans="1:17" ht="15.75" thickBot="1" x14ac:dyDescent="0.25">
      <c r="I18" s="146"/>
      <c r="L18" s="146">
        <f>J4-L4-M4-K4</f>
        <v>0</v>
      </c>
      <c r="N18" s="140"/>
      <c r="O18" s="162" t="s">
        <v>145</v>
      </c>
      <c r="P18" s="163">
        <f>P12-P17</f>
        <v>586571.74000000022</v>
      </c>
    </row>
    <row r="29" spans="1:17" x14ac:dyDescent="0.2">
      <c r="A29" s="13" t="s">
        <v>128</v>
      </c>
      <c r="C29" s="39">
        <v>10000000</v>
      </c>
    </row>
    <row r="30" spans="1:17" x14ac:dyDescent="0.2">
      <c r="A30" s="13" t="s">
        <v>129</v>
      </c>
      <c r="C30" s="39">
        <v>1760200</v>
      </c>
    </row>
    <row r="31" spans="1:17" x14ac:dyDescent="0.2">
      <c r="A31" s="13" t="s">
        <v>142</v>
      </c>
      <c r="C31" s="39">
        <v>30000</v>
      </c>
    </row>
    <row r="32" spans="1:17" x14ac:dyDescent="0.2">
      <c r="A32" s="13" t="s">
        <v>130</v>
      </c>
      <c r="C32" s="39">
        <f>C29-C30-C31</f>
        <v>8209800</v>
      </c>
    </row>
    <row r="33" spans="1:6" x14ac:dyDescent="0.2">
      <c r="A33" s="142" t="s">
        <v>139</v>
      </c>
      <c r="B33" s="127"/>
      <c r="C33" s="141">
        <v>2845577.82</v>
      </c>
    </row>
    <row r="34" spans="1:6" x14ac:dyDescent="0.2">
      <c r="A34" s="142" t="s">
        <v>140</v>
      </c>
      <c r="B34" s="127"/>
      <c r="C34" s="128">
        <v>238560.82</v>
      </c>
    </row>
    <row r="35" spans="1:6" x14ac:dyDescent="0.2">
      <c r="A35" s="142" t="s">
        <v>141</v>
      </c>
      <c r="B35" s="127"/>
      <c r="C35" s="128">
        <v>2607017</v>
      </c>
    </row>
    <row r="36" spans="1:6" x14ac:dyDescent="0.2">
      <c r="C36" s="39"/>
    </row>
    <row r="37" spans="1:6" x14ac:dyDescent="0.2">
      <c r="C37" s="39"/>
    </row>
    <row r="38" spans="1:6" x14ac:dyDescent="0.2">
      <c r="C38" s="39"/>
      <c r="F38" s="143"/>
    </row>
    <row r="39" spans="1:6" x14ac:dyDescent="0.2">
      <c r="C39" s="39"/>
    </row>
    <row r="40" spans="1:6" x14ac:dyDescent="0.2">
      <c r="C40" s="39"/>
    </row>
    <row r="41" spans="1:6" x14ac:dyDescent="0.2">
      <c r="C41" s="39"/>
    </row>
    <row r="42" spans="1:6" x14ac:dyDescent="0.2">
      <c r="C42" s="39"/>
    </row>
  </sheetData>
  <mergeCells count="21">
    <mergeCell ref="N17:O17"/>
    <mergeCell ref="M16:O16"/>
    <mergeCell ref="K1:M1"/>
    <mergeCell ref="P2:Q2"/>
    <mergeCell ref="N2:O2"/>
    <mergeCell ref="P13:Q13"/>
    <mergeCell ref="N13:O13"/>
    <mergeCell ref="O14:P14"/>
    <mergeCell ref="A14:B14"/>
    <mergeCell ref="C2:E2"/>
    <mergeCell ref="H2:J2"/>
    <mergeCell ref="K2:M2"/>
    <mergeCell ref="G2:G3"/>
    <mergeCell ref="F2:F3"/>
    <mergeCell ref="H14:H16"/>
    <mergeCell ref="J14:J16"/>
    <mergeCell ref="A15:B15"/>
    <mergeCell ref="F13:H13"/>
    <mergeCell ref="M9:M10"/>
    <mergeCell ref="D13:E13"/>
    <mergeCell ref="K13:M13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H20" sqref="H20"/>
    </sheetView>
  </sheetViews>
  <sheetFormatPr defaultRowHeight="15" x14ac:dyDescent="0.25"/>
  <cols>
    <col min="1" max="1" width="10.28515625" style="87" bestFit="1" customWidth="1"/>
    <col min="2" max="2" width="17.7109375" style="87" bestFit="1" customWidth="1"/>
    <col min="3" max="3" width="17" style="87" customWidth="1"/>
    <col min="4" max="4" width="13.28515625" style="87" hidden="1" customWidth="1"/>
    <col min="5" max="5" width="20.7109375" style="87" customWidth="1"/>
    <col min="6" max="6" width="14.5703125" style="89" bestFit="1" customWidth="1"/>
    <col min="7" max="7" width="15.140625" style="87" bestFit="1" customWidth="1"/>
    <col min="8" max="8" width="9.28515625" style="87" bestFit="1" customWidth="1"/>
    <col min="9" max="10" width="15.85546875" style="87" bestFit="1" customWidth="1"/>
    <col min="11" max="11" width="14.28515625" style="87" bestFit="1" customWidth="1"/>
    <col min="12" max="12" width="15.85546875" style="87" bestFit="1" customWidth="1"/>
    <col min="13" max="13" width="14.28515625" style="87" customWidth="1"/>
    <col min="14" max="16384" width="9.140625" style="87"/>
  </cols>
  <sheetData>
    <row r="1" spans="1:13" x14ac:dyDescent="0.25">
      <c r="B1" s="88"/>
    </row>
    <row r="2" spans="1:13" x14ac:dyDescent="0.25">
      <c r="B2" s="88"/>
      <c r="C2" s="88"/>
    </row>
    <row r="3" spans="1:13" x14ac:dyDescent="0.25">
      <c r="B3" s="88"/>
    </row>
    <row r="4" spans="1:13" x14ac:dyDescent="0.25">
      <c r="B4" s="88"/>
      <c r="C4" s="88"/>
      <c r="J4" s="100">
        <f>I8+151500</f>
        <v>2781588.2675999999</v>
      </c>
      <c r="L4" s="100"/>
    </row>
    <row r="6" spans="1:13" x14ac:dyDescent="0.25">
      <c r="C6" s="88"/>
    </row>
    <row r="8" spans="1:13" x14ac:dyDescent="0.25">
      <c r="I8" s="7">
        <f>SUBTOTAL(9,I10:I22)</f>
        <v>2630088.2675999999</v>
      </c>
      <c r="J8" s="7">
        <f>SUBTOTAL(9,J10:J22)</f>
        <v>546423.4090799999</v>
      </c>
      <c r="K8" s="7">
        <f>SUBTOTAL(9,K10:K22)</f>
        <v>546423.4090799999</v>
      </c>
      <c r="L8" s="7">
        <f>SUBTOTAL(9,L10:L22)</f>
        <v>721174.30703999999</v>
      </c>
    </row>
    <row r="9" spans="1:13" x14ac:dyDescent="0.25">
      <c r="A9" s="90" t="s">
        <v>99</v>
      </c>
      <c r="B9" s="90" t="s">
        <v>78</v>
      </c>
      <c r="C9" s="90" t="s">
        <v>25</v>
      </c>
      <c r="D9" s="91" t="s">
        <v>79</v>
      </c>
      <c r="E9" s="90" t="s">
        <v>80</v>
      </c>
      <c r="F9" s="90" t="s">
        <v>81</v>
      </c>
      <c r="G9" s="90" t="s">
        <v>82</v>
      </c>
      <c r="H9" s="90" t="s">
        <v>83</v>
      </c>
      <c r="I9" s="90" t="s">
        <v>84</v>
      </c>
      <c r="J9" s="92" t="s">
        <v>39</v>
      </c>
      <c r="K9" s="90" t="s">
        <v>38</v>
      </c>
      <c r="L9" s="90" t="s">
        <v>29</v>
      </c>
      <c r="M9" s="90" t="s">
        <v>85</v>
      </c>
    </row>
    <row r="10" spans="1:13" x14ac:dyDescent="0.25">
      <c r="A10" s="93">
        <v>1</v>
      </c>
      <c r="B10" s="94" t="s">
        <v>87</v>
      </c>
      <c r="C10" s="94" t="s">
        <v>100</v>
      </c>
      <c r="D10" s="101" t="s">
        <v>101</v>
      </c>
      <c r="E10" s="93" t="s">
        <v>102</v>
      </c>
      <c r="F10" s="93"/>
      <c r="G10" s="96">
        <v>219.36</v>
      </c>
      <c r="H10" s="96">
        <v>101.07</v>
      </c>
      <c r="I10" s="11">
        <f t="shared" ref="I10:I20" si="0">G10*H10</f>
        <v>22170.715199999999</v>
      </c>
      <c r="J10" s="97">
        <f>I10*0.4</f>
        <v>8868.2860799999999</v>
      </c>
      <c r="K10" s="97">
        <f>I10*0.4</f>
        <v>8868.2860799999999</v>
      </c>
      <c r="L10" s="97">
        <f>I10*0.2</f>
        <v>4434.1430399999999</v>
      </c>
      <c r="M10" s="96">
        <v>4600036599</v>
      </c>
    </row>
    <row r="11" spans="1:13" x14ac:dyDescent="0.25">
      <c r="A11" s="93">
        <v>2</v>
      </c>
      <c r="B11" s="94" t="s">
        <v>93</v>
      </c>
      <c r="C11" s="94" t="s">
        <v>103</v>
      </c>
      <c r="D11" s="101" t="s">
        <v>104</v>
      </c>
      <c r="E11" s="93" t="s">
        <v>102</v>
      </c>
      <c r="F11" s="93" t="s">
        <v>95</v>
      </c>
      <c r="G11" s="96">
        <v>729.96</v>
      </c>
      <c r="H11" s="96">
        <v>107.24</v>
      </c>
      <c r="I11" s="11">
        <f t="shared" si="0"/>
        <v>78280.910399999993</v>
      </c>
      <c r="J11" s="97"/>
      <c r="K11" s="97"/>
      <c r="L11" s="97"/>
      <c r="M11" s="96"/>
    </row>
    <row r="12" spans="1:13" x14ac:dyDescent="0.25">
      <c r="A12" s="93">
        <v>3</v>
      </c>
      <c r="B12" s="94" t="s">
        <v>93</v>
      </c>
      <c r="C12" s="94" t="s">
        <v>105</v>
      </c>
      <c r="D12" s="101" t="s">
        <v>106</v>
      </c>
      <c r="E12" s="93" t="s">
        <v>102</v>
      </c>
      <c r="F12" s="93" t="s">
        <v>95</v>
      </c>
      <c r="G12" s="96">
        <v>914.64</v>
      </c>
      <c r="H12" s="96">
        <v>131.47999999999999</v>
      </c>
      <c r="I12" s="11">
        <f t="shared" si="0"/>
        <v>120256.86719999999</v>
      </c>
      <c r="J12" s="96"/>
      <c r="K12" s="96"/>
      <c r="L12" s="96"/>
      <c r="M12" s="96"/>
    </row>
    <row r="13" spans="1:13" x14ac:dyDescent="0.25">
      <c r="A13" s="93">
        <v>4</v>
      </c>
      <c r="B13" s="94" t="s">
        <v>93</v>
      </c>
      <c r="C13" s="94" t="s">
        <v>107</v>
      </c>
      <c r="D13" s="101" t="s">
        <v>108</v>
      </c>
      <c r="E13" s="93" t="s">
        <v>102</v>
      </c>
      <c r="F13" s="93" t="s">
        <v>95</v>
      </c>
      <c r="G13" s="98">
        <v>274.88</v>
      </c>
      <c r="H13" s="98">
        <v>131.47999999999999</v>
      </c>
      <c r="I13" s="99">
        <f t="shared" si="0"/>
        <v>36141.222399999999</v>
      </c>
      <c r="J13" s="96"/>
      <c r="K13" s="96"/>
      <c r="L13" s="96"/>
      <c r="M13" s="96"/>
    </row>
    <row r="14" spans="1:13" x14ac:dyDescent="0.25">
      <c r="A14" s="93">
        <v>5</v>
      </c>
      <c r="B14" s="94" t="s">
        <v>93</v>
      </c>
      <c r="C14" s="94" t="s">
        <v>109</v>
      </c>
      <c r="D14" s="101" t="s">
        <v>110</v>
      </c>
      <c r="E14" s="93" t="s">
        <v>102</v>
      </c>
      <c r="F14" s="93" t="s">
        <v>95</v>
      </c>
      <c r="G14" s="98">
        <v>104.93</v>
      </c>
      <c r="H14" s="98">
        <v>107.24</v>
      </c>
      <c r="I14" s="99">
        <f t="shared" si="0"/>
        <v>11252.6932</v>
      </c>
      <c r="J14" s="96"/>
      <c r="K14" s="96"/>
      <c r="L14" s="96"/>
      <c r="M14" s="96"/>
    </row>
    <row r="15" spans="1:13" x14ac:dyDescent="0.25">
      <c r="A15" s="93">
        <v>6</v>
      </c>
      <c r="B15" s="94" t="s">
        <v>35</v>
      </c>
      <c r="C15" s="94" t="s">
        <v>111</v>
      </c>
      <c r="D15" s="101" t="s">
        <v>112</v>
      </c>
      <c r="E15" s="93" t="s">
        <v>102</v>
      </c>
      <c r="F15" s="93" t="s">
        <v>95</v>
      </c>
      <c r="G15" s="98">
        <v>819.72</v>
      </c>
      <c r="H15" s="98">
        <v>80.489999999999995</v>
      </c>
      <c r="I15" s="99">
        <f t="shared" si="0"/>
        <v>65979.262799999997</v>
      </c>
      <c r="J15" s="96"/>
      <c r="K15" s="96"/>
      <c r="L15" s="96"/>
      <c r="M15" s="96"/>
    </row>
    <row r="16" spans="1:13" x14ac:dyDescent="0.25">
      <c r="A16" s="93">
        <v>7</v>
      </c>
      <c r="B16" s="94" t="s">
        <v>35</v>
      </c>
      <c r="C16" s="94" t="s">
        <v>113</v>
      </c>
      <c r="D16" s="101" t="s">
        <v>114</v>
      </c>
      <c r="E16" s="93" t="s">
        <v>102</v>
      </c>
      <c r="F16" s="93" t="s">
        <v>95</v>
      </c>
      <c r="G16" s="98">
        <v>623.9</v>
      </c>
      <c r="H16" s="98">
        <v>80.489999999999995</v>
      </c>
      <c r="I16" s="99">
        <f t="shared" si="0"/>
        <v>50217.710999999996</v>
      </c>
      <c r="J16" s="96"/>
      <c r="K16" s="96"/>
      <c r="L16" s="96"/>
      <c r="M16" s="96"/>
    </row>
    <row r="17" spans="1:13" x14ac:dyDescent="0.25">
      <c r="A17" s="93">
        <v>9</v>
      </c>
      <c r="B17" s="94" t="s">
        <v>26</v>
      </c>
      <c r="C17" s="94" t="s">
        <v>17</v>
      </c>
      <c r="D17" s="101" t="s">
        <v>115</v>
      </c>
      <c r="E17" s="93" t="s">
        <v>102</v>
      </c>
      <c r="F17" s="93"/>
      <c r="G17" s="102">
        <v>12640.92</v>
      </c>
      <c r="H17" s="96">
        <v>141.75</v>
      </c>
      <c r="I17" s="11">
        <f t="shared" si="0"/>
        <v>1791850.41</v>
      </c>
      <c r="J17" s="97">
        <f>I17*0.3</f>
        <v>537555.12299999991</v>
      </c>
      <c r="K17" s="97">
        <f>I17*0.3</f>
        <v>537555.12299999991</v>
      </c>
      <c r="L17" s="97">
        <f>I17*0.4</f>
        <v>716740.16399999999</v>
      </c>
      <c r="M17" s="96">
        <v>4600039260</v>
      </c>
    </row>
    <row r="18" spans="1:13" x14ac:dyDescent="0.25">
      <c r="A18" s="93">
        <v>10</v>
      </c>
      <c r="B18" s="94" t="s">
        <v>93</v>
      </c>
      <c r="C18" s="94" t="s">
        <v>157</v>
      </c>
      <c r="D18" s="101" t="s">
        <v>116</v>
      </c>
      <c r="E18" s="93" t="s">
        <v>102</v>
      </c>
      <c r="F18" s="93" t="s">
        <v>95</v>
      </c>
      <c r="G18" s="98">
        <f>503.97+90.71</f>
        <v>594.68000000000006</v>
      </c>
      <c r="H18" s="98">
        <v>131.47999999999999</v>
      </c>
      <c r="I18" s="99">
        <f t="shared" si="0"/>
        <v>78188.526400000002</v>
      </c>
      <c r="J18" s="96"/>
      <c r="K18" s="96"/>
      <c r="L18" s="96"/>
      <c r="M18" s="96"/>
    </row>
    <row r="19" spans="1:13" x14ac:dyDescent="0.25">
      <c r="A19" s="93">
        <v>12</v>
      </c>
      <c r="B19" s="94" t="s">
        <v>153</v>
      </c>
      <c r="C19" s="94" t="s">
        <v>97</v>
      </c>
      <c r="D19" s="101" t="s">
        <v>117</v>
      </c>
      <c r="E19" s="93" t="s">
        <v>102</v>
      </c>
      <c r="F19" s="93" t="s">
        <v>95</v>
      </c>
      <c r="G19" s="98">
        <v>241.5</v>
      </c>
      <c r="H19" s="98">
        <v>83.5</v>
      </c>
      <c r="I19" s="207">
        <f>G19*H19</f>
        <v>20165.25</v>
      </c>
      <c r="J19" s="96"/>
      <c r="K19" s="96"/>
      <c r="L19" s="96"/>
      <c r="M19" s="96"/>
    </row>
    <row r="20" spans="1:13" x14ac:dyDescent="0.25">
      <c r="A20" s="93">
        <v>13</v>
      </c>
      <c r="B20" s="94" t="s">
        <v>154</v>
      </c>
      <c r="C20" s="94" t="s">
        <v>97</v>
      </c>
      <c r="D20" s="96"/>
      <c r="E20" s="93" t="s">
        <v>159</v>
      </c>
      <c r="F20" s="103" t="s">
        <v>95</v>
      </c>
      <c r="G20" s="98">
        <v>1819.47</v>
      </c>
      <c r="H20" s="98">
        <v>108.7</v>
      </c>
      <c r="I20" s="99">
        <f t="shared" si="0"/>
        <v>197776.389</v>
      </c>
      <c r="J20" s="97"/>
      <c r="K20" s="96"/>
      <c r="L20" s="96"/>
      <c r="M20" s="96"/>
    </row>
    <row r="21" spans="1:13" x14ac:dyDescent="0.25">
      <c r="A21" s="93">
        <v>14</v>
      </c>
      <c r="B21" s="94" t="s">
        <v>154</v>
      </c>
      <c r="C21" s="94" t="s">
        <v>97</v>
      </c>
      <c r="D21" s="96"/>
      <c r="E21" s="93" t="s">
        <v>159</v>
      </c>
      <c r="F21" s="105" t="s">
        <v>95</v>
      </c>
      <c r="G21" s="98">
        <v>165</v>
      </c>
      <c r="H21" s="98">
        <v>141.31</v>
      </c>
      <c r="I21" s="99">
        <f>G21*H21</f>
        <v>23316.15</v>
      </c>
      <c r="J21" s="97"/>
      <c r="K21" s="96"/>
      <c r="L21" s="96"/>
      <c r="M21" s="96"/>
    </row>
    <row r="22" spans="1:13" x14ac:dyDescent="0.25">
      <c r="A22" s="103">
        <v>15</v>
      </c>
      <c r="B22" s="104" t="s">
        <v>158</v>
      </c>
      <c r="C22" s="104" t="s">
        <v>118</v>
      </c>
      <c r="D22" s="96"/>
      <c r="E22" s="105" t="s">
        <v>86</v>
      </c>
      <c r="F22" s="103"/>
      <c r="G22" s="102"/>
      <c r="H22" s="96"/>
      <c r="I22" s="99">
        <v>134492.16</v>
      </c>
      <c r="J22" s="96"/>
      <c r="K22" s="96"/>
      <c r="L22" s="96"/>
      <c r="M22" s="96"/>
    </row>
  </sheetData>
  <autoFilter ref="B9:M22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opLeftCell="A2" zoomScale="90" zoomScaleNormal="90" workbookViewId="0">
      <selection activeCell="G21" sqref="G21"/>
    </sheetView>
  </sheetViews>
  <sheetFormatPr defaultRowHeight="15" x14ac:dyDescent="0.25"/>
  <cols>
    <col min="1" max="1" width="6.7109375" style="87" bestFit="1" customWidth="1"/>
    <col min="2" max="2" width="24.85546875" style="87" bestFit="1" customWidth="1"/>
    <col min="3" max="3" width="11" style="87" bestFit="1" customWidth="1"/>
    <col min="4" max="4" width="14.28515625" style="87" hidden="1" customWidth="1"/>
    <col min="5" max="5" width="36.85546875" style="87" bestFit="1" customWidth="1"/>
    <col min="6" max="6" width="14.5703125" style="89" bestFit="1" customWidth="1"/>
    <col min="7" max="7" width="15.140625" style="87" bestFit="1" customWidth="1"/>
    <col min="8" max="8" width="9.28515625" style="87" bestFit="1" customWidth="1"/>
    <col min="9" max="9" width="16.7109375" style="87" bestFit="1" customWidth="1"/>
    <col min="10" max="10" width="15.85546875" style="87" bestFit="1" customWidth="1"/>
    <col min="11" max="11" width="15" style="87" bestFit="1" customWidth="1"/>
    <col min="12" max="12" width="15.85546875" style="87" bestFit="1" customWidth="1"/>
    <col min="13" max="13" width="14.28515625" style="87" customWidth="1"/>
    <col min="14" max="16384" width="9.140625" style="87"/>
  </cols>
  <sheetData>
    <row r="1" spans="1:13" x14ac:dyDescent="0.25">
      <c r="B1" s="88"/>
    </row>
    <row r="2" spans="1:13" x14ac:dyDescent="0.25">
      <c r="B2" s="88"/>
      <c r="C2" s="88"/>
    </row>
    <row r="3" spans="1:13" x14ac:dyDescent="0.25">
      <c r="B3" s="88"/>
    </row>
    <row r="4" spans="1:13" x14ac:dyDescent="0.25">
      <c r="B4" s="88"/>
      <c r="C4" s="88"/>
    </row>
    <row r="6" spans="1:13" x14ac:dyDescent="0.25">
      <c r="C6" s="88"/>
    </row>
    <row r="8" spans="1:13" x14ac:dyDescent="0.25">
      <c r="I8" s="7">
        <f>SUBTOTAL(9,I10:I18)</f>
        <v>1625293.5292</v>
      </c>
      <c r="J8" s="7">
        <f>SUBTOTAL(9,J10:J18)</f>
        <v>245146.41899999999</v>
      </c>
      <c r="K8" s="7">
        <f>SUBTOTAL(9,K10:K18)</f>
        <v>245146.41899999999</v>
      </c>
      <c r="L8" s="7">
        <f>SUBTOTAL(9,L10:L18)</f>
        <v>326861.89199999999</v>
      </c>
    </row>
    <row r="9" spans="1:13" x14ac:dyDescent="0.25">
      <c r="A9" s="90" t="s">
        <v>77</v>
      </c>
      <c r="B9" s="90" t="s">
        <v>78</v>
      </c>
      <c r="C9" s="90" t="s">
        <v>25</v>
      </c>
      <c r="D9" s="91" t="s">
        <v>79</v>
      </c>
      <c r="E9" s="90" t="s">
        <v>80</v>
      </c>
      <c r="F9" s="90" t="s">
        <v>81</v>
      </c>
      <c r="G9" s="90" t="s">
        <v>82</v>
      </c>
      <c r="H9" s="90" t="s">
        <v>83</v>
      </c>
      <c r="I9" s="90" t="s">
        <v>84</v>
      </c>
      <c r="J9" s="92" t="s">
        <v>39</v>
      </c>
      <c r="K9" s="90" t="s">
        <v>38</v>
      </c>
      <c r="L9" s="90" t="s">
        <v>29</v>
      </c>
      <c r="M9" s="90" t="s">
        <v>85</v>
      </c>
    </row>
    <row r="10" spans="1:13" x14ac:dyDescent="0.25">
      <c r="A10" s="93">
        <v>1</v>
      </c>
      <c r="B10" s="94" t="s">
        <v>26</v>
      </c>
      <c r="C10" s="94" t="s">
        <v>17</v>
      </c>
      <c r="D10" s="95">
        <v>286464</v>
      </c>
      <c r="E10" s="93" t="s">
        <v>161</v>
      </c>
      <c r="F10" s="93"/>
      <c r="G10" s="96">
        <v>5764.76</v>
      </c>
      <c r="H10" s="96">
        <v>141.75</v>
      </c>
      <c r="I10" s="208">
        <f t="shared" ref="I10:I12" si="0">G10*H10</f>
        <v>817154.73</v>
      </c>
      <c r="J10" s="97">
        <f>I10*0.3</f>
        <v>245146.41899999999</v>
      </c>
      <c r="K10" s="97">
        <f>I10*0.3</f>
        <v>245146.41899999999</v>
      </c>
      <c r="L10" s="97">
        <f>I10*0.4</f>
        <v>326861.89199999999</v>
      </c>
      <c r="M10" s="96">
        <v>4600039260</v>
      </c>
    </row>
    <row r="11" spans="1:13" x14ac:dyDescent="0.25">
      <c r="A11" s="93">
        <v>2</v>
      </c>
      <c r="B11" s="94" t="s">
        <v>87</v>
      </c>
      <c r="C11" s="94" t="s">
        <v>88</v>
      </c>
      <c r="D11" s="95"/>
      <c r="E11" s="93" t="s">
        <v>161</v>
      </c>
      <c r="F11" s="93"/>
      <c r="G11" s="96">
        <v>1389.6</v>
      </c>
      <c r="H11" s="96">
        <v>101.07</v>
      </c>
      <c r="I11" s="208">
        <f>G11*H11</f>
        <v>140446.87199999997</v>
      </c>
      <c r="J11" s="97"/>
      <c r="K11" s="97"/>
      <c r="L11" s="97"/>
      <c r="M11" s="96"/>
    </row>
    <row r="12" spans="1:13" x14ac:dyDescent="0.25">
      <c r="A12" s="93">
        <v>3</v>
      </c>
      <c r="B12" s="94" t="s">
        <v>87</v>
      </c>
      <c r="C12" s="94" t="s">
        <v>89</v>
      </c>
      <c r="D12" s="95"/>
      <c r="E12" s="93" t="s">
        <v>161</v>
      </c>
      <c r="F12" s="93"/>
      <c r="G12" s="96">
        <v>950.4</v>
      </c>
      <c r="H12" s="96">
        <v>101.07</v>
      </c>
      <c r="I12" s="208">
        <f t="shared" si="0"/>
        <v>96056.927999999985</v>
      </c>
      <c r="J12" s="96"/>
      <c r="K12" s="96"/>
      <c r="L12" s="96"/>
      <c r="M12" s="96"/>
    </row>
    <row r="13" spans="1:13" x14ac:dyDescent="0.25">
      <c r="A13" s="93">
        <v>4</v>
      </c>
      <c r="B13" s="94" t="s">
        <v>90</v>
      </c>
      <c r="C13" s="94" t="s">
        <v>91</v>
      </c>
      <c r="D13" s="95">
        <v>256000</v>
      </c>
      <c r="E13" s="93" t="s">
        <v>92</v>
      </c>
      <c r="F13" s="93"/>
      <c r="G13" s="98"/>
      <c r="H13" s="98"/>
      <c r="I13" s="130">
        <v>256000</v>
      </c>
      <c r="J13" s="96"/>
      <c r="K13" s="96"/>
      <c r="L13" s="96"/>
      <c r="M13" s="96"/>
    </row>
    <row r="14" spans="1:13" x14ac:dyDescent="0.25">
      <c r="A14" s="93">
        <v>5</v>
      </c>
      <c r="B14" s="94" t="s">
        <v>93</v>
      </c>
      <c r="C14" s="94" t="s">
        <v>94</v>
      </c>
      <c r="D14" s="95"/>
      <c r="E14" s="93" t="s">
        <v>161</v>
      </c>
      <c r="F14" s="93" t="s">
        <v>95</v>
      </c>
      <c r="G14" s="98">
        <v>758.14</v>
      </c>
      <c r="H14" s="98">
        <v>131.47999999999999</v>
      </c>
      <c r="I14" s="200">
        <f>G14*H14</f>
        <v>99680.247199999983</v>
      </c>
      <c r="J14" s="96"/>
      <c r="K14" s="96"/>
      <c r="L14" s="96"/>
      <c r="M14" s="96"/>
    </row>
    <row r="15" spans="1:13" x14ac:dyDescent="0.25">
      <c r="A15" s="93">
        <v>7</v>
      </c>
      <c r="B15" s="94" t="s">
        <v>96</v>
      </c>
      <c r="C15" s="94" t="s">
        <v>97</v>
      </c>
      <c r="D15" s="95">
        <v>209633</v>
      </c>
      <c r="E15" s="93" t="s">
        <v>161</v>
      </c>
      <c r="F15" s="93" t="s">
        <v>95</v>
      </c>
      <c r="G15" s="98">
        <v>592.96</v>
      </c>
      <c r="H15" s="98">
        <v>108.7</v>
      </c>
      <c r="I15" s="207">
        <f>G15*H15</f>
        <v>64454.752000000008</v>
      </c>
      <c r="J15" s="96"/>
      <c r="K15" s="96"/>
      <c r="L15" s="96"/>
      <c r="M15" s="96"/>
    </row>
    <row r="16" spans="1:13" x14ac:dyDescent="0.25">
      <c r="A16" s="103">
        <v>86361</v>
      </c>
      <c r="B16" s="104" t="s">
        <v>126</v>
      </c>
      <c r="C16" s="104" t="s">
        <v>27</v>
      </c>
      <c r="D16" s="96"/>
      <c r="E16" s="105" t="s">
        <v>160</v>
      </c>
      <c r="F16" s="103"/>
      <c r="G16" s="96"/>
      <c r="H16" s="96"/>
      <c r="I16" s="201">
        <v>0</v>
      </c>
      <c r="J16" s="97"/>
      <c r="K16" s="96"/>
      <c r="L16" s="96"/>
      <c r="M16" s="96"/>
    </row>
    <row r="17" spans="1:13" x14ac:dyDescent="0.25">
      <c r="A17" s="103">
        <v>8</v>
      </c>
      <c r="B17" s="104" t="s">
        <v>152</v>
      </c>
      <c r="C17" s="104" t="s">
        <v>17</v>
      </c>
      <c r="D17" s="96"/>
      <c r="E17" s="105" t="s">
        <v>98</v>
      </c>
      <c r="F17" s="103"/>
      <c r="G17" s="96"/>
      <c r="H17" s="96"/>
      <c r="I17" s="97">
        <v>151500</v>
      </c>
      <c r="J17" s="97"/>
      <c r="K17" s="96"/>
      <c r="L17" s="96"/>
      <c r="M17" s="96"/>
    </row>
    <row r="19" spans="1:13" x14ac:dyDescent="0.25">
      <c r="J19" s="100"/>
    </row>
  </sheetData>
  <autoFilter ref="B9:M17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B44"/>
  <sheetViews>
    <sheetView workbookViewId="0">
      <selection activeCell="E42" sqref="E42"/>
    </sheetView>
  </sheetViews>
  <sheetFormatPr defaultRowHeight="15" x14ac:dyDescent="0.25"/>
  <cols>
    <col min="3" max="3" width="17.85546875" customWidth="1"/>
    <col min="4" max="4" width="45" bestFit="1" customWidth="1"/>
    <col min="5" max="5" width="14.42578125" bestFit="1" customWidth="1"/>
    <col min="6" max="6" width="23.140625" bestFit="1" customWidth="1"/>
    <col min="7" max="7" width="13.85546875" bestFit="1" customWidth="1"/>
    <col min="8" max="8" width="16.42578125" customWidth="1"/>
    <col min="9" max="9" width="11.5703125" bestFit="1" customWidth="1"/>
    <col min="12" max="12" width="13.28515625" customWidth="1"/>
    <col min="15" max="15" width="26.5703125" customWidth="1"/>
    <col min="16" max="16" width="15.85546875" customWidth="1"/>
    <col min="17" max="17" width="18.7109375" customWidth="1"/>
    <col min="18" max="18" width="10.5703125" customWidth="1"/>
  </cols>
  <sheetData>
    <row r="2" spans="3:28" s="13" customFormat="1" ht="12.75" x14ac:dyDescent="0.2">
      <c r="I2" s="39"/>
      <c r="J2" s="39"/>
      <c r="K2" s="39"/>
      <c r="L2" s="39"/>
      <c r="M2" s="39"/>
      <c r="X2" s="39"/>
      <c r="Y2" s="39"/>
      <c r="AB2" s="15"/>
    </row>
    <row r="3" spans="3:28" s="13" customFormat="1" ht="12.75" x14ac:dyDescent="0.2">
      <c r="U3" s="39"/>
      <c r="V3" s="39"/>
      <c r="AB3" s="39"/>
    </row>
    <row r="4" spans="3:28" s="13" customFormat="1" ht="12.75" x14ac:dyDescent="0.2">
      <c r="C4" s="170" t="s">
        <v>149</v>
      </c>
      <c r="G4" s="13" t="s">
        <v>125</v>
      </c>
      <c r="H4" s="106" t="s">
        <v>121</v>
      </c>
      <c r="P4" s="13" t="s">
        <v>125</v>
      </c>
      <c r="Q4" s="106" t="s">
        <v>122</v>
      </c>
    </row>
    <row r="5" spans="3:28" s="13" customFormat="1" ht="13.5" x14ac:dyDescent="0.25">
      <c r="C5" s="172" t="s">
        <v>16</v>
      </c>
      <c r="D5" s="173"/>
      <c r="E5" s="173"/>
      <c r="F5" s="174"/>
      <c r="G5" s="175">
        <f>SUM(G6:G13)</f>
        <v>2212394</v>
      </c>
      <c r="H5" s="192">
        <f>SUM(H6:H13)</f>
        <v>2780788.2</v>
      </c>
      <c r="I5" s="193" t="s">
        <v>69</v>
      </c>
      <c r="L5" s="107" t="s">
        <v>8</v>
      </c>
      <c r="M5" s="108"/>
      <c r="N5" s="108"/>
      <c r="O5" s="65"/>
      <c r="P5" s="109">
        <f>SUM(P6:P9)</f>
        <v>1194871.5</v>
      </c>
      <c r="Q5" s="110">
        <f>Q7+Q8+Q9</f>
        <v>1610625.75</v>
      </c>
      <c r="R5" s="111"/>
    </row>
    <row r="6" spans="3:28" s="13" customFormat="1" ht="14.25" x14ac:dyDescent="0.3">
      <c r="C6" s="177" t="s">
        <v>31</v>
      </c>
      <c r="D6" s="178" t="s">
        <v>0</v>
      </c>
      <c r="E6" s="178"/>
      <c r="F6" s="179"/>
      <c r="G6" s="180">
        <v>273380</v>
      </c>
      <c r="H6" s="194">
        <f>G6*1.5</f>
        <v>410070</v>
      </c>
      <c r="I6" s="195" t="s">
        <v>67</v>
      </c>
      <c r="J6" s="62"/>
      <c r="K6" s="62"/>
      <c r="L6" s="66"/>
      <c r="M6" s="1" t="s">
        <v>6</v>
      </c>
      <c r="N6" s="3"/>
      <c r="O6" s="2"/>
      <c r="P6" s="112"/>
      <c r="Q6" s="113"/>
      <c r="R6" s="114" t="s">
        <v>69</v>
      </c>
    </row>
    <row r="7" spans="3:28" s="13" customFormat="1" ht="14.25" x14ac:dyDescent="0.3">
      <c r="C7" s="177" t="s">
        <v>63</v>
      </c>
      <c r="D7" s="178" t="s">
        <v>2</v>
      </c>
      <c r="E7" s="178"/>
      <c r="F7" s="179"/>
      <c r="G7" s="180">
        <v>200000</v>
      </c>
      <c r="H7" s="194">
        <f>G7*1.3</f>
        <v>260000</v>
      </c>
      <c r="I7" s="196" t="s">
        <v>68</v>
      </c>
      <c r="J7" s="62"/>
      <c r="K7" s="62"/>
      <c r="L7" s="66" t="s">
        <v>31</v>
      </c>
      <c r="M7" s="4" t="s">
        <v>5</v>
      </c>
      <c r="N7" s="2"/>
      <c r="O7" s="115"/>
      <c r="P7" s="112">
        <v>286464</v>
      </c>
      <c r="Q7" s="116">
        <f>P7*1.5</f>
        <v>429696</v>
      </c>
      <c r="R7" s="117" t="s">
        <v>67</v>
      </c>
    </row>
    <row r="8" spans="3:28" s="13" customFormat="1" ht="14.25" x14ac:dyDescent="0.3">
      <c r="C8" s="177" t="s">
        <v>63</v>
      </c>
      <c r="D8" s="178" t="s">
        <v>11</v>
      </c>
      <c r="E8" s="178"/>
      <c r="F8" s="179"/>
      <c r="G8" s="180">
        <v>200000</v>
      </c>
      <c r="H8" s="194">
        <f t="shared" ref="H8:H12" si="0">G8*1.3</f>
        <v>260000</v>
      </c>
      <c r="I8" s="196" t="s">
        <v>68</v>
      </c>
      <c r="J8" s="62"/>
      <c r="K8" s="62"/>
      <c r="L8" s="66" t="s">
        <v>31</v>
      </c>
      <c r="M8" s="4" t="s">
        <v>7</v>
      </c>
      <c r="N8" s="118"/>
      <c r="O8" s="119"/>
      <c r="P8" s="112">
        <v>698775</v>
      </c>
      <c r="Q8" s="116">
        <f>P8*1.3</f>
        <v>908407.5</v>
      </c>
      <c r="R8" s="120" t="s">
        <v>68</v>
      </c>
    </row>
    <row r="9" spans="3:28" s="13" customFormat="1" ht="14.25" x14ac:dyDescent="0.3">
      <c r="C9" s="177" t="s">
        <v>63</v>
      </c>
      <c r="D9" s="178" t="s">
        <v>9</v>
      </c>
      <c r="E9" s="178"/>
      <c r="F9" s="179"/>
      <c r="G9" s="180">
        <v>260000</v>
      </c>
      <c r="H9" s="194">
        <f t="shared" si="0"/>
        <v>338000</v>
      </c>
      <c r="I9" s="196" t="s">
        <v>68</v>
      </c>
      <c r="J9" s="62"/>
      <c r="K9" s="62"/>
      <c r="L9" s="67" t="s">
        <v>63</v>
      </c>
      <c r="M9" s="68" t="s">
        <v>14</v>
      </c>
      <c r="N9" s="121"/>
      <c r="O9" s="122"/>
      <c r="P9" s="123">
        <f>P8*0.3</f>
        <v>209632.5</v>
      </c>
      <c r="Q9" s="124">
        <f>P9*1.3</f>
        <v>272522.25</v>
      </c>
      <c r="R9" s="125" t="s">
        <v>68</v>
      </c>
    </row>
    <row r="10" spans="3:28" s="13" customFormat="1" ht="14.25" x14ac:dyDescent="0.3">
      <c r="C10" s="177" t="s">
        <v>63</v>
      </c>
      <c r="D10" s="178" t="s">
        <v>3</v>
      </c>
      <c r="E10" s="178"/>
      <c r="F10" s="179"/>
      <c r="G10" s="180">
        <v>340000</v>
      </c>
      <c r="H10" s="194">
        <f t="shared" si="0"/>
        <v>442000</v>
      </c>
      <c r="I10" s="196" t="s">
        <v>68</v>
      </c>
      <c r="J10" s="62"/>
      <c r="K10" s="62"/>
      <c r="L10" s="62"/>
      <c r="M10" s="62"/>
      <c r="O10" s="127" t="s">
        <v>64</v>
      </c>
      <c r="P10" s="128">
        <f>P9</f>
        <v>209632.5</v>
      </c>
      <c r="Q10" s="128">
        <f>Q9</f>
        <v>272522.25</v>
      </c>
    </row>
    <row r="11" spans="3:28" s="13" customFormat="1" ht="14.25" x14ac:dyDescent="0.3">
      <c r="C11" s="177" t="s">
        <v>63</v>
      </c>
      <c r="D11" s="178" t="s">
        <v>10</v>
      </c>
      <c r="E11" s="178"/>
      <c r="F11" s="179"/>
      <c r="G11" s="180">
        <v>90000</v>
      </c>
      <c r="H11" s="194">
        <f t="shared" si="0"/>
        <v>117000</v>
      </c>
      <c r="I11" s="196" t="s">
        <v>68</v>
      </c>
      <c r="J11" s="62"/>
      <c r="K11" s="62"/>
      <c r="O11" s="127" t="s">
        <v>120</v>
      </c>
      <c r="P11" s="128">
        <f>P7+P8</f>
        <v>985239</v>
      </c>
      <c r="Q11" s="128">
        <f>Q7+Q8</f>
        <v>1338103.5</v>
      </c>
      <c r="S11" s="15"/>
      <c r="T11" s="15"/>
      <c r="U11" s="15"/>
      <c r="V11" s="15"/>
    </row>
    <row r="12" spans="3:28" s="13" customFormat="1" ht="14.25" x14ac:dyDescent="0.3">
      <c r="C12" s="177" t="s">
        <v>63</v>
      </c>
      <c r="D12" s="178" t="s">
        <v>4</v>
      </c>
      <c r="E12" s="178"/>
      <c r="F12" s="179"/>
      <c r="G12" s="180">
        <v>349014</v>
      </c>
      <c r="H12" s="194">
        <f t="shared" si="0"/>
        <v>453718.2</v>
      </c>
      <c r="I12" s="196" t="s">
        <v>68</v>
      </c>
      <c r="J12" s="62"/>
      <c r="K12" s="62"/>
      <c r="P12" s="39"/>
      <c r="Q12" s="39"/>
    </row>
    <row r="13" spans="3:28" s="13" customFormat="1" ht="14.25" x14ac:dyDescent="0.3">
      <c r="C13" s="182" t="s">
        <v>31</v>
      </c>
      <c r="D13" s="183" t="s">
        <v>1</v>
      </c>
      <c r="E13" s="183"/>
      <c r="F13" s="184"/>
      <c r="G13" s="185">
        <v>500000</v>
      </c>
      <c r="H13" s="197">
        <f>G13</f>
        <v>500000</v>
      </c>
      <c r="I13" s="198" t="s">
        <v>15</v>
      </c>
      <c r="J13" s="62"/>
      <c r="K13" s="62"/>
    </row>
    <row r="14" spans="3:28" s="13" customFormat="1" ht="12.75" x14ac:dyDescent="0.2">
      <c r="C14" s="170"/>
      <c r="D14" s="170"/>
      <c r="E14" s="187"/>
      <c r="F14" s="199" t="s">
        <v>119</v>
      </c>
      <c r="G14" s="189">
        <f>G12+G11+G10+G8+G9+G7</f>
        <v>1439014</v>
      </c>
      <c r="H14" s="189">
        <f>H12+H11+H10+H8+H9+H7</f>
        <v>1870718.2</v>
      </c>
      <c r="I14" s="170"/>
      <c r="P14" s="13" t="s">
        <v>125</v>
      </c>
      <c r="Q14" s="126" t="s">
        <v>123</v>
      </c>
    </row>
    <row r="15" spans="3:28" s="13" customFormat="1" ht="13.5" x14ac:dyDescent="0.25">
      <c r="C15" s="170"/>
      <c r="D15" s="170"/>
      <c r="E15" s="170"/>
      <c r="F15" s="199" t="s">
        <v>120</v>
      </c>
      <c r="G15" s="189">
        <f>G13+G6</f>
        <v>773380</v>
      </c>
      <c r="H15" s="189">
        <f>H13+H6</f>
        <v>910070</v>
      </c>
      <c r="I15" s="170"/>
      <c r="L15" s="107" t="s">
        <v>8</v>
      </c>
      <c r="M15" s="108"/>
      <c r="N15" s="108"/>
      <c r="O15" s="65"/>
      <c r="P15" s="109">
        <f>SUM(P16:P19)</f>
        <v>1194871.5</v>
      </c>
      <c r="Q15" s="110">
        <f>Q17+Q18+Q19+Q20+Q21</f>
        <v>2695347.9874999998</v>
      </c>
      <c r="R15" s="111"/>
    </row>
    <row r="16" spans="3:28" s="13" customFormat="1" ht="14.25" x14ac:dyDescent="0.3">
      <c r="L16" s="66"/>
      <c r="M16" s="1" t="s">
        <v>6</v>
      </c>
      <c r="N16" s="3"/>
      <c r="O16" s="2"/>
      <c r="P16" s="112"/>
      <c r="Q16" s="113"/>
      <c r="R16" s="127" t="s">
        <v>69</v>
      </c>
    </row>
    <row r="17" spans="3:18" s="13" customFormat="1" ht="14.25" x14ac:dyDescent="0.3">
      <c r="C17" s="170" t="s">
        <v>150</v>
      </c>
      <c r="D17" s="170"/>
      <c r="E17" s="170"/>
      <c r="F17" s="170"/>
      <c r="G17" s="170" t="s">
        <v>125</v>
      </c>
      <c r="H17" s="171" t="s">
        <v>123</v>
      </c>
      <c r="L17" s="66" t="s">
        <v>31</v>
      </c>
      <c r="M17" s="4" t="s">
        <v>5</v>
      </c>
      <c r="N17" s="2"/>
      <c r="O17" s="115"/>
      <c r="P17" s="112">
        <v>286464</v>
      </c>
      <c r="Q17" s="116">
        <v>1342918.2375</v>
      </c>
      <c r="R17" s="127" t="s">
        <v>124</v>
      </c>
    </row>
    <row r="18" spans="3:18" ht="15.75" x14ac:dyDescent="0.3">
      <c r="C18" s="172" t="s">
        <v>16</v>
      </c>
      <c r="D18" s="173"/>
      <c r="E18" s="173"/>
      <c r="F18" s="174"/>
      <c r="G18" s="175">
        <f>SUM(G19:G26)</f>
        <v>2212394</v>
      </c>
      <c r="H18" s="176">
        <f>SUM(H19:H26)</f>
        <v>2627718.2000000002</v>
      </c>
      <c r="L18" s="66" t="s">
        <v>31</v>
      </c>
      <c r="M18" s="4" t="s">
        <v>7</v>
      </c>
      <c r="N18" s="118"/>
      <c r="O18" s="119"/>
      <c r="P18" s="112">
        <v>698775</v>
      </c>
      <c r="Q18" s="116">
        <f>P18*1.3</f>
        <v>908407.5</v>
      </c>
      <c r="R18" s="144" t="s">
        <v>68</v>
      </c>
    </row>
    <row r="19" spans="3:18" ht="15.75" x14ac:dyDescent="0.3">
      <c r="C19" s="177" t="s">
        <v>31</v>
      </c>
      <c r="D19" s="178" t="s">
        <v>0</v>
      </c>
      <c r="E19" s="178"/>
      <c r="F19" s="179"/>
      <c r="G19" s="180">
        <v>273380</v>
      </c>
      <c r="H19" s="181">
        <v>507000</v>
      </c>
      <c r="L19" s="67" t="s">
        <v>63</v>
      </c>
      <c r="M19" s="68" t="s">
        <v>14</v>
      </c>
      <c r="N19" s="121"/>
      <c r="O19" s="122"/>
      <c r="P19" s="123">
        <f>P18*0.3</f>
        <v>209632.5</v>
      </c>
      <c r="Q19" s="124">
        <f>P19*1.3</f>
        <v>272522.25</v>
      </c>
      <c r="R19" s="144" t="s">
        <v>68</v>
      </c>
    </row>
    <row r="20" spans="3:18" ht="15.75" x14ac:dyDescent="0.3">
      <c r="C20" s="177" t="s">
        <v>63</v>
      </c>
      <c r="D20" s="178" t="s">
        <v>2</v>
      </c>
      <c r="E20" s="178"/>
      <c r="F20" s="179"/>
      <c r="G20" s="180">
        <v>200000</v>
      </c>
      <c r="H20" s="181">
        <f>G20*1.3</f>
        <v>260000</v>
      </c>
      <c r="L20" s="67" t="s">
        <v>31</v>
      </c>
      <c r="M20" s="68" t="s">
        <v>127</v>
      </c>
      <c r="N20" s="121"/>
      <c r="O20" s="122"/>
      <c r="P20" s="123"/>
      <c r="Q20" s="124">
        <v>20000</v>
      </c>
    </row>
    <row r="21" spans="3:18" ht="15.75" x14ac:dyDescent="0.3">
      <c r="C21" s="177" t="s">
        <v>63</v>
      </c>
      <c r="D21" s="178" t="s">
        <v>11</v>
      </c>
      <c r="E21" s="178"/>
      <c r="F21" s="179"/>
      <c r="G21" s="180">
        <v>200000</v>
      </c>
      <c r="H21" s="181">
        <f t="shared" ref="H21:H25" si="1">G21*1.3</f>
        <v>260000</v>
      </c>
      <c r="L21" s="165" t="s">
        <v>31</v>
      </c>
      <c r="M21" s="166" t="s">
        <v>147</v>
      </c>
      <c r="N21" s="167"/>
      <c r="O21" s="168"/>
      <c r="P21" s="123"/>
      <c r="Q21" s="124">
        <v>151500</v>
      </c>
    </row>
    <row r="22" spans="3:18" ht="15.75" x14ac:dyDescent="0.3">
      <c r="C22" s="177" t="s">
        <v>63</v>
      </c>
      <c r="D22" s="178" t="s">
        <v>9</v>
      </c>
      <c r="E22" s="178"/>
      <c r="F22" s="179"/>
      <c r="G22" s="180">
        <v>260000</v>
      </c>
      <c r="H22" s="181">
        <f t="shared" si="1"/>
        <v>338000</v>
      </c>
      <c r="O22" s="164" t="s">
        <v>64</v>
      </c>
      <c r="P22" s="128">
        <f>P19</f>
        <v>209632.5</v>
      </c>
      <c r="Q22" s="129">
        <f>Q19</f>
        <v>272522.25</v>
      </c>
    </row>
    <row r="23" spans="3:18" ht="15.75" x14ac:dyDescent="0.3">
      <c r="C23" s="177" t="s">
        <v>63</v>
      </c>
      <c r="D23" s="178" t="s">
        <v>3</v>
      </c>
      <c r="E23" s="178"/>
      <c r="F23" s="179"/>
      <c r="G23" s="180">
        <v>340000</v>
      </c>
      <c r="H23" s="181">
        <f t="shared" si="1"/>
        <v>442000</v>
      </c>
      <c r="O23" s="131" t="s">
        <v>120</v>
      </c>
      <c r="P23" s="128">
        <f>P17+P18</f>
        <v>985239</v>
      </c>
      <c r="Q23" s="129">
        <f>Q17+Q18+Q20+Q21</f>
        <v>2422825.7374999998</v>
      </c>
    </row>
    <row r="24" spans="3:18" ht="15.75" x14ac:dyDescent="0.3">
      <c r="C24" s="177" t="s">
        <v>63</v>
      </c>
      <c r="D24" s="178" t="s">
        <v>10</v>
      </c>
      <c r="E24" s="178"/>
      <c r="F24" s="179"/>
      <c r="G24" s="180">
        <v>90000</v>
      </c>
      <c r="H24" s="181">
        <f t="shared" si="1"/>
        <v>117000</v>
      </c>
    </row>
    <row r="25" spans="3:18" ht="15.75" x14ac:dyDescent="0.3">
      <c r="C25" s="177" t="s">
        <v>63</v>
      </c>
      <c r="D25" s="178" t="s">
        <v>4</v>
      </c>
      <c r="E25" s="178"/>
      <c r="F25" s="179"/>
      <c r="G25" s="180">
        <v>349014</v>
      </c>
      <c r="H25" s="181">
        <f t="shared" si="1"/>
        <v>453718.2</v>
      </c>
    </row>
    <row r="26" spans="3:18" ht="15.75" x14ac:dyDescent="0.3">
      <c r="C26" s="182" t="s">
        <v>31</v>
      </c>
      <c r="D26" s="183" t="s">
        <v>1</v>
      </c>
      <c r="E26" s="183"/>
      <c r="F26" s="184"/>
      <c r="G26" s="185">
        <v>500000</v>
      </c>
      <c r="H26" s="186">
        <v>250000</v>
      </c>
    </row>
    <row r="27" spans="3:18" x14ac:dyDescent="0.25">
      <c r="C27" s="170"/>
      <c r="D27" s="170"/>
      <c r="E27" s="187"/>
      <c r="F27" s="188" t="s">
        <v>119</v>
      </c>
      <c r="G27" s="189">
        <f>G20+G21+G22+G23+G24+G25</f>
        <v>1439014</v>
      </c>
      <c r="H27" s="190">
        <f>H25+H24+H23+H21+H22+H20</f>
        <v>1870718.2</v>
      </c>
      <c r="I27" s="13"/>
    </row>
    <row r="28" spans="3:18" x14ac:dyDescent="0.25">
      <c r="C28" s="191"/>
      <c r="D28" s="191"/>
      <c r="E28" s="191"/>
      <c r="F28" s="188" t="s">
        <v>120</v>
      </c>
      <c r="G28" s="189">
        <f>G26+G19</f>
        <v>773380</v>
      </c>
      <c r="H28" s="190">
        <f>H26+H19</f>
        <v>757000</v>
      </c>
    </row>
    <row r="31" spans="3:18" x14ac:dyDescent="0.25">
      <c r="C31" t="s">
        <v>151</v>
      </c>
      <c r="D31" s="12" t="s">
        <v>138</v>
      </c>
    </row>
    <row r="32" spans="3:18" x14ac:dyDescent="0.25">
      <c r="C32" s="133">
        <v>84728</v>
      </c>
      <c r="D32" s="134" t="s">
        <v>131</v>
      </c>
      <c r="E32" s="134" t="s">
        <v>22</v>
      </c>
      <c r="F32" s="134" t="s">
        <v>132</v>
      </c>
    </row>
    <row r="33" spans="3:6" x14ac:dyDescent="0.25">
      <c r="C33" s="133" t="s">
        <v>31</v>
      </c>
      <c r="D33" s="135" t="s">
        <v>0</v>
      </c>
      <c r="E33" s="136">
        <v>553328.21</v>
      </c>
      <c r="F33" s="135" t="s">
        <v>133</v>
      </c>
    </row>
    <row r="34" spans="3:6" x14ac:dyDescent="0.25">
      <c r="C34" s="133" t="s">
        <v>63</v>
      </c>
      <c r="D34" s="135" t="s">
        <v>2</v>
      </c>
      <c r="E34" s="136">
        <v>200000</v>
      </c>
      <c r="F34" s="135" t="s">
        <v>134</v>
      </c>
    </row>
    <row r="35" spans="3:6" x14ac:dyDescent="0.25">
      <c r="C35" s="133" t="s">
        <v>63</v>
      </c>
      <c r="D35" s="135" t="s">
        <v>11</v>
      </c>
      <c r="E35" s="136">
        <v>200000</v>
      </c>
      <c r="F35" s="135" t="s">
        <v>134</v>
      </c>
    </row>
    <row r="36" spans="3:6" x14ac:dyDescent="0.25">
      <c r="C36" s="133" t="s">
        <v>63</v>
      </c>
      <c r="D36" s="137" t="s">
        <v>9</v>
      </c>
      <c r="E36" s="138">
        <v>185000</v>
      </c>
      <c r="F36" s="137" t="s">
        <v>135</v>
      </c>
    </row>
    <row r="37" spans="3:6" x14ac:dyDescent="0.25">
      <c r="C37" s="133" t="s">
        <v>63</v>
      </c>
      <c r="D37" s="137" t="s">
        <v>3</v>
      </c>
      <c r="E37" s="138">
        <v>270000</v>
      </c>
      <c r="F37" s="137" t="s">
        <v>135</v>
      </c>
    </row>
    <row r="38" spans="3:6" x14ac:dyDescent="0.25">
      <c r="C38" s="133" t="s">
        <v>63</v>
      </c>
      <c r="D38" s="137" t="s">
        <v>10</v>
      </c>
      <c r="E38" s="138">
        <v>168000</v>
      </c>
      <c r="F38" s="137" t="s">
        <v>135</v>
      </c>
    </row>
    <row r="39" spans="3:6" x14ac:dyDescent="0.25">
      <c r="C39" s="133" t="s">
        <v>63</v>
      </c>
      <c r="D39" s="137" t="s">
        <v>136</v>
      </c>
      <c r="E39" s="138">
        <v>74000</v>
      </c>
      <c r="F39" s="137" t="s">
        <v>135</v>
      </c>
    </row>
    <row r="40" spans="3:6" x14ac:dyDescent="0.25">
      <c r="C40" s="133" t="s">
        <v>63</v>
      </c>
      <c r="D40" s="137" t="s">
        <v>4</v>
      </c>
      <c r="E40" s="138">
        <v>219400</v>
      </c>
      <c r="F40" s="137" t="s">
        <v>137</v>
      </c>
    </row>
    <row r="41" spans="3:6" x14ac:dyDescent="0.25">
      <c r="C41" s="133" t="s">
        <v>31</v>
      </c>
      <c r="D41" s="137" t="s">
        <v>1</v>
      </c>
      <c r="E41" s="138">
        <v>300000</v>
      </c>
      <c r="F41" s="137" t="s">
        <v>135</v>
      </c>
    </row>
    <row r="42" spans="3:6" x14ac:dyDescent="0.25">
      <c r="D42" s="132" t="s">
        <v>62</v>
      </c>
      <c r="E42" s="161">
        <f>SUM(E33:E41)</f>
        <v>2169728.21</v>
      </c>
    </row>
    <row r="43" spans="3:6" x14ac:dyDescent="0.25">
      <c r="D43" s="132" t="s">
        <v>119</v>
      </c>
      <c r="E43" s="139">
        <f>E34+E35+E36+E37+E38+E39+E40</f>
        <v>1316400</v>
      </c>
    </row>
    <row r="44" spans="3:6" x14ac:dyDescent="0.25">
      <c r="D44" s="132" t="s">
        <v>120</v>
      </c>
      <c r="E44" s="139">
        <f>E41+E33</f>
        <v>853328.21</v>
      </c>
      <c r="F44" s="13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old</vt:lpstr>
      <vt:lpstr>Resumo financeiro</vt:lpstr>
      <vt:lpstr>pts84710</vt:lpstr>
      <vt:lpstr>pts84711</vt:lpstr>
      <vt:lpstr>racional</vt:lpstr>
      <vt:lpstr>old!Area_de_impressao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profile</dc:creator>
  <cp:lastModifiedBy>profile</cp:lastModifiedBy>
  <cp:lastPrinted>2014-09-22T22:35:53Z</cp:lastPrinted>
  <dcterms:created xsi:type="dcterms:W3CDTF">2014-03-13T13:17:15Z</dcterms:created>
  <dcterms:modified xsi:type="dcterms:W3CDTF">2014-11-02T03:04:21Z</dcterms:modified>
</cp:coreProperties>
</file>