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300600\Documents\NOVO SISTEMA FRAUDE\"/>
    </mc:Choice>
  </mc:AlternateContent>
  <bookViews>
    <workbookView xWindow="0" yWindow="0" windowWidth="20490" windowHeight="7935"/>
  </bookViews>
  <sheets>
    <sheet name="Dashboard" sheetId="3" r:id="rId1"/>
    <sheet name="aux" sheetId="2" r:id="rId2"/>
    <sheet name="tela" sheetId="1" r:id="rId3"/>
    <sheet name="MEDIA E VOL DERIVAÇÃO POR RR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S38" i="3"/>
  <c r="R38" i="3"/>
  <c r="N38" i="3"/>
  <c r="L38" i="3"/>
  <c r="K38" i="3"/>
  <c r="J38" i="3"/>
  <c r="I38" i="3"/>
  <c r="H38" i="3"/>
  <c r="G38" i="3"/>
  <c r="F38" i="3"/>
  <c r="E38" i="3"/>
  <c r="C23" i="3"/>
  <c r="C38" i="3" s="1"/>
  <c r="P37" i="3"/>
  <c r="M3" i="4" l="1"/>
  <c r="K73" i="2" l="1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G72" i="2"/>
  <c r="G71" i="2"/>
  <c r="G70" i="2"/>
  <c r="G69" i="2"/>
  <c r="G68" i="2"/>
  <c r="G67" i="2"/>
  <c r="G66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73" i="2"/>
  <c r="G65" i="2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F49" i="2"/>
  <c r="F50" i="2" s="1"/>
  <c r="P36" i="3"/>
  <c r="P35" i="3"/>
  <c r="P34" i="3"/>
  <c r="P33" i="3"/>
  <c r="P32" i="3"/>
  <c r="P31" i="3"/>
  <c r="P30" i="3"/>
  <c r="P29" i="3"/>
  <c r="P28" i="3"/>
  <c r="P27" i="3"/>
  <c r="P26" i="3"/>
  <c r="P25" i="3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Q4" i="2"/>
  <c r="P38" i="3" l="1"/>
  <c r="K50" i="2"/>
  <c r="I50" i="2"/>
  <c r="G50" i="2"/>
  <c r="H50" i="2"/>
  <c r="J50" i="2"/>
  <c r="C53" i="3"/>
  <c r="D53" i="3"/>
  <c r="E53" i="3"/>
  <c r="F53" i="3"/>
  <c r="G53" i="3"/>
  <c r="S58" i="3" l="1"/>
  <c r="R58" i="3"/>
  <c r="Q58" i="3"/>
  <c r="L58" i="3"/>
  <c r="N58" i="3" s="1"/>
  <c r="K58" i="3"/>
  <c r="J58" i="3"/>
  <c r="E58" i="3"/>
  <c r="G58" i="3" s="1"/>
  <c r="D58" i="3"/>
  <c r="C58" i="3"/>
  <c r="T58" i="3" l="1"/>
  <c r="M58" i="3"/>
  <c r="F58" i="3"/>
  <c r="F8" i="2"/>
  <c r="J9" i="2" s="1"/>
  <c r="F3" i="2"/>
  <c r="L4" i="2"/>
  <c r="P4" i="2"/>
  <c r="O4" i="2"/>
  <c r="N4" i="2"/>
  <c r="M4" i="2"/>
  <c r="J4" i="2" l="1"/>
  <c r="K4" i="2"/>
  <c r="H4" i="2"/>
  <c r="I9" i="2"/>
  <c r="H9" i="2"/>
  <c r="K9" i="2"/>
  <c r="G9" i="2"/>
  <c r="G4" i="2"/>
  <c r="I4" i="2"/>
  <c r="C31" i="1"/>
  <c r="B21" i="2"/>
  <c r="B20" i="2"/>
  <c r="B3" i="2"/>
  <c r="B2" i="2"/>
  <c r="B5" i="2" s="1"/>
  <c r="B6" i="2" s="1"/>
  <c r="B22" i="2" l="1"/>
  <c r="B23" i="2" s="1"/>
</calcChain>
</file>

<file path=xl/comments1.xml><?xml version="1.0" encoding="utf-8"?>
<comments xmlns="http://schemas.openxmlformats.org/spreadsheetml/2006/main">
  <authors>
    <author>Supervisor</author>
  </authors>
  <commentList>
    <comment ref="L24" authorId="0" shapeId="0">
      <text>
        <r>
          <rPr>
            <b/>
            <sz val="8"/>
            <color indexed="81"/>
            <rFont val="Segoe UI"/>
            <family val="2"/>
          </rPr>
          <t>Supervisor:</t>
        </r>
        <r>
          <rPr>
            <sz val="8"/>
            <color indexed="81"/>
            <rFont val="Segoe UI"/>
            <family val="2"/>
          </rPr>
          <t xml:space="preserve">
Tempo de médio de tratamento: duração média desde quando o operador seleciona o caso até quando ele finaliza, somando todos os contatos realizados.</t>
        </r>
      </text>
    </comment>
    <comment ref="R24" authorId="0" shapeId="0">
      <text>
        <r>
          <rPr>
            <b/>
            <sz val="8"/>
            <color indexed="81"/>
            <rFont val="Segoe UI"/>
            <family val="2"/>
          </rPr>
          <t>Supervisor:</t>
        </r>
        <r>
          <rPr>
            <sz val="8"/>
            <color indexed="81"/>
            <rFont val="Segoe UI"/>
            <family val="2"/>
          </rPr>
          <t xml:space="preserve">
Tempo de ociosidade entre o último clique no botão GRAVAR até o início de um ATENDIMENTO.</t>
        </r>
      </text>
    </comment>
    <comment ref="S24" authorId="0" shapeId="0">
      <text>
        <r>
          <rPr>
            <b/>
            <sz val="8"/>
            <color indexed="81"/>
            <rFont val="Segoe UI"/>
            <family val="2"/>
          </rPr>
          <t>Supervisor:</t>
        </r>
        <r>
          <rPr>
            <sz val="8"/>
            <color indexed="81"/>
            <rFont val="Segoe UI"/>
            <family val="2"/>
          </rPr>
          <t xml:space="preserve">
Tempo médio de Ociosidade, é o tempo médio em que o operador fica sem proposta selecionada para tratamento.</t>
        </r>
      </text>
    </comment>
  </commentList>
</comments>
</file>

<file path=xl/comments2.xml><?xml version="1.0" encoding="utf-8"?>
<comments xmlns="http://schemas.openxmlformats.org/spreadsheetml/2006/main">
  <authors>
    <author>Supervisor</author>
  </authors>
  <commentList>
    <comment ref="Z10" authorId="0" shapeId="0">
      <text>
        <r>
          <rPr>
            <b/>
            <sz val="8"/>
            <color indexed="81"/>
            <rFont val="Segoe UI"/>
            <family val="2"/>
          </rPr>
          <t>Supervisor:</t>
        </r>
        <r>
          <rPr>
            <sz val="8"/>
            <color indexed="81"/>
            <rFont val="Segoe UI"/>
            <family val="2"/>
          </rPr>
          <t xml:space="preserve">
Tempo de médio de tratamento: duração média desde quando o operador seleciona o caso até quando ele finaliza, somando todos os contatos realizados.</t>
        </r>
      </text>
    </comment>
    <comment ref="Z14" authorId="0" shapeId="0">
      <text>
        <r>
          <rPr>
            <b/>
            <sz val="8"/>
            <color indexed="81"/>
            <rFont val="Segoe UI"/>
            <family val="2"/>
          </rPr>
          <t>Supervisor:</t>
        </r>
        <r>
          <rPr>
            <sz val="8"/>
            <color indexed="81"/>
            <rFont val="Segoe UI"/>
            <family val="2"/>
          </rPr>
          <t xml:space="preserve">
Tempo de ociosidade entre o último clique no botão GRAVAR até o início de um ATENDIMENTO.</t>
        </r>
      </text>
    </comment>
    <comment ref="Z15" authorId="0" shapeId="0">
      <text>
        <r>
          <rPr>
            <b/>
            <sz val="8"/>
            <color indexed="81"/>
            <rFont val="Segoe UI"/>
            <family val="2"/>
          </rPr>
          <t>Supervisor:</t>
        </r>
        <r>
          <rPr>
            <sz val="8"/>
            <color indexed="81"/>
            <rFont val="Segoe UI"/>
            <family val="2"/>
          </rPr>
          <t xml:space="preserve">
Tempo médio de Ociosidade, é o tempo médio em que o operador fica sem proposta selecionada para tratamento.</t>
        </r>
      </text>
    </comment>
  </commentList>
</comments>
</file>

<file path=xl/sharedStrings.xml><?xml version="1.0" encoding="utf-8"?>
<sst xmlns="http://schemas.openxmlformats.org/spreadsheetml/2006/main" count="289" uniqueCount="185">
  <si>
    <t>1- SLA Operacão D-1</t>
  </si>
  <si>
    <t xml:space="preserve">Pendentes de 1 Contato </t>
  </si>
  <si>
    <t xml:space="preserve">Pendentes de 2 Contato </t>
  </si>
  <si>
    <t>Aprovadas</t>
  </si>
  <si>
    <t>Negadas</t>
  </si>
  <si>
    <t xml:space="preserve">1- SLA </t>
  </si>
  <si>
    <t>1- SLA Operacão &gt; D-1</t>
  </si>
  <si>
    <t>Propostas abertas &gt; D -1</t>
  </si>
  <si>
    <t>Aguaradando Tratamento</t>
  </si>
  <si>
    <t>Operador CONTAX</t>
  </si>
  <si>
    <t>Dividir por quartil</t>
  </si>
  <si>
    <t>login</t>
  </si>
  <si>
    <t>nome</t>
  </si>
  <si>
    <t>x1</t>
  </si>
  <si>
    <t>Fixa</t>
  </si>
  <si>
    <t>Movel</t>
  </si>
  <si>
    <t>TV</t>
  </si>
  <si>
    <t>Exceção</t>
  </si>
  <si>
    <t>Receptivo</t>
  </si>
  <si>
    <t>Total</t>
  </si>
  <si>
    <t>DIA ( Possivel clicar e expandir por hora)</t>
  </si>
  <si>
    <t xml:space="preserve">quartil </t>
  </si>
  <si>
    <t>Semana</t>
  </si>
  <si>
    <t>X2</t>
  </si>
  <si>
    <t>x3</t>
  </si>
  <si>
    <t>Total de operadoradores distintos</t>
  </si>
  <si>
    <t>Produção</t>
  </si>
  <si>
    <t>Qualidade</t>
  </si>
  <si>
    <t>% Aprovada</t>
  </si>
  <si>
    <t>% negada</t>
  </si>
  <si>
    <t>% sem Contato</t>
  </si>
  <si>
    <t>TMT</t>
  </si>
  <si>
    <t>tempo de ociosidade ultima proposta</t>
  </si>
  <si>
    <t>Produção por tempo logado</t>
  </si>
  <si>
    <t>Controle Derivação Dia</t>
  </si>
  <si>
    <t>Derivando</t>
  </si>
  <si>
    <t>aprovando</t>
  </si>
  <si>
    <t>Tratando</t>
  </si>
  <si>
    <t>Motivo de derivação</t>
  </si>
  <si>
    <t xml:space="preserve">1 Contato </t>
  </si>
  <si>
    <t xml:space="preserve">2 Contato </t>
  </si>
  <si>
    <t>Aguardando</t>
  </si>
  <si>
    <t>Aprovadas Auto</t>
  </si>
  <si>
    <t>Total propostas</t>
  </si>
  <si>
    <t>Fraude</t>
  </si>
  <si>
    <t>Sem contato</t>
  </si>
  <si>
    <t>Óbito</t>
  </si>
  <si>
    <t>Crédito</t>
  </si>
  <si>
    <t>Derivadas</t>
  </si>
  <si>
    <t>Qualidade de dados</t>
  </si>
  <si>
    <t>PROPOSTAS</t>
  </si>
  <si>
    <t>DERIVAÇÕES</t>
  </si>
  <si>
    <t>DERIVAÇÃO - MOTIVOS DE REPROVAÇÕES</t>
  </si>
  <si>
    <t>MOTIVOS REPROVAÇÕES POR FRAUDE</t>
  </si>
  <si>
    <t>MOTIVOS REPROVAÇÕES POR CRÉDITO</t>
  </si>
  <si>
    <t>OPERADORES</t>
  </si>
  <si>
    <t>Nome</t>
  </si>
  <si>
    <t>Propostas</t>
  </si>
  <si>
    <t>CC123456</t>
  </si>
  <si>
    <t>CC987654</t>
  </si>
  <si>
    <t>CC546789</t>
  </si>
  <si>
    <t>CC321456</t>
  </si>
  <si>
    <t>CC789546</t>
  </si>
  <si>
    <t>CC547931</t>
  </si>
  <si>
    <t>CC281346</t>
  </si>
  <si>
    <t>CC914633</t>
  </si>
  <si>
    <t>CC142783</t>
  </si>
  <si>
    <t>CC879823</t>
  </si>
  <si>
    <t>CC012345</t>
  </si>
  <si>
    <t>CC035148</t>
  </si>
  <si>
    <t>CC456116</t>
  </si>
  <si>
    <t>CC001234</t>
  </si>
  <si>
    <t>Logins</t>
  </si>
  <si>
    <t>Móvel</t>
  </si>
  <si>
    <t>Maria Joaquina</t>
  </si>
  <si>
    <t>João da Silva</t>
  </si>
  <si>
    <t>José Ferreira</t>
  </si>
  <si>
    <t>Joana Maria</t>
  </si>
  <si>
    <t>Maria da Silva</t>
  </si>
  <si>
    <t>Leonardo Azevedo</t>
  </si>
  <si>
    <t>Renato Mariano</t>
  </si>
  <si>
    <t>Valter Cardoso</t>
  </si>
  <si>
    <t>Gerado Ferreira</t>
  </si>
  <si>
    <t>Vulpercino da Cunha</t>
  </si>
  <si>
    <t>Gentuliano Malta</t>
  </si>
  <si>
    <t>Irço da Silva</t>
  </si>
  <si>
    <t>Cirço Queiroz</t>
  </si>
  <si>
    <t>Aprovado</t>
  </si>
  <si>
    <t>Negado</t>
  </si>
  <si>
    <t>TOTAL</t>
  </si>
  <si>
    <t>OPERADORES:</t>
  </si>
  <si>
    <t>FILAS CONSOLIDADAS</t>
  </si>
  <si>
    <t>FILA FIXA</t>
  </si>
  <si>
    <t>FILA MOVEL</t>
  </si>
  <si>
    <t>FILA EXCEÇÃO</t>
  </si>
  <si>
    <t>Reprovadas</t>
  </si>
  <si>
    <t>ESTIMATIVA DE TEMPO E PA´s PARA ATENDIMENTO DAS DEMANDAS</t>
  </si>
  <si>
    <t>1º Contato</t>
  </si>
  <si>
    <t>2º Contato</t>
  </si>
  <si>
    <t>SLA por FILA: Deve pegar a quantidade de propostas por fila ainda não tratadas e fazer o cálculo ((propostas sem tratamento * tempo médio de tratamento) / quantidade de Pas que irão trabalhar)</t>
  </si>
  <si>
    <t>A quantidade de Pas disponíveis para trabalhar deve vir do cadastro de usuários do sistema que possuem perfil nas fila.</t>
  </si>
  <si>
    <t>SLA GERAL: Deve pegar a quantidade total de propostas ainda não tratadas e fazer o cálculo ((propostas sem tratamento * tempo médio de tratamento) / quantidade de Pas que irão trabalhar)</t>
  </si>
  <si>
    <t>Outros</t>
  </si>
  <si>
    <t>Inadimplente</t>
  </si>
  <si>
    <t>CPF Cancelado</t>
  </si>
  <si>
    <t>MOTIVOS REPROVAÇÕES QA DADOS</t>
  </si>
  <si>
    <t>Nome incorreto</t>
  </si>
  <si>
    <t>Endereço incorreto</t>
  </si>
  <si>
    <t>Dados incompletos</t>
  </si>
  <si>
    <t>Dta Nasc incorreta</t>
  </si>
  <si>
    <t>&gt;SLA</t>
  </si>
  <si>
    <t>D-1</t>
  </si>
  <si>
    <t>ONLINE</t>
  </si>
  <si>
    <t>Incluir os gráfico de série PARA TODOS os gráficos de barra.</t>
  </si>
  <si>
    <t>Filtrar: Por período início e fim (dia, mês, ano) e por fila (FIXA, MOVEL, TV, etc).</t>
  </si>
  <si>
    <t>Filtrar por tipo de dado (Aprovado, Reprovado, Derivado, etc.)</t>
  </si>
  <si>
    <t>Duplicidade</t>
  </si>
  <si>
    <t>Negada Crédito</t>
  </si>
  <si>
    <t>Negada Fraude</t>
  </si>
  <si>
    <t>Selecionar a periodicidade do eixo X</t>
  </si>
  <si>
    <t>&gt;2 Contato</t>
  </si>
  <si>
    <t>DASHBOARD OPERAÇÃO</t>
  </si>
  <si>
    <t>DATA:</t>
  </si>
  <si>
    <t>FILTRO DATA</t>
  </si>
  <si>
    <t>FILTRO TIPO DERIVAÇÃO</t>
  </si>
  <si>
    <t>TODAS</t>
  </si>
  <si>
    <t>CRÉDITO</t>
  </si>
  <si>
    <t>FRAUDE</t>
  </si>
  <si>
    <t>Qtde linhas</t>
  </si>
  <si>
    <t>Divergente RF</t>
  </si>
  <si>
    <t>Divergente CRM</t>
  </si>
  <si>
    <t>Responde inseguro</t>
  </si>
  <si>
    <t>Não solicitou</t>
  </si>
  <si>
    <t>Produto diferente</t>
  </si>
  <si>
    <t>Aging(Hora)</t>
  </si>
  <si>
    <t>Aging(Dia)</t>
  </si>
  <si>
    <t>TMO</t>
  </si>
  <si>
    <t>Ocioso</t>
  </si>
  <si>
    <t>Quartil</t>
  </si>
  <si>
    <t>1º</t>
  </si>
  <si>
    <t>2º</t>
  </si>
  <si>
    <t>3º</t>
  </si>
  <si>
    <t>4º</t>
  </si>
  <si>
    <t>Online</t>
  </si>
  <si>
    <t>GRAFICO DE SERIE PARA PROPOSTAS</t>
  </si>
  <si>
    <t>Fila</t>
  </si>
  <si>
    <t>MÓVEL</t>
  </si>
  <si>
    <t>FIXA</t>
  </si>
  <si>
    <t>Data</t>
  </si>
  <si>
    <t>RR02</t>
  </si>
  <si>
    <t>RR04</t>
  </si>
  <si>
    <t>Total Geral</t>
  </si>
  <si>
    <t>Propostas cadastradas</t>
  </si>
  <si>
    <t>% derivação  - Total cas</t>
  </si>
  <si>
    <t>Meta</t>
  </si>
  <si>
    <t>DERIVAÇÕES POR SCORE</t>
  </si>
  <si>
    <t>&lt;100</t>
  </si>
  <si>
    <t>&gt;100 &lt;300</t>
  </si>
  <si>
    <t>&gt;300 &lt;500</t>
  </si>
  <si>
    <t>&gt;500 &lt;800</t>
  </si>
  <si>
    <t>&gt;800 &lt;1000</t>
  </si>
  <si>
    <t>&gt;1000</t>
  </si>
  <si>
    <t>TOTAIS</t>
  </si>
  <si>
    <t>FILTRO:</t>
  </si>
  <si>
    <t>FILTRO DE TEMPO</t>
  </si>
  <si>
    <t>OFFLINE</t>
  </si>
  <si>
    <t>TODOS</t>
  </si>
  <si>
    <t>ORDENAÇÃO:</t>
  </si>
  <si>
    <t>ORDENAÇÃO</t>
  </si>
  <si>
    <t>Ascendente</t>
  </si>
  <si>
    <t>Descedente</t>
  </si>
  <si>
    <t>NOME</t>
  </si>
  <si>
    <t>PROPOSTA</t>
  </si>
  <si>
    <t>MOVEL</t>
  </si>
  <si>
    <t>EXCEÇÃO</t>
  </si>
  <si>
    <t>RECEPTIVO</t>
  </si>
  <si>
    <t>QUARTIL</t>
  </si>
  <si>
    <t>APROVADO</t>
  </si>
  <si>
    <t>NEGADO</t>
  </si>
  <si>
    <t>OSCIOSO</t>
  </si>
  <si>
    <t>FILA</t>
  </si>
  <si>
    <t>STATUS</t>
  </si>
  <si>
    <t>OBSERVAÇÃO: em todos gráficos deverá haver uma opção de EXIBIR ou INIBIR o dado selecionado. Por exemplo: no gráfico acima posso clicar na coluna "&gt;300 &lt;500" e EXIBIR ou OCULTAR do gráfico.</t>
  </si>
  <si>
    <t>FILTRO: Derivado por:</t>
  </si>
  <si>
    <t>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</si>
</sst>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dd/mm/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Simplon BP Light"/>
    </font>
    <font>
      <b/>
      <sz val="8"/>
      <color theme="1"/>
      <name val="Simplon BP Bold"/>
    </font>
    <font>
      <b/>
      <sz val="14"/>
      <name val="Simplon BP Medium"/>
    </font>
    <font>
      <sz val="8"/>
      <color rgb="FFE1F4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E1F4FF"/>
      <name val="Calibri"/>
      <family val="2"/>
      <scheme val="minor"/>
    </font>
    <font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Simplon BP Medium"/>
    </font>
    <font>
      <b/>
      <sz val="11"/>
      <color theme="0"/>
      <name val="Simplon BP Medium"/>
    </font>
    <font>
      <b/>
      <sz val="8"/>
      <name val="Calibri"/>
      <family val="2"/>
      <scheme val="minor"/>
    </font>
    <font>
      <sz val="8"/>
      <color indexed="81"/>
      <name val="Segoe UI"/>
      <family val="2"/>
    </font>
    <font>
      <b/>
      <sz val="8"/>
      <color indexed="81"/>
      <name val="Segoe UI"/>
      <family val="2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Segoe UI"/>
      <family val="2"/>
    </font>
    <font>
      <b/>
      <sz val="9"/>
      <color rgb="FFE1F4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/>
    <xf numFmtId="0" fontId="0" fillId="2" borderId="0" xfId="0" applyFill="1"/>
    <xf numFmtId="9" fontId="0" fillId="0" borderId="0" xfId="2" applyFont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1" applyNumberFormat="1" applyFont="1"/>
    <xf numFmtId="0" fontId="6" fillId="3" borderId="0" xfId="0" applyFont="1" applyFill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5" borderId="3" xfId="0" applyFill="1" applyBorder="1"/>
    <xf numFmtId="0" fontId="4" fillId="5" borderId="4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5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center" vertical="center"/>
    </xf>
    <xf numFmtId="21" fontId="3" fillId="5" borderId="0" xfId="0" applyNumberFormat="1" applyFont="1" applyFill="1" applyBorder="1" applyAlignment="1">
      <alignment horizontal="center" vertical="center"/>
    </xf>
    <xf numFmtId="0" fontId="3" fillId="5" borderId="6" xfId="0" applyFont="1" applyFill="1" applyBorder="1"/>
    <xf numFmtId="0" fontId="3" fillId="5" borderId="7" xfId="0" applyFont="1" applyFill="1" applyBorder="1" applyAlignment="1">
      <alignment horizontal="left"/>
    </xf>
    <xf numFmtId="0" fontId="3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21" fontId="3" fillId="5" borderId="7" xfId="0" applyNumberFormat="1" applyFont="1" applyFill="1" applyBorder="1" applyAlignment="1">
      <alignment horizontal="center" vertical="center"/>
    </xf>
    <xf numFmtId="9" fontId="3" fillId="5" borderId="0" xfId="0" applyNumberFormat="1" applyFont="1" applyFill="1" applyBorder="1" applyAlignment="1">
      <alignment horizontal="center" vertical="center"/>
    </xf>
    <xf numFmtId="9" fontId="3" fillId="5" borderId="7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left" vertical="center"/>
    </xf>
    <xf numFmtId="0" fontId="0" fillId="5" borderId="10" xfId="0" applyFill="1" applyBorder="1"/>
    <xf numFmtId="0" fontId="0" fillId="5" borderId="11" xfId="0" applyFill="1" applyBorder="1"/>
    <xf numFmtId="0" fontId="3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9" fontId="3" fillId="5" borderId="0" xfId="2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9" fontId="3" fillId="5" borderId="7" xfId="2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2" xfId="0" applyFont="1" applyFill="1" applyBorder="1"/>
    <xf numFmtId="0" fontId="9" fillId="5" borderId="3" xfId="0" applyFont="1" applyFill="1" applyBorder="1"/>
    <xf numFmtId="0" fontId="9" fillId="5" borderId="4" xfId="0" applyFont="1" applyFill="1" applyBorder="1"/>
    <xf numFmtId="0" fontId="9" fillId="5" borderId="0" xfId="0" applyFont="1" applyFill="1" applyBorder="1"/>
    <xf numFmtId="0" fontId="9" fillId="5" borderId="5" xfId="0" applyFont="1" applyFill="1" applyBorder="1"/>
    <xf numFmtId="0" fontId="9" fillId="5" borderId="6" xfId="0" applyFont="1" applyFill="1" applyBorder="1"/>
    <xf numFmtId="0" fontId="9" fillId="5" borderId="7" xfId="0" applyFont="1" applyFill="1" applyBorder="1"/>
    <xf numFmtId="0" fontId="9" fillId="5" borderId="8" xfId="0" applyFont="1" applyFill="1" applyBorder="1"/>
    <xf numFmtId="0" fontId="10" fillId="5" borderId="0" xfId="0" applyFont="1" applyFill="1" applyBorder="1"/>
    <xf numFmtId="9" fontId="3" fillId="5" borderId="0" xfId="0" applyNumberFormat="1" applyFont="1" applyFill="1" applyBorder="1" applyAlignment="1">
      <alignment horizontal="center"/>
    </xf>
    <xf numFmtId="9" fontId="3" fillId="5" borderId="5" xfId="0" applyNumberFormat="1" applyFont="1" applyFill="1" applyBorder="1" applyAlignment="1">
      <alignment horizontal="center"/>
    </xf>
    <xf numFmtId="0" fontId="3" fillId="5" borderId="0" xfId="1" applyNumberFormat="1" applyFont="1" applyFill="1" applyBorder="1" applyAlignment="1">
      <alignment horizontal="center" vertical="center"/>
    </xf>
    <xf numFmtId="0" fontId="3" fillId="5" borderId="5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11" fillId="3" borderId="0" xfId="0" applyFont="1" applyFill="1"/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wrapText="1"/>
    </xf>
    <xf numFmtId="0" fontId="12" fillId="3" borderId="0" xfId="0" applyFont="1" applyFill="1" applyAlignment="1"/>
    <xf numFmtId="14" fontId="0" fillId="0" borderId="0" xfId="0" applyNumberFormat="1"/>
    <xf numFmtId="165" fontId="15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2" xfId="0" applyFill="1" applyBorder="1"/>
    <xf numFmtId="0" fontId="11" fillId="3" borderId="2" xfId="0" applyFont="1" applyFill="1" applyBorder="1"/>
    <xf numFmtId="0" fontId="12" fillId="3" borderId="2" xfId="0" applyFont="1" applyFill="1" applyBorder="1" applyAlignment="1">
      <alignment wrapText="1"/>
    </xf>
    <xf numFmtId="0" fontId="12" fillId="3" borderId="2" xfId="0" applyFont="1" applyFill="1" applyBorder="1" applyAlignment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3" fillId="3" borderId="2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64" fontId="0" fillId="0" borderId="0" xfId="0" applyNumberFormat="1"/>
    <xf numFmtId="21" fontId="19" fillId="5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20" fillId="0" borderId="0" xfId="0" applyFont="1" applyAlignment="1">
      <alignment horizontal="right" vertical="center" wrapText="1"/>
    </xf>
    <xf numFmtId="10" fontId="0" fillId="0" borderId="0" xfId="2" applyNumberFormat="1" applyFont="1"/>
    <xf numFmtId="10" fontId="0" fillId="0" borderId="0" xfId="0" applyNumberFormat="1"/>
    <xf numFmtId="0" fontId="0" fillId="0" borderId="12" xfId="0" applyNumberFormat="1" applyBorder="1"/>
    <xf numFmtId="0" fontId="21" fillId="0" borderId="0" xfId="0" applyFont="1" applyAlignment="1">
      <alignment horizontal="right" vertical="center"/>
    </xf>
    <xf numFmtId="0" fontId="0" fillId="0" borderId="0" xfId="0" applyNumberFormat="1"/>
    <xf numFmtId="14" fontId="21" fillId="0" borderId="0" xfId="0" applyNumberFormat="1" applyFont="1" applyAlignment="1">
      <alignment vertical="center"/>
    </xf>
    <xf numFmtId="0" fontId="20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/>
    </xf>
    <xf numFmtId="14" fontId="0" fillId="0" borderId="12" xfId="0" applyNumberFormat="1" applyBorder="1"/>
    <xf numFmtId="0" fontId="23" fillId="5" borderId="10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left"/>
    </xf>
    <xf numFmtId="21" fontId="19" fillId="5" borderId="10" xfId="0" applyNumberFormat="1" applyFont="1" applyFill="1" applyBorder="1" applyAlignment="1">
      <alignment horizontal="left" vertical="center"/>
    </xf>
    <xf numFmtId="0" fontId="19" fillId="5" borderId="10" xfId="0" applyFont="1" applyFill="1" applyBorder="1" applyAlignment="1">
      <alignment horizontal="left" vertical="center"/>
    </xf>
    <xf numFmtId="0" fontId="13" fillId="3" borderId="0" xfId="0" applyFont="1" applyFill="1"/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E1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Propostas</a:t>
            </a:r>
          </a:p>
        </c:rich>
      </c:tx>
      <c:layout>
        <c:manualLayout>
          <c:xMode val="edge"/>
          <c:yMode val="edge"/>
          <c:x val="0.39951234499625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538080363277616E-2"/>
          <c:y val="0.12078703703703704"/>
          <c:w val="0.96544227286431861"/>
          <c:h val="0.75479111986001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aux!$G$2</c:f>
              <c:strCache>
                <c:ptCount val="1"/>
                <c:pt idx="0">
                  <c:v>Aprovadas Auto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aux!$G$3</c:f>
              <c:numCache>
                <c:formatCode>_-* #,##0_-;\-* #,##0_-;_-* "-"??_-;_-@_-</c:formatCode>
                <c:ptCount val="1"/>
                <c:pt idx="0">
                  <c:v>33000</c:v>
                </c:pt>
              </c:numCache>
            </c:numRef>
          </c:val>
        </c:ser>
        <c:ser>
          <c:idx val="3"/>
          <c:order val="1"/>
          <c:tx>
            <c:strRef>
              <c:f>aux!$H$2</c:f>
              <c:strCache>
                <c:ptCount val="1"/>
                <c:pt idx="0">
                  <c:v>Duplicidade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aux!$H$3</c:f>
              <c:numCache>
                <c:formatCode>_-* #,##0_-;\-* #,##0_-;_-* "-"??_-;_-@_-</c:formatCode>
                <c:ptCount val="1"/>
                <c:pt idx="0">
                  <c:v>16000</c:v>
                </c:pt>
              </c:numCache>
            </c:numRef>
          </c:val>
        </c:ser>
        <c:ser>
          <c:idx val="1"/>
          <c:order val="2"/>
          <c:tx>
            <c:strRef>
              <c:f>aux!$I$2</c:f>
              <c:strCache>
                <c:ptCount val="1"/>
                <c:pt idx="0">
                  <c:v>Negada Crédito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aux!$I$3</c:f>
              <c:numCache>
                <c:formatCode>_-* #,##0_-;\-* #,##0_-;_-* "-"??_-;_-@_-</c:formatCode>
                <c:ptCount val="1"/>
                <c:pt idx="0">
                  <c:v>10000</c:v>
                </c:pt>
              </c:numCache>
            </c:numRef>
          </c:val>
        </c:ser>
        <c:ser>
          <c:idx val="4"/>
          <c:order val="3"/>
          <c:tx>
            <c:strRef>
              <c:f>aux!$J$2</c:f>
              <c:strCache>
                <c:ptCount val="1"/>
                <c:pt idx="0">
                  <c:v>Negada Fraude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aux!$J$3</c:f>
              <c:numCache>
                <c:formatCode>_-* #,##0_-;\-* #,##0_-;_-* "-"??_-;_-@_-</c:formatCode>
                <c:ptCount val="1"/>
                <c:pt idx="0">
                  <c:v>6000</c:v>
                </c:pt>
              </c:numCache>
            </c:numRef>
          </c:val>
        </c:ser>
        <c:ser>
          <c:idx val="2"/>
          <c:order val="4"/>
          <c:tx>
            <c:strRef>
              <c:f>aux!$K$2</c:f>
              <c:strCache>
                <c:ptCount val="1"/>
                <c:pt idx="0">
                  <c:v>Derivadas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aux!$K$3</c:f>
              <c:numCache>
                <c:formatCode>_-* #,##0_-;\-* #,##0_-;_-* "-"??_-;_-@_-</c:formatCode>
                <c:ptCount val="1"/>
                <c:pt idx="0">
                  <c:v>3000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30"/>
        <c:axId val="241079488"/>
        <c:axId val="241079880"/>
      </c:barChart>
      <c:catAx>
        <c:axId val="241079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1079880"/>
        <c:crosses val="autoZero"/>
        <c:auto val="1"/>
        <c:lblAlgn val="ctr"/>
        <c:lblOffset val="100"/>
        <c:noMultiLvlLbl val="0"/>
      </c:catAx>
      <c:valAx>
        <c:axId val="241079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410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42075833812828"/>
          <c:w val="0.99883062085593732"/>
          <c:h val="0.1095790144875958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Negadas - Qualidade</a:t>
            </a:r>
            <a:r>
              <a:rPr lang="pt-BR" sz="1400" baseline="0"/>
              <a:t> de dados</a:t>
            </a:r>
            <a:endParaRPr lang="pt-BR" sz="1400"/>
          </a:p>
        </c:rich>
      </c:tx>
      <c:layout>
        <c:manualLayout>
          <c:xMode val="edge"/>
          <c:yMode val="edge"/>
          <c:x val="0.16406912772267104"/>
          <c:y val="3.42108321710832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538080363277616E-2"/>
          <c:y val="0.16909658031876448"/>
          <c:w val="0.96544227286431861"/>
          <c:h val="0.70648179847084325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aux!$J$12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aux!$J$13</c:f>
              <c:numCache>
                <c:formatCode>0%</c:formatCode>
                <c:ptCount val="1"/>
                <c:pt idx="0">
                  <c:v>0.13</c:v>
                </c:pt>
              </c:numCache>
            </c:numRef>
          </c:val>
        </c:ser>
        <c:ser>
          <c:idx val="2"/>
          <c:order val="1"/>
          <c:tx>
            <c:strRef>
              <c:f>aux!$I$12</c:f>
              <c:strCache>
                <c:ptCount val="1"/>
                <c:pt idx="0">
                  <c:v>Dados incompletos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aux!$I$13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</c:ser>
        <c:ser>
          <c:idx val="1"/>
          <c:order val="2"/>
          <c:tx>
            <c:strRef>
              <c:f>aux!$H$12</c:f>
              <c:strCache>
                <c:ptCount val="1"/>
                <c:pt idx="0">
                  <c:v>Endereço incorreto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aux!$H$13</c:f>
              <c:numCache>
                <c:formatCode>0%</c:formatCode>
                <c:ptCount val="1"/>
                <c:pt idx="0">
                  <c:v>0.21</c:v>
                </c:pt>
              </c:numCache>
            </c:numRef>
          </c:val>
        </c:ser>
        <c:ser>
          <c:idx val="0"/>
          <c:order val="3"/>
          <c:tx>
            <c:strRef>
              <c:f>aux!$G$12</c:f>
              <c:strCache>
                <c:ptCount val="1"/>
                <c:pt idx="0">
                  <c:v>Dta Nasc incorreta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aux!$G$13</c:f>
              <c:numCache>
                <c:formatCode>0%</c:formatCode>
                <c:ptCount val="1"/>
                <c:pt idx="0">
                  <c:v>0.26</c:v>
                </c:pt>
              </c:numCache>
            </c:numRef>
          </c:val>
        </c:ser>
        <c:ser>
          <c:idx val="4"/>
          <c:order val="4"/>
          <c:tx>
            <c:strRef>
              <c:f>aux!$F$12</c:f>
              <c:strCache>
                <c:ptCount val="1"/>
                <c:pt idx="0">
                  <c:v>Nome incorreto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aux!$F$13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5"/>
        <c:axId val="243139808"/>
        <c:axId val="243140200"/>
      </c:barChart>
      <c:catAx>
        <c:axId val="243139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3140200"/>
        <c:crosses val="autoZero"/>
        <c:auto val="1"/>
        <c:lblAlgn val="ctr"/>
        <c:lblOffset val="100"/>
        <c:noMultiLvlLbl val="0"/>
      </c:catAx>
      <c:valAx>
        <c:axId val="2431402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31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648150799331905"/>
          <c:w val="1"/>
          <c:h val="0.1035185819163908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Negadas - Crédito</a:t>
            </a:r>
          </a:p>
        </c:rich>
      </c:tx>
      <c:layout>
        <c:manualLayout>
          <c:xMode val="edge"/>
          <c:yMode val="edge"/>
          <c:x val="0.32355284307815951"/>
          <c:y val="3.42120278443455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538080363277616E-2"/>
          <c:y val="0.16909658031876448"/>
          <c:w val="0.96544227286431861"/>
          <c:h val="0.706481798470843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aux!$J$22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aux!$J$23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aux!$I$22</c:f>
              <c:strCache>
                <c:ptCount val="1"/>
                <c:pt idx="0">
                  <c:v>CPF Cancelado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aux!$I$23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</c:ser>
        <c:ser>
          <c:idx val="2"/>
          <c:order val="2"/>
          <c:tx>
            <c:strRef>
              <c:f>aux!$H$22</c:f>
              <c:strCache>
                <c:ptCount val="1"/>
                <c:pt idx="0">
                  <c:v>Divergente CRM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aux!$H$23</c:f>
              <c:numCache>
                <c:formatCode>0%</c:formatCode>
                <c:ptCount val="1"/>
                <c:pt idx="0">
                  <c:v>0.18</c:v>
                </c:pt>
              </c:numCache>
            </c:numRef>
          </c:val>
        </c:ser>
        <c:ser>
          <c:idx val="3"/>
          <c:order val="3"/>
          <c:tx>
            <c:strRef>
              <c:f>aux!$G$22</c:f>
              <c:strCache>
                <c:ptCount val="1"/>
                <c:pt idx="0">
                  <c:v>Divergente RF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aux!$G$23</c:f>
              <c:numCache>
                <c:formatCode>0%</c:formatCode>
                <c:ptCount val="1"/>
                <c:pt idx="0">
                  <c:v>0.19</c:v>
                </c:pt>
              </c:numCache>
            </c:numRef>
          </c:val>
        </c:ser>
        <c:ser>
          <c:idx val="4"/>
          <c:order val="4"/>
          <c:tx>
            <c:strRef>
              <c:f>aux!$F$22</c:f>
              <c:strCache>
                <c:ptCount val="1"/>
                <c:pt idx="0">
                  <c:v>Inadimplente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aux!$F$23</c:f>
              <c:numCache>
                <c:formatCode>0%</c:formatCode>
                <c:ptCount val="1"/>
                <c:pt idx="0">
                  <c:v>0.39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5"/>
        <c:axId val="243140984"/>
        <c:axId val="243141376"/>
      </c:barChart>
      <c:catAx>
        <c:axId val="243140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3141376"/>
        <c:crosses val="autoZero"/>
        <c:auto val="1"/>
        <c:lblAlgn val="ctr"/>
        <c:lblOffset val="100"/>
        <c:noMultiLvlLbl val="0"/>
      </c:catAx>
      <c:valAx>
        <c:axId val="2431413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314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648150799331905"/>
          <c:w val="0.99887984729756885"/>
          <c:h val="0.1035187122268712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Negadas - Fraude</a:t>
            </a:r>
          </a:p>
        </c:rich>
      </c:tx>
      <c:layout>
        <c:manualLayout>
          <c:xMode val="edge"/>
          <c:yMode val="edge"/>
          <c:x val="0.35225989551938919"/>
          <c:y val="3.42120278443455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538080363277616E-2"/>
          <c:y val="0.14011107307238768"/>
          <c:w val="0.96544227286431861"/>
          <c:h val="0.735467305717220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aux!$J$18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aux!$J$19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aux!$I$18</c:f>
              <c:strCache>
                <c:ptCount val="1"/>
                <c:pt idx="0">
                  <c:v>Qtde linhas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aux!$I$19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aux!$H$18</c:f>
              <c:strCache>
                <c:ptCount val="1"/>
                <c:pt idx="0">
                  <c:v>Produto diferente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aux!$H$19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</c:ser>
        <c:ser>
          <c:idx val="3"/>
          <c:order val="3"/>
          <c:tx>
            <c:strRef>
              <c:f>aux!$G$18</c:f>
              <c:strCache>
                <c:ptCount val="1"/>
                <c:pt idx="0">
                  <c:v>Não solicitou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aux!$G$19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</c:ser>
        <c:ser>
          <c:idx val="4"/>
          <c:order val="4"/>
          <c:tx>
            <c:strRef>
              <c:f>aux!$F$18</c:f>
              <c:strCache>
                <c:ptCount val="1"/>
                <c:pt idx="0">
                  <c:v>Responde inseguro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aux!$F$19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5"/>
        <c:axId val="243730104"/>
        <c:axId val="243730496"/>
      </c:barChart>
      <c:catAx>
        <c:axId val="243730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3730496"/>
        <c:crosses val="autoZero"/>
        <c:auto val="1"/>
        <c:lblAlgn val="ctr"/>
        <c:lblOffset val="100"/>
        <c:noMultiLvlLbl val="0"/>
      </c:catAx>
      <c:valAx>
        <c:axId val="2437304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373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21645021645025E-2"/>
          <c:y val="0.89648150799331905"/>
          <c:w val="0.8999998770645472"/>
          <c:h val="0.1035187122268712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Série Propostas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3617112670481794E-2"/>
          <c:y val="0.13467592592592595"/>
          <c:w val="0.90605486848048278"/>
          <c:h val="0.640508530183727"/>
        </c:manualLayout>
      </c:layout>
      <c:lineChart>
        <c:grouping val="standard"/>
        <c:varyColors val="0"/>
        <c:ser>
          <c:idx val="0"/>
          <c:order val="0"/>
          <c:tx>
            <c:strRef>
              <c:f>aux!$F$48</c:f>
              <c:strCache>
                <c:ptCount val="1"/>
                <c:pt idx="0">
                  <c:v>Total propostas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aux!$F$49:$F$73</c:f>
              <c:numCache>
                <c:formatCode>_-* #,##0_-;\-* #,##0_-;_-* "-"??_-;_-@_-</c:formatCode>
                <c:ptCount val="25"/>
                <c:pt idx="0">
                  <c:v>68000</c:v>
                </c:pt>
                <c:pt idx="1">
                  <c:v>69123</c:v>
                </c:pt>
                <c:pt idx="2" formatCode="General">
                  <c:v>64000</c:v>
                </c:pt>
                <c:pt idx="3" formatCode="General">
                  <c:v>22000</c:v>
                </c:pt>
                <c:pt idx="4" formatCode="General">
                  <c:v>59000</c:v>
                </c:pt>
                <c:pt idx="5" formatCode="General">
                  <c:v>61000</c:v>
                </c:pt>
                <c:pt idx="6" formatCode="General">
                  <c:v>63000</c:v>
                </c:pt>
                <c:pt idx="7" formatCode="General">
                  <c:v>65000</c:v>
                </c:pt>
                <c:pt idx="8" formatCode="General">
                  <c:v>67000</c:v>
                </c:pt>
                <c:pt idx="9" formatCode="General">
                  <c:v>63000</c:v>
                </c:pt>
                <c:pt idx="10" formatCode="General">
                  <c:v>21000</c:v>
                </c:pt>
                <c:pt idx="11" formatCode="General">
                  <c:v>59000</c:v>
                </c:pt>
                <c:pt idx="12" formatCode="General">
                  <c:v>61000</c:v>
                </c:pt>
                <c:pt idx="13" formatCode="General">
                  <c:v>63000</c:v>
                </c:pt>
                <c:pt idx="14" formatCode="General">
                  <c:v>65000</c:v>
                </c:pt>
                <c:pt idx="15" formatCode="General">
                  <c:v>67000</c:v>
                </c:pt>
                <c:pt idx="16" formatCode="General">
                  <c:v>63000</c:v>
                </c:pt>
                <c:pt idx="17" formatCode="General">
                  <c:v>21000</c:v>
                </c:pt>
                <c:pt idx="18" formatCode="General">
                  <c:v>59000</c:v>
                </c:pt>
                <c:pt idx="19" formatCode="General">
                  <c:v>61000</c:v>
                </c:pt>
                <c:pt idx="20" formatCode="General">
                  <c:v>63000</c:v>
                </c:pt>
                <c:pt idx="21" formatCode="General">
                  <c:v>65000</c:v>
                </c:pt>
                <c:pt idx="22" formatCode="General">
                  <c:v>67000</c:v>
                </c:pt>
                <c:pt idx="23" formatCode="General">
                  <c:v>63000</c:v>
                </c:pt>
                <c:pt idx="24" formatCode="General">
                  <c:v>21000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aux!$G$48</c:f>
              <c:strCache>
                <c:ptCount val="1"/>
                <c:pt idx="0">
                  <c:v>Aprovadas Auto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aux!$G$49:$G$73</c:f>
              <c:numCache>
                <c:formatCode>_-* #,##0_-;\-* #,##0_-;_-* "-"??_-;_-@_-</c:formatCode>
                <c:ptCount val="25"/>
                <c:pt idx="0">
                  <c:v>33000</c:v>
                </c:pt>
                <c:pt idx="1">
                  <c:v>33870</c:v>
                </c:pt>
                <c:pt idx="2">
                  <c:v>30080</c:v>
                </c:pt>
                <c:pt idx="3">
                  <c:v>9900</c:v>
                </c:pt>
                <c:pt idx="4">
                  <c:v>25960</c:v>
                </c:pt>
                <c:pt idx="5">
                  <c:v>28060</c:v>
                </c:pt>
                <c:pt idx="6">
                  <c:v>29610</c:v>
                </c:pt>
                <c:pt idx="7">
                  <c:v>31200</c:v>
                </c:pt>
                <c:pt idx="8">
                  <c:v>33500</c:v>
                </c:pt>
                <c:pt idx="9">
                  <c:v>32130</c:v>
                </c:pt>
                <c:pt idx="10">
                  <c:v>10920</c:v>
                </c:pt>
                <c:pt idx="11">
                  <c:v>29500</c:v>
                </c:pt>
                <c:pt idx="12">
                  <c:v>29280</c:v>
                </c:pt>
                <c:pt idx="13">
                  <c:v>29610</c:v>
                </c:pt>
                <c:pt idx="14">
                  <c:v>30550</c:v>
                </c:pt>
                <c:pt idx="15">
                  <c:v>32160</c:v>
                </c:pt>
                <c:pt idx="16">
                  <c:v>30870</c:v>
                </c:pt>
                <c:pt idx="17">
                  <c:v>11130</c:v>
                </c:pt>
                <c:pt idx="18">
                  <c:v>30680</c:v>
                </c:pt>
                <c:pt idx="19">
                  <c:v>32330</c:v>
                </c:pt>
                <c:pt idx="20">
                  <c:v>34020</c:v>
                </c:pt>
                <c:pt idx="21">
                  <c:v>34450</c:v>
                </c:pt>
                <c:pt idx="22">
                  <c:v>35510</c:v>
                </c:pt>
                <c:pt idx="23">
                  <c:v>32130</c:v>
                </c:pt>
                <c:pt idx="24">
                  <c:v>10290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aux!$H$48</c:f>
              <c:strCache>
                <c:ptCount val="1"/>
                <c:pt idx="0">
                  <c:v>Duplicidade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aux!$H$49:$H$73</c:f>
              <c:numCache>
                <c:formatCode>_-* #,##0_-;\-* #,##0_-;_-* "-"??_-;_-@_-</c:formatCode>
                <c:ptCount val="25"/>
                <c:pt idx="0">
                  <c:v>16000</c:v>
                </c:pt>
                <c:pt idx="1">
                  <c:v>16590</c:v>
                </c:pt>
                <c:pt idx="2">
                  <c:v>15360</c:v>
                </c:pt>
                <c:pt idx="3">
                  <c:v>5280</c:v>
                </c:pt>
                <c:pt idx="4">
                  <c:v>14160</c:v>
                </c:pt>
                <c:pt idx="5">
                  <c:v>14640</c:v>
                </c:pt>
                <c:pt idx="6">
                  <c:v>15120</c:v>
                </c:pt>
                <c:pt idx="7">
                  <c:v>15600</c:v>
                </c:pt>
                <c:pt idx="8">
                  <c:v>16080</c:v>
                </c:pt>
                <c:pt idx="9">
                  <c:v>15120</c:v>
                </c:pt>
                <c:pt idx="10">
                  <c:v>5040</c:v>
                </c:pt>
                <c:pt idx="11">
                  <c:v>14160</c:v>
                </c:pt>
                <c:pt idx="12">
                  <c:v>14640</c:v>
                </c:pt>
                <c:pt idx="13">
                  <c:v>15120</c:v>
                </c:pt>
                <c:pt idx="14">
                  <c:v>15600</c:v>
                </c:pt>
                <c:pt idx="15">
                  <c:v>16080</c:v>
                </c:pt>
                <c:pt idx="16">
                  <c:v>15120</c:v>
                </c:pt>
                <c:pt idx="17">
                  <c:v>5040</c:v>
                </c:pt>
                <c:pt idx="18">
                  <c:v>14160</c:v>
                </c:pt>
                <c:pt idx="19">
                  <c:v>14640</c:v>
                </c:pt>
                <c:pt idx="20">
                  <c:v>15120</c:v>
                </c:pt>
                <c:pt idx="21">
                  <c:v>15600</c:v>
                </c:pt>
                <c:pt idx="22">
                  <c:v>16080</c:v>
                </c:pt>
                <c:pt idx="23">
                  <c:v>15120</c:v>
                </c:pt>
                <c:pt idx="24">
                  <c:v>5040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aux!$I$48</c:f>
              <c:strCache>
                <c:ptCount val="1"/>
                <c:pt idx="0">
                  <c:v>Negada Crédito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aux!$I$49:$I$73</c:f>
              <c:numCache>
                <c:formatCode>_-* #,##0_-;\-* #,##0_-;_-* "-"??_-;_-@_-</c:formatCode>
                <c:ptCount val="25"/>
                <c:pt idx="0">
                  <c:v>10000</c:v>
                </c:pt>
                <c:pt idx="1">
                  <c:v>10368</c:v>
                </c:pt>
                <c:pt idx="2">
                  <c:v>9600</c:v>
                </c:pt>
                <c:pt idx="3">
                  <c:v>3300</c:v>
                </c:pt>
                <c:pt idx="4">
                  <c:v>8850</c:v>
                </c:pt>
                <c:pt idx="5">
                  <c:v>9150</c:v>
                </c:pt>
                <c:pt idx="6">
                  <c:v>9450</c:v>
                </c:pt>
                <c:pt idx="7">
                  <c:v>9750</c:v>
                </c:pt>
                <c:pt idx="8">
                  <c:v>10050</c:v>
                </c:pt>
                <c:pt idx="9">
                  <c:v>9450</c:v>
                </c:pt>
                <c:pt idx="10">
                  <c:v>3150</c:v>
                </c:pt>
                <c:pt idx="11">
                  <c:v>8850</c:v>
                </c:pt>
                <c:pt idx="12">
                  <c:v>9150</c:v>
                </c:pt>
                <c:pt idx="13">
                  <c:v>9450</c:v>
                </c:pt>
                <c:pt idx="14">
                  <c:v>9750</c:v>
                </c:pt>
                <c:pt idx="15">
                  <c:v>10050</c:v>
                </c:pt>
                <c:pt idx="16">
                  <c:v>9450</c:v>
                </c:pt>
                <c:pt idx="17">
                  <c:v>3150</c:v>
                </c:pt>
                <c:pt idx="18">
                  <c:v>8850</c:v>
                </c:pt>
                <c:pt idx="19">
                  <c:v>9150</c:v>
                </c:pt>
                <c:pt idx="20">
                  <c:v>9450</c:v>
                </c:pt>
                <c:pt idx="21">
                  <c:v>9750</c:v>
                </c:pt>
                <c:pt idx="22">
                  <c:v>10050</c:v>
                </c:pt>
                <c:pt idx="23">
                  <c:v>9450</c:v>
                </c:pt>
                <c:pt idx="24">
                  <c:v>3150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aux!$J$48</c:f>
              <c:strCache>
                <c:ptCount val="1"/>
                <c:pt idx="0">
                  <c:v>Negada Fraude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aux!$J$49:$J$73</c:f>
              <c:numCache>
                <c:formatCode>_-* #,##0_-;\-* #,##0_-;_-* "-"??_-;_-@_-</c:formatCode>
                <c:ptCount val="25"/>
                <c:pt idx="0">
                  <c:v>6000</c:v>
                </c:pt>
                <c:pt idx="1">
                  <c:v>5530</c:v>
                </c:pt>
                <c:pt idx="2">
                  <c:v>5760</c:v>
                </c:pt>
                <c:pt idx="3">
                  <c:v>1980</c:v>
                </c:pt>
                <c:pt idx="4">
                  <c:v>5310</c:v>
                </c:pt>
                <c:pt idx="5">
                  <c:v>5490</c:v>
                </c:pt>
                <c:pt idx="6">
                  <c:v>5670</c:v>
                </c:pt>
                <c:pt idx="7">
                  <c:v>5850</c:v>
                </c:pt>
                <c:pt idx="8">
                  <c:v>6030</c:v>
                </c:pt>
                <c:pt idx="9">
                  <c:v>5670</c:v>
                </c:pt>
                <c:pt idx="10">
                  <c:v>1890</c:v>
                </c:pt>
                <c:pt idx="11">
                  <c:v>5310</c:v>
                </c:pt>
                <c:pt idx="12">
                  <c:v>5490</c:v>
                </c:pt>
                <c:pt idx="13">
                  <c:v>5670</c:v>
                </c:pt>
                <c:pt idx="14">
                  <c:v>5850</c:v>
                </c:pt>
                <c:pt idx="15">
                  <c:v>6030</c:v>
                </c:pt>
                <c:pt idx="16">
                  <c:v>5670</c:v>
                </c:pt>
                <c:pt idx="17">
                  <c:v>1890</c:v>
                </c:pt>
                <c:pt idx="18">
                  <c:v>5310</c:v>
                </c:pt>
                <c:pt idx="19">
                  <c:v>5490</c:v>
                </c:pt>
                <c:pt idx="20">
                  <c:v>5670</c:v>
                </c:pt>
                <c:pt idx="21">
                  <c:v>5850</c:v>
                </c:pt>
                <c:pt idx="22">
                  <c:v>6030</c:v>
                </c:pt>
                <c:pt idx="23">
                  <c:v>5670</c:v>
                </c:pt>
                <c:pt idx="24">
                  <c:v>1890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aux!$K$48</c:f>
              <c:strCache>
                <c:ptCount val="1"/>
                <c:pt idx="0">
                  <c:v>Derivadas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aux!$K$49:$K$73</c:f>
              <c:numCache>
                <c:formatCode>_-* #,##0_-;\-* #,##0_-;_-* "-"??_-;_-@_-</c:formatCode>
                <c:ptCount val="25"/>
                <c:pt idx="0">
                  <c:v>3000</c:v>
                </c:pt>
                <c:pt idx="1">
                  <c:v>2765</c:v>
                </c:pt>
                <c:pt idx="2">
                  <c:v>2560</c:v>
                </c:pt>
                <c:pt idx="3">
                  <c:v>880</c:v>
                </c:pt>
                <c:pt idx="4">
                  <c:v>2360</c:v>
                </c:pt>
                <c:pt idx="5">
                  <c:v>2440</c:v>
                </c:pt>
                <c:pt idx="6">
                  <c:v>2520</c:v>
                </c:pt>
                <c:pt idx="7">
                  <c:v>2600</c:v>
                </c:pt>
                <c:pt idx="8">
                  <c:v>2680</c:v>
                </c:pt>
                <c:pt idx="9">
                  <c:v>2520</c:v>
                </c:pt>
                <c:pt idx="10">
                  <c:v>840</c:v>
                </c:pt>
                <c:pt idx="11">
                  <c:v>2360</c:v>
                </c:pt>
                <c:pt idx="12">
                  <c:v>2440</c:v>
                </c:pt>
                <c:pt idx="13">
                  <c:v>2520</c:v>
                </c:pt>
                <c:pt idx="14">
                  <c:v>2600</c:v>
                </c:pt>
                <c:pt idx="15">
                  <c:v>2680</c:v>
                </c:pt>
                <c:pt idx="16">
                  <c:v>2520</c:v>
                </c:pt>
                <c:pt idx="17">
                  <c:v>840</c:v>
                </c:pt>
                <c:pt idx="18">
                  <c:v>2360</c:v>
                </c:pt>
                <c:pt idx="19">
                  <c:v>2440</c:v>
                </c:pt>
                <c:pt idx="20">
                  <c:v>2520</c:v>
                </c:pt>
                <c:pt idx="21">
                  <c:v>2600</c:v>
                </c:pt>
                <c:pt idx="22">
                  <c:v>2680</c:v>
                </c:pt>
                <c:pt idx="23">
                  <c:v>2520</c:v>
                </c:pt>
                <c:pt idx="24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31280"/>
        <c:axId val="243731672"/>
      </c:lineChart>
      <c:dateAx>
        <c:axId val="24373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731672"/>
        <c:crosses val="autoZero"/>
        <c:auto val="1"/>
        <c:lblOffset val="100"/>
        <c:baseTimeUnit val="days"/>
      </c:dateAx>
      <c:valAx>
        <c:axId val="2437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7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77095488431218E-3"/>
          <c:y val="0.94983960338291051"/>
          <c:w val="0.99722287839020118"/>
          <c:h val="4.5530766987459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Série Derivações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3617112670481794E-2"/>
          <c:y val="0.13467592592592595"/>
          <c:w val="0.90605486848048278"/>
          <c:h val="0.640508530183727"/>
        </c:manualLayout>
      </c:layout>
      <c:lineChart>
        <c:grouping val="standard"/>
        <c:varyColors val="0"/>
        <c:ser>
          <c:idx val="0"/>
          <c:order val="0"/>
          <c:tx>
            <c:strRef>
              <c:f>aux!$F$48</c:f>
              <c:strCache>
                <c:ptCount val="1"/>
                <c:pt idx="0">
                  <c:v>Total propostas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aux!$F$49:$F$73</c:f>
              <c:numCache>
                <c:formatCode>_-* #,##0_-;\-* #,##0_-;_-* "-"??_-;_-@_-</c:formatCode>
                <c:ptCount val="25"/>
                <c:pt idx="0">
                  <c:v>68000</c:v>
                </c:pt>
                <c:pt idx="1">
                  <c:v>69123</c:v>
                </c:pt>
                <c:pt idx="2" formatCode="General">
                  <c:v>64000</c:v>
                </c:pt>
                <c:pt idx="3" formatCode="General">
                  <c:v>22000</c:v>
                </c:pt>
                <c:pt idx="4" formatCode="General">
                  <c:v>59000</c:v>
                </c:pt>
                <c:pt idx="5" formatCode="General">
                  <c:v>61000</c:v>
                </c:pt>
                <c:pt idx="6" formatCode="General">
                  <c:v>63000</c:v>
                </c:pt>
                <c:pt idx="7" formatCode="General">
                  <c:v>65000</c:v>
                </c:pt>
                <c:pt idx="8" formatCode="General">
                  <c:v>67000</c:v>
                </c:pt>
                <c:pt idx="9" formatCode="General">
                  <c:v>63000</c:v>
                </c:pt>
                <c:pt idx="10" formatCode="General">
                  <c:v>21000</c:v>
                </c:pt>
                <c:pt idx="11" formatCode="General">
                  <c:v>59000</c:v>
                </c:pt>
                <c:pt idx="12" formatCode="General">
                  <c:v>61000</c:v>
                </c:pt>
                <c:pt idx="13" formatCode="General">
                  <c:v>63000</c:v>
                </c:pt>
                <c:pt idx="14" formatCode="General">
                  <c:v>65000</c:v>
                </c:pt>
                <c:pt idx="15" formatCode="General">
                  <c:v>67000</c:v>
                </c:pt>
                <c:pt idx="16" formatCode="General">
                  <c:v>63000</c:v>
                </c:pt>
                <c:pt idx="17" formatCode="General">
                  <c:v>21000</c:v>
                </c:pt>
                <c:pt idx="18" formatCode="General">
                  <c:v>59000</c:v>
                </c:pt>
                <c:pt idx="19" formatCode="General">
                  <c:v>61000</c:v>
                </c:pt>
                <c:pt idx="20" formatCode="General">
                  <c:v>63000</c:v>
                </c:pt>
                <c:pt idx="21" formatCode="General">
                  <c:v>65000</c:v>
                </c:pt>
                <c:pt idx="22" formatCode="General">
                  <c:v>67000</c:v>
                </c:pt>
                <c:pt idx="23" formatCode="General">
                  <c:v>63000</c:v>
                </c:pt>
                <c:pt idx="24" formatCode="General">
                  <c:v>21000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aux!$G$48</c:f>
              <c:strCache>
                <c:ptCount val="1"/>
                <c:pt idx="0">
                  <c:v>Aprovadas Auto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aux!$G$49:$G$73</c:f>
              <c:numCache>
                <c:formatCode>_-* #,##0_-;\-* #,##0_-;_-* "-"??_-;_-@_-</c:formatCode>
                <c:ptCount val="25"/>
                <c:pt idx="0">
                  <c:v>33000</c:v>
                </c:pt>
                <c:pt idx="1">
                  <c:v>33870</c:v>
                </c:pt>
                <c:pt idx="2">
                  <c:v>30080</c:v>
                </c:pt>
                <c:pt idx="3">
                  <c:v>9900</c:v>
                </c:pt>
                <c:pt idx="4">
                  <c:v>25960</c:v>
                </c:pt>
                <c:pt idx="5">
                  <c:v>28060</c:v>
                </c:pt>
                <c:pt idx="6">
                  <c:v>29610</c:v>
                </c:pt>
                <c:pt idx="7">
                  <c:v>31200</c:v>
                </c:pt>
                <c:pt idx="8">
                  <c:v>33500</c:v>
                </c:pt>
                <c:pt idx="9">
                  <c:v>32130</c:v>
                </c:pt>
                <c:pt idx="10">
                  <c:v>10920</c:v>
                </c:pt>
                <c:pt idx="11">
                  <c:v>29500</c:v>
                </c:pt>
                <c:pt idx="12">
                  <c:v>29280</c:v>
                </c:pt>
                <c:pt idx="13">
                  <c:v>29610</c:v>
                </c:pt>
                <c:pt idx="14">
                  <c:v>30550</c:v>
                </c:pt>
                <c:pt idx="15">
                  <c:v>32160</c:v>
                </c:pt>
                <c:pt idx="16">
                  <c:v>30870</c:v>
                </c:pt>
                <c:pt idx="17">
                  <c:v>11130</c:v>
                </c:pt>
                <c:pt idx="18">
                  <c:v>30680</c:v>
                </c:pt>
                <c:pt idx="19">
                  <c:v>32330</c:v>
                </c:pt>
                <c:pt idx="20">
                  <c:v>34020</c:v>
                </c:pt>
                <c:pt idx="21">
                  <c:v>34450</c:v>
                </c:pt>
                <c:pt idx="22">
                  <c:v>35510</c:v>
                </c:pt>
                <c:pt idx="23">
                  <c:v>32130</c:v>
                </c:pt>
                <c:pt idx="24">
                  <c:v>10290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aux!$H$48</c:f>
              <c:strCache>
                <c:ptCount val="1"/>
                <c:pt idx="0">
                  <c:v>Duplicidade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aux!$H$49:$H$73</c:f>
              <c:numCache>
                <c:formatCode>_-* #,##0_-;\-* #,##0_-;_-* "-"??_-;_-@_-</c:formatCode>
                <c:ptCount val="25"/>
                <c:pt idx="0">
                  <c:v>16000</c:v>
                </c:pt>
                <c:pt idx="1">
                  <c:v>16590</c:v>
                </c:pt>
                <c:pt idx="2">
                  <c:v>15360</c:v>
                </c:pt>
                <c:pt idx="3">
                  <c:v>5280</c:v>
                </c:pt>
                <c:pt idx="4">
                  <c:v>14160</c:v>
                </c:pt>
                <c:pt idx="5">
                  <c:v>14640</c:v>
                </c:pt>
                <c:pt idx="6">
                  <c:v>15120</c:v>
                </c:pt>
                <c:pt idx="7">
                  <c:v>15600</c:v>
                </c:pt>
                <c:pt idx="8">
                  <c:v>16080</c:v>
                </c:pt>
                <c:pt idx="9">
                  <c:v>15120</c:v>
                </c:pt>
                <c:pt idx="10">
                  <c:v>5040</c:v>
                </c:pt>
                <c:pt idx="11">
                  <c:v>14160</c:v>
                </c:pt>
                <c:pt idx="12">
                  <c:v>14640</c:v>
                </c:pt>
                <c:pt idx="13">
                  <c:v>15120</c:v>
                </c:pt>
                <c:pt idx="14">
                  <c:v>15600</c:v>
                </c:pt>
                <c:pt idx="15">
                  <c:v>16080</c:v>
                </c:pt>
                <c:pt idx="16">
                  <c:v>15120</c:v>
                </c:pt>
                <c:pt idx="17">
                  <c:v>5040</c:v>
                </c:pt>
                <c:pt idx="18">
                  <c:v>14160</c:v>
                </c:pt>
                <c:pt idx="19">
                  <c:v>14640</c:v>
                </c:pt>
                <c:pt idx="20">
                  <c:v>15120</c:v>
                </c:pt>
                <c:pt idx="21">
                  <c:v>15600</c:v>
                </c:pt>
                <c:pt idx="22">
                  <c:v>16080</c:v>
                </c:pt>
                <c:pt idx="23">
                  <c:v>15120</c:v>
                </c:pt>
                <c:pt idx="24">
                  <c:v>5040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aux!$I$48</c:f>
              <c:strCache>
                <c:ptCount val="1"/>
                <c:pt idx="0">
                  <c:v>Negada Crédito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aux!$I$49:$I$73</c:f>
              <c:numCache>
                <c:formatCode>_-* #,##0_-;\-* #,##0_-;_-* "-"??_-;_-@_-</c:formatCode>
                <c:ptCount val="25"/>
                <c:pt idx="0">
                  <c:v>10000</c:v>
                </c:pt>
                <c:pt idx="1">
                  <c:v>10368</c:v>
                </c:pt>
                <c:pt idx="2">
                  <c:v>9600</c:v>
                </c:pt>
                <c:pt idx="3">
                  <c:v>3300</c:v>
                </c:pt>
                <c:pt idx="4">
                  <c:v>8850</c:v>
                </c:pt>
                <c:pt idx="5">
                  <c:v>9150</c:v>
                </c:pt>
                <c:pt idx="6">
                  <c:v>9450</c:v>
                </c:pt>
                <c:pt idx="7">
                  <c:v>9750</c:v>
                </c:pt>
                <c:pt idx="8">
                  <c:v>10050</c:v>
                </c:pt>
                <c:pt idx="9">
                  <c:v>9450</c:v>
                </c:pt>
                <c:pt idx="10">
                  <c:v>3150</c:v>
                </c:pt>
                <c:pt idx="11">
                  <c:v>8850</c:v>
                </c:pt>
                <c:pt idx="12">
                  <c:v>9150</c:v>
                </c:pt>
                <c:pt idx="13">
                  <c:v>9450</c:v>
                </c:pt>
                <c:pt idx="14">
                  <c:v>9750</c:v>
                </c:pt>
                <c:pt idx="15">
                  <c:v>10050</c:v>
                </c:pt>
                <c:pt idx="16">
                  <c:v>9450</c:v>
                </c:pt>
                <c:pt idx="17">
                  <c:v>3150</c:v>
                </c:pt>
                <c:pt idx="18">
                  <c:v>8850</c:v>
                </c:pt>
                <c:pt idx="19">
                  <c:v>9150</c:v>
                </c:pt>
                <c:pt idx="20">
                  <c:v>9450</c:v>
                </c:pt>
                <c:pt idx="21">
                  <c:v>9750</c:v>
                </c:pt>
                <c:pt idx="22">
                  <c:v>10050</c:v>
                </c:pt>
                <c:pt idx="23">
                  <c:v>9450</c:v>
                </c:pt>
                <c:pt idx="24">
                  <c:v>3150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aux!$J$48</c:f>
              <c:strCache>
                <c:ptCount val="1"/>
                <c:pt idx="0">
                  <c:v>Negada Fraude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aux!$J$49:$J$73</c:f>
              <c:numCache>
                <c:formatCode>_-* #,##0_-;\-* #,##0_-;_-* "-"??_-;_-@_-</c:formatCode>
                <c:ptCount val="25"/>
                <c:pt idx="0">
                  <c:v>6000</c:v>
                </c:pt>
                <c:pt idx="1">
                  <c:v>5530</c:v>
                </c:pt>
                <c:pt idx="2">
                  <c:v>5760</c:v>
                </c:pt>
                <c:pt idx="3">
                  <c:v>1980</c:v>
                </c:pt>
                <c:pt idx="4">
                  <c:v>5310</c:v>
                </c:pt>
                <c:pt idx="5">
                  <c:v>5490</c:v>
                </c:pt>
                <c:pt idx="6">
                  <c:v>5670</c:v>
                </c:pt>
                <c:pt idx="7">
                  <c:v>5850</c:v>
                </c:pt>
                <c:pt idx="8">
                  <c:v>6030</c:v>
                </c:pt>
                <c:pt idx="9">
                  <c:v>5670</c:v>
                </c:pt>
                <c:pt idx="10">
                  <c:v>1890</c:v>
                </c:pt>
                <c:pt idx="11">
                  <c:v>5310</c:v>
                </c:pt>
                <c:pt idx="12">
                  <c:v>5490</c:v>
                </c:pt>
                <c:pt idx="13">
                  <c:v>5670</c:v>
                </c:pt>
                <c:pt idx="14">
                  <c:v>5850</c:v>
                </c:pt>
                <c:pt idx="15">
                  <c:v>6030</c:v>
                </c:pt>
                <c:pt idx="16">
                  <c:v>5670</c:v>
                </c:pt>
                <c:pt idx="17">
                  <c:v>1890</c:v>
                </c:pt>
                <c:pt idx="18">
                  <c:v>5310</c:v>
                </c:pt>
                <c:pt idx="19">
                  <c:v>5490</c:v>
                </c:pt>
                <c:pt idx="20">
                  <c:v>5670</c:v>
                </c:pt>
                <c:pt idx="21">
                  <c:v>5850</c:v>
                </c:pt>
                <c:pt idx="22">
                  <c:v>6030</c:v>
                </c:pt>
                <c:pt idx="23">
                  <c:v>5670</c:v>
                </c:pt>
                <c:pt idx="24">
                  <c:v>1890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aux!$K$48</c:f>
              <c:strCache>
                <c:ptCount val="1"/>
                <c:pt idx="0">
                  <c:v>Derivadas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aux!$E$49:$E$73</c:f>
              <c:numCache>
                <c:formatCode>m/d/yyyy</c:formatCode>
                <c:ptCount val="25"/>
                <c:pt idx="0">
                  <c:v>42774</c:v>
                </c:pt>
                <c:pt idx="1">
                  <c:v>42775</c:v>
                </c:pt>
                <c:pt idx="2">
                  <c:v>42776</c:v>
                </c:pt>
                <c:pt idx="3">
                  <c:v>42777</c:v>
                </c:pt>
                <c:pt idx="4">
                  <c:v>42778</c:v>
                </c:pt>
                <c:pt idx="5">
                  <c:v>42779</c:v>
                </c:pt>
                <c:pt idx="6">
                  <c:v>42780</c:v>
                </c:pt>
                <c:pt idx="7">
                  <c:v>42781</c:v>
                </c:pt>
                <c:pt idx="8">
                  <c:v>42782</c:v>
                </c:pt>
                <c:pt idx="9">
                  <c:v>42783</c:v>
                </c:pt>
                <c:pt idx="10">
                  <c:v>42784</c:v>
                </c:pt>
                <c:pt idx="11">
                  <c:v>42785</c:v>
                </c:pt>
                <c:pt idx="12">
                  <c:v>42786</c:v>
                </c:pt>
                <c:pt idx="13">
                  <c:v>42787</c:v>
                </c:pt>
                <c:pt idx="14">
                  <c:v>42788</c:v>
                </c:pt>
                <c:pt idx="15">
                  <c:v>42789</c:v>
                </c:pt>
                <c:pt idx="16">
                  <c:v>42790</c:v>
                </c:pt>
                <c:pt idx="17">
                  <c:v>42791</c:v>
                </c:pt>
                <c:pt idx="18">
                  <c:v>42792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42796</c:v>
                </c:pt>
                <c:pt idx="23">
                  <c:v>42797</c:v>
                </c:pt>
                <c:pt idx="24">
                  <c:v>42798</c:v>
                </c:pt>
              </c:numCache>
            </c:numRef>
          </c:cat>
          <c:val>
            <c:numRef>
              <c:f>aux!$K$49:$K$73</c:f>
              <c:numCache>
                <c:formatCode>_-* #,##0_-;\-* #,##0_-;_-* "-"??_-;_-@_-</c:formatCode>
                <c:ptCount val="25"/>
                <c:pt idx="0">
                  <c:v>3000</c:v>
                </c:pt>
                <c:pt idx="1">
                  <c:v>2765</c:v>
                </c:pt>
                <c:pt idx="2">
                  <c:v>2560</c:v>
                </c:pt>
                <c:pt idx="3">
                  <c:v>880</c:v>
                </c:pt>
                <c:pt idx="4">
                  <c:v>2360</c:v>
                </c:pt>
                <c:pt idx="5">
                  <c:v>2440</c:v>
                </c:pt>
                <c:pt idx="6">
                  <c:v>2520</c:v>
                </c:pt>
                <c:pt idx="7">
                  <c:v>2600</c:v>
                </c:pt>
                <c:pt idx="8">
                  <c:v>2680</c:v>
                </c:pt>
                <c:pt idx="9">
                  <c:v>2520</c:v>
                </c:pt>
                <c:pt idx="10">
                  <c:v>840</c:v>
                </c:pt>
                <c:pt idx="11">
                  <c:v>2360</c:v>
                </c:pt>
                <c:pt idx="12">
                  <c:v>2440</c:v>
                </c:pt>
                <c:pt idx="13">
                  <c:v>2520</c:v>
                </c:pt>
                <c:pt idx="14">
                  <c:v>2600</c:v>
                </c:pt>
                <c:pt idx="15">
                  <c:v>2680</c:v>
                </c:pt>
                <c:pt idx="16">
                  <c:v>2520</c:v>
                </c:pt>
                <c:pt idx="17">
                  <c:v>840</c:v>
                </c:pt>
                <c:pt idx="18">
                  <c:v>2360</c:v>
                </c:pt>
                <c:pt idx="19">
                  <c:v>2440</c:v>
                </c:pt>
                <c:pt idx="20">
                  <c:v>2520</c:v>
                </c:pt>
                <c:pt idx="21">
                  <c:v>2600</c:v>
                </c:pt>
                <c:pt idx="22">
                  <c:v>2680</c:v>
                </c:pt>
                <c:pt idx="23">
                  <c:v>2520</c:v>
                </c:pt>
                <c:pt idx="24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32456"/>
        <c:axId val="243732848"/>
      </c:lineChart>
      <c:dateAx>
        <c:axId val="243732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732848"/>
        <c:crosses val="autoZero"/>
        <c:auto val="1"/>
        <c:lblOffset val="100"/>
        <c:baseTimeUnit val="days"/>
      </c:dateAx>
      <c:valAx>
        <c:axId val="243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7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77095488431218E-3"/>
          <c:y val="0.94983960338291051"/>
          <c:w val="0.99722287839020118"/>
          <c:h val="4.5530766987459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Derivação</a:t>
            </a:r>
            <a:r>
              <a:rPr lang="pt-BR" baseline="0"/>
              <a:t> por RR</a:t>
            </a:r>
            <a:endParaRPr lang="pt-BR"/>
          </a:p>
        </c:rich>
      </c:tx>
      <c:layout>
        <c:manualLayout>
          <c:xMode val="edge"/>
          <c:yMode val="edge"/>
          <c:x val="0.3883751795176546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24492968904983E-2"/>
          <c:y val="0.16091954022988506"/>
          <c:w val="0.89765179802291961"/>
          <c:h val="0.68870201569631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'MEDIA E VOL DERIVAÇÃO POR RR'!$B$1</c:f>
              <c:strCache>
                <c:ptCount val="1"/>
                <c:pt idx="0">
                  <c:v>RR02</c:v>
                </c:pt>
              </c:strCache>
            </c:strRef>
          </c:tx>
          <c:invertIfNegative val="0"/>
          <c:cat>
            <c:numRef>
              <c:f>'MEDIA E VOL DERIVAÇÃO POR RR'!$A$2:$A$36</c:f>
              <c:numCache>
                <c:formatCode>m/d/yyyy</c:formatCode>
                <c:ptCount val="35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43102</c:v>
                </c:pt>
                <c:pt idx="20">
                  <c:v>43103</c:v>
                </c:pt>
                <c:pt idx="21">
                  <c:v>43104</c:v>
                </c:pt>
                <c:pt idx="22">
                  <c:v>43105</c:v>
                </c:pt>
                <c:pt idx="23">
                  <c:v>43108</c:v>
                </c:pt>
                <c:pt idx="24">
                  <c:v>43109</c:v>
                </c:pt>
                <c:pt idx="25">
                  <c:v>43110</c:v>
                </c:pt>
                <c:pt idx="26">
                  <c:v>43111</c:v>
                </c:pt>
                <c:pt idx="27">
                  <c:v>43112</c:v>
                </c:pt>
                <c:pt idx="28">
                  <c:v>43115</c:v>
                </c:pt>
                <c:pt idx="29">
                  <c:v>43116</c:v>
                </c:pt>
                <c:pt idx="30">
                  <c:v>43117</c:v>
                </c:pt>
                <c:pt idx="31">
                  <c:v>43118</c:v>
                </c:pt>
                <c:pt idx="32">
                  <c:v>43119</c:v>
                </c:pt>
                <c:pt idx="33">
                  <c:v>43122</c:v>
                </c:pt>
                <c:pt idx="34">
                  <c:v>43123</c:v>
                </c:pt>
              </c:numCache>
            </c:numRef>
          </c:cat>
          <c:val>
            <c:numRef>
              <c:f>'MEDIA E VOL DERIVAÇÃO POR RR'!$B$2:$B$36</c:f>
              <c:numCache>
                <c:formatCode>General</c:formatCode>
                <c:ptCount val="35"/>
                <c:pt idx="0">
                  <c:v>2509</c:v>
                </c:pt>
                <c:pt idx="1">
                  <c:v>2198</c:v>
                </c:pt>
                <c:pt idx="2">
                  <c:v>2196</c:v>
                </c:pt>
                <c:pt idx="3">
                  <c:v>2269</c:v>
                </c:pt>
                <c:pt idx="4">
                  <c:v>1962</c:v>
                </c:pt>
                <c:pt idx="5">
                  <c:v>2255</c:v>
                </c:pt>
                <c:pt idx="6">
                  <c:v>2108</c:v>
                </c:pt>
                <c:pt idx="7">
                  <c:v>2372</c:v>
                </c:pt>
                <c:pt idx="8">
                  <c:v>2208</c:v>
                </c:pt>
                <c:pt idx="9">
                  <c:v>2015</c:v>
                </c:pt>
                <c:pt idx="10">
                  <c:v>2173</c:v>
                </c:pt>
                <c:pt idx="11">
                  <c:v>1988</c:v>
                </c:pt>
                <c:pt idx="12">
                  <c:v>2070</c:v>
                </c:pt>
                <c:pt idx="13">
                  <c:v>2102</c:v>
                </c:pt>
                <c:pt idx="14">
                  <c:v>1989</c:v>
                </c:pt>
                <c:pt idx="15">
                  <c:v>2177</c:v>
                </c:pt>
                <c:pt idx="16">
                  <c:v>1873</c:v>
                </c:pt>
                <c:pt idx="17">
                  <c:v>2011</c:v>
                </c:pt>
                <c:pt idx="18">
                  <c:v>1777</c:v>
                </c:pt>
                <c:pt idx="19">
                  <c:v>1844</c:v>
                </c:pt>
                <c:pt idx="20">
                  <c:v>2163</c:v>
                </c:pt>
                <c:pt idx="21">
                  <c:v>2213</c:v>
                </c:pt>
                <c:pt idx="22">
                  <c:v>2085</c:v>
                </c:pt>
                <c:pt idx="23">
                  <c:v>2159</c:v>
                </c:pt>
                <c:pt idx="24">
                  <c:v>2135</c:v>
                </c:pt>
                <c:pt idx="25">
                  <c:v>2290</c:v>
                </c:pt>
                <c:pt idx="26">
                  <c:v>2158</c:v>
                </c:pt>
                <c:pt idx="27">
                  <c:v>2107</c:v>
                </c:pt>
                <c:pt idx="28">
                  <c:v>2269</c:v>
                </c:pt>
                <c:pt idx="29">
                  <c:v>2239</c:v>
                </c:pt>
                <c:pt idx="30">
                  <c:v>2510</c:v>
                </c:pt>
                <c:pt idx="31">
                  <c:v>2421</c:v>
                </c:pt>
                <c:pt idx="32">
                  <c:v>2041</c:v>
                </c:pt>
                <c:pt idx="33">
                  <c:v>2093</c:v>
                </c:pt>
                <c:pt idx="34">
                  <c:v>1996</c:v>
                </c:pt>
              </c:numCache>
            </c:numRef>
          </c:val>
        </c:ser>
        <c:ser>
          <c:idx val="1"/>
          <c:order val="1"/>
          <c:tx>
            <c:strRef>
              <c:f>'MEDIA E VOL DERIVAÇÃO POR RR'!$C$1</c:f>
              <c:strCache>
                <c:ptCount val="1"/>
                <c:pt idx="0">
                  <c:v>RR04</c:v>
                </c:pt>
              </c:strCache>
            </c:strRef>
          </c:tx>
          <c:invertIfNegative val="0"/>
          <c:cat>
            <c:numRef>
              <c:f>'MEDIA E VOL DERIVAÇÃO POR RR'!$A$2:$A$36</c:f>
              <c:numCache>
                <c:formatCode>m/d/yyyy</c:formatCode>
                <c:ptCount val="35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43102</c:v>
                </c:pt>
                <c:pt idx="20">
                  <c:v>43103</c:v>
                </c:pt>
                <c:pt idx="21">
                  <c:v>43104</c:v>
                </c:pt>
                <c:pt idx="22">
                  <c:v>43105</c:v>
                </c:pt>
                <c:pt idx="23">
                  <c:v>43108</c:v>
                </c:pt>
                <c:pt idx="24">
                  <c:v>43109</c:v>
                </c:pt>
                <c:pt idx="25">
                  <c:v>43110</c:v>
                </c:pt>
                <c:pt idx="26">
                  <c:v>43111</c:v>
                </c:pt>
                <c:pt idx="27">
                  <c:v>43112</c:v>
                </c:pt>
                <c:pt idx="28">
                  <c:v>43115</c:v>
                </c:pt>
                <c:pt idx="29">
                  <c:v>43116</c:v>
                </c:pt>
                <c:pt idx="30">
                  <c:v>43117</c:v>
                </c:pt>
                <c:pt idx="31">
                  <c:v>43118</c:v>
                </c:pt>
                <c:pt idx="32">
                  <c:v>43119</c:v>
                </c:pt>
                <c:pt idx="33">
                  <c:v>43122</c:v>
                </c:pt>
                <c:pt idx="34">
                  <c:v>43123</c:v>
                </c:pt>
              </c:numCache>
            </c:numRef>
          </c:cat>
          <c:val>
            <c:numRef>
              <c:f>'MEDIA E VOL DERIVAÇÃO POR RR'!$C$2:$C$36</c:f>
              <c:numCache>
                <c:formatCode>General</c:formatCode>
                <c:ptCount val="35"/>
                <c:pt idx="0">
                  <c:v>2356</c:v>
                </c:pt>
                <c:pt idx="1">
                  <c:v>2208</c:v>
                </c:pt>
                <c:pt idx="2">
                  <c:v>2042</c:v>
                </c:pt>
                <c:pt idx="3">
                  <c:v>2134</c:v>
                </c:pt>
                <c:pt idx="4">
                  <c:v>1846</c:v>
                </c:pt>
                <c:pt idx="5">
                  <c:v>2304</c:v>
                </c:pt>
                <c:pt idx="6">
                  <c:v>2325</c:v>
                </c:pt>
                <c:pt idx="7">
                  <c:v>2142</c:v>
                </c:pt>
                <c:pt idx="8">
                  <c:v>2227</c:v>
                </c:pt>
                <c:pt idx="9">
                  <c:v>2314</c:v>
                </c:pt>
                <c:pt idx="10">
                  <c:v>2363</c:v>
                </c:pt>
                <c:pt idx="11">
                  <c:v>3028</c:v>
                </c:pt>
                <c:pt idx="12">
                  <c:v>4169</c:v>
                </c:pt>
                <c:pt idx="13">
                  <c:v>4065</c:v>
                </c:pt>
                <c:pt idx="14">
                  <c:v>3418</c:v>
                </c:pt>
                <c:pt idx="15">
                  <c:v>4126</c:v>
                </c:pt>
                <c:pt idx="16">
                  <c:v>6090</c:v>
                </c:pt>
                <c:pt idx="17">
                  <c:v>4658</c:v>
                </c:pt>
                <c:pt idx="18">
                  <c:v>3580</c:v>
                </c:pt>
                <c:pt idx="19">
                  <c:v>3840</c:v>
                </c:pt>
                <c:pt idx="20">
                  <c:v>4604</c:v>
                </c:pt>
                <c:pt idx="21">
                  <c:v>3982</c:v>
                </c:pt>
                <c:pt idx="22">
                  <c:v>3574</c:v>
                </c:pt>
                <c:pt idx="23">
                  <c:v>3666</c:v>
                </c:pt>
                <c:pt idx="24">
                  <c:v>3438</c:v>
                </c:pt>
                <c:pt idx="25">
                  <c:v>3749</c:v>
                </c:pt>
                <c:pt idx="26">
                  <c:v>3179</c:v>
                </c:pt>
                <c:pt idx="27">
                  <c:v>3611</c:v>
                </c:pt>
                <c:pt idx="28">
                  <c:v>3700</c:v>
                </c:pt>
                <c:pt idx="29">
                  <c:v>3074</c:v>
                </c:pt>
                <c:pt idx="30">
                  <c:v>3538</c:v>
                </c:pt>
                <c:pt idx="31">
                  <c:v>3500</c:v>
                </c:pt>
                <c:pt idx="32">
                  <c:v>3153</c:v>
                </c:pt>
                <c:pt idx="33">
                  <c:v>3996</c:v>
                </c:pt>
                <c:pt idx="34">
                  <c:v>3867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297152"/>
        <c:axId val="379295584"/>
      </c:barChart>
      <c:lineChart>
        <c:grouping val="standard"/>
        <c:varyColors val="0"/>
        <c:ser>
          <c:idx val="2"/>
          <c:order val="2"/>
          <c:tx>
            <c:strRef>
              <c:f>'MEDIA E VOL DERIVAÇÃO POR RR'!$F$1</c:f>
              <c:strCache>
                <c:ptCount val="1"/>
                <c:pt idx="0">
                  <c:v>% derivação  - Total cas</c:v>
                </c:pt>
              </c:strCache>
            </c:strRef>
          </c:tx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'MEDIA E VOL DERIVAÇÃO POR RR'!$A$2:$A$36</c:f>
              <c:numCache>
                <c:formatCode>m/d/yyyy</c:formatCode>
                <c:ptCount val="35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43102</c:v>
                </c:pt>
                <c:pt idx="20">
                  <c:v>43103</c:v>
                </c:pt>
                <c:pt idx="21">
                  <c:v>43104</c:v>
                </c:pt>
                <c:pt idx="22">
                  <c:v>43105</c:v>
                </c:pt>
                <c:pt idx="23">
                  <c:v>43108</c:v>
                </c:pt>
                <c:pt idx="24">
                  <c:v>43109</c:v>
                </c:pt>
                <c:pt idx="25">
                  <c:v>43110</c:v>
                </c:pt>
                <c:pt idx="26">
                  <c:v>43111</c:v>
                </c:pt>
                <c:pt idx="27">
                  <c:v>43112</c:v>
                </c:pt>
                <c:pt idx="28">
                  <c:v>43115</c:v>
                </c:pt>
                <c:pt idx="29">
                  <c:v>43116</c:v>
                </c:pt>
                <c:pt idx="30">
                  <c:v>43117</c:v>
                </c:pt>
                <c:pt idx="31">
                  <c:v>43118</c:v>
                </c:pt>
                <c:pt idx="32">
                  <c:v>43119</c:v>
                </c:pt>
                <c:pt idx="33">
                  <c:v>43122</c:v>
                </c:pt>
                <c:pt idx="34">
                  <c:v>43123</c:v>
                </c:pt>
              </c:numCache>
            </c:numRef>
          </c:cat>
          <c:val>
            <c:numRef>
              <c:f>'MEDIA E VOL DERIVAÇÃO POR RR'!$F$2:$F$36</c:f>
              <c:numCache>
                <c:formatCode>0.00%</c:formatCode>
                <c:ptCount val="35"/>
                <c:pt idx="0">
                  <c:v>2.9285998408910104E-2</c:v>
                </c:pt>
                <c:pt idx="1">
                  <c:v>2.779211298098103E-2</c:v>
                </c:pt>
                <c:pt idx="2">
                  <c:v>2.5860868023454615E-2</c:v>
                </c:pt>
                <c:pt idx="3">
                  <c:v>2.7024288934478131E-2</c:v>
                </c:pt>
                <c:pt idx="4">
                  <c:v>2.728750923872875E-2</c:v>
                </c:pt>
                <c:pt idx="5">
                  <c:v>2.8528621488094499E-2</c:v>
                </c:pt>
                <c:pt idx="6">
                  <c:v>2.8788647986032864E-2</c:v>
                </c:pt>
                <c:pt idx="7">
                  <c:v>2.6394588000443607E-2</c:v>
                </c:pt>
                <c:pt idx="8">
                  <c:v>2.8535550914239587E-2</c:v>
                </c:pt>
                <c:pt idx="9">
                  <c:v>3.2765993599728128E-2</c:v>
                </c:pt>
                <c:pt idx="10">
                  <c:v>3.062785151389465E-2</c:v>
                </c:pt>
                <c:pt idx="11">
                  <c:v>3.951042563741225E-2</c:v>
                </c:pt>
                <c:pt idx="12">
                  <c:v>5.48978812499177E-2</c:v>
                </c:pt>
                <c:pt idx="13">
                  <c:v>5.4423499169924491E-2</c:v>
                </c:pt>
                <c:pt idx="14">
                  <c:v>5.2604848018468639E-2</c:v>
                </c:pt>
                <c:pt idx="15">
                  <c:v>5.6869555629066051E-2</c:v>
                </c:pt>
                <c:pt idx="16">
                  <c:v>7.7939030945250704E-2</c:v>
                </c:pt>
                <c:pt idx="17">
                  <c:v>6.4174806772935813E-2</c:v>
                </c:pt>
                <c:pt idx="18">
                  <c:v>6.1484560162126882E-2</c:v>
                </c:pt>
                <c:pt idx="19">
                  <c:v>5.471722310092763E-2</c:v>
                </c:pt>
                <c:pt idx="20">
                  <c:v>5.8115903611416164E-2</c:v>
                </c:pt>
                <c:pt idx="21">
                  <c:v>5.0520172545039328E-2</c:v>
                </c:pt>
                <c:pt idx="22">
                  <c:v>4.5580920800918252E-2</c:v>
                </c:pt>
                <c:pt idx="23">
                  <c:v>4.4988771215040434E-2</c:v>
                </c:pt>
                <c:pt idx="24">
                  <c:v>4.2361812760294736E-2</c:v>
                </c:pt>
                <c:pt idx="25">
                  <c:v>4.5272856815080489E-2</c:v>
                </c:pt>
                <c:pt idx="26">
                  <c:v>4.1542522607286601E-2</c:v>
                </c:pt>
                <c:pt idx="27">
                  <c:v>4.6919258855019359E-2</c:v>
                </c:pt>
                <c:pt idx="28">
                  <c:v>4.5313150611115197E-2</c:v>
                </c:pt>
                <c:pt idx="29">
                  <c:v>3.6123482613958188E-2</c:v>
                </c:pt>
                <c:pt idx="30">
                  <c:v>4.2317537018874245E-2</c:v>
                </c:pt>
                <c:pt idx="31">
                  <c:v>4.2316527626647324E-2</c:v>
                </c:pt>
                <c:pt idx="32">
                  <c:v>3.9651399683090623E-2</c:v>
                </c:pt>
                <c:pt idx="33">
                  <c:v>4.7317939609236234E-2</c:v>
                </c:pt>
                <c:pt idx="34">
                  <c:v>4.5813735827597235E-2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 E VOL DERIVAÇÃO POR RR'!$G$1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'MEDIA E VOL DERIVAÇÃO POR RR'!$A$2:$A$36</c:f>
              <c:numCache>
                <c:formatCode>m/d/yyyy</c:formatCode>
                <c:ptCount val="35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43102</c:v>
                </c:pt>
                <c:pt idx="20">
                  <c:v>43103</c:v>
                </c:pt>
                <c:pt idx="21">
                  <c:v>43104</c:v>
                </c:pt>
                <c:pt idx="22">
                  <c:v>43105</c:v>
                </c:pt>
                <c:pt idx="23">
                  <c:v>43108</c:v>
                </c:pt>
                <c:pt idx="24">
                  <c:v>43109</c:v>
                </c:pt>
                <c:pt idx="25">
                  <c:v>43110</c:v>
                </c:pt>
                <c:pt idx="26">
                  <c:v>43111</c:v>
                </c:pt>
                <c:pt idx="27">
                  <c:v>43112</c:v>
                </c:pt>
                <c:pt idx="28">
                  <c:v>43115</c:v>
                </c:pt>
                <c:pt idx="29">
                  <c:v>43116</c:v>
                </c:pt>
                <c:pt idx="30">
                  <c:v>43117</c:v>
                </c:pt>
                <c:pt idx="31">
                  <c:v>43118</c:v>
                </c:pt>
                <c:pt idx="32">
                  <c:v>43119</c:v>
                </c:pt>
                <c:pt idx="33">
                  <c:v>43122</c:v>
                </c:pt>
                <c:pt idx="34">
                  <c:v>43123</c:v>
                </c:pt>
              </c:numCache>
            </c:numRef>
          </c:cat>
          <c:val>
            <c:numRef>
              <c:f>'MEDIA E VOL DERIVAÇÃO POR RR'!$G$2:$G$36</c:f>
              <c:numCache>
                <c:formatCode>0.00%</c:formatCode>
                <c:ptCount val="35"/>
                <c:pt idx="0">
                  <c:v>2.9366871393866515E-2</c:v>
                </c:pt>
                <c:pt idx="1">
                  <c:v>2.9366871393866501E-2</c:v>
                </c:pt>
                <c:pt idx="2">
                  <c:v>2.9366871393866501E-2</c:v>
                </c:pt>
                <c:pt idx="3">
                  <c:v>2.9366871393866501E-2</c:v>
                </c:pt>
                <c:pt idx="4">
                  <c:v>2.9366871393866501E-2</c:v>
                </c:pt>
                <c:pt idx="5">
                  <c:v>2.9366871393866501E-2</c:v>
                </c:pt>
                <c:pt idx="6">
                  <c:v>2.9366871393866501E-2</c:v>
                </c:pt>
                <c:pt idx="7">
                  <c:v>2.9366871393866501E-2</c:v>
                </c:pt>
                <c:pt idx="8">
                  <c:v>2.9366871393866501E-2</c:v>
                </c:pt>
                <c:pt idx="9">
                  <c:v>2.9366871393866501E-2</c:v>
                </c:pt>
                <c:pt idx="10">
                  <c:v>2.9366871393866501E-2</c:v>
                </c:pt>
                <c:pt idx="11">
                  <c:v>2.9366871393866501E-2</c:v>
                </c:pt>
                <c:pt idx="12">
                  <c:v>2.9366871393866501E-2</c:v>
                </c:pt>
                <c:pt idx="13">
                  <c:v>2.9366871393866501E-2</c:v>
                </c:pt>
                <c:pt idx="14">
                  <c:v>2.9366871393866501E-2</c:v>
                </c:pt>
                <c:pt idx="15">
                  <c:v>2.9366871393866501E-2</c:v>
                </c:pt>
                <c:pt idx="16">
                  <c:v>2.9366871393866501E-2</c:v>
                </c:pt>
                <c:pt idx="17">
                  <c:v>2.9366871393866501E-2</c:v>
                </c:pt>
                <c:pt idx="18">
                  <c:v>2.9366871393866501E-2</c:v>
                </c:pt>
                <c:pt idx="19">
                  <c:v>2.9366871393866501E-2</c:v>
                </c:pt>
                <c:pt idx="20">
                  <c:v>2.9366871393866501E-2</c:v>
                </c:pt>
                <c:pt idx="21">
                  <c:v>2.9366871393866501E-2</c:v>
                </c:pt>
                <c:pt idx="22">
                  <c:v>2.9366871393866501E-2</c:v>
                </c:pt>
                <c:pt idx="23">
                  <c:v>2.9366871393866501E-2</c:v>
                </c:pt>
                <c:pt idx="24">
                  <c:v>2.9366871393866501E-2</c:v>
                </c:pt>
                <c:pt idx="25">
                  <c:v>2.9366871393866501E-2</c:v>
                </c:pt>
                <c:pt idx="26">
                  <c:v>2.9366871393866501E-2</c:v>
                </c:pt>
                <c:pt idx="27">
                  <c:v>2.9366871393866501E-2</c:v>
                </c:pt>
                <c:pt idx="28">
                  <c:v>2.9366871393866501E-2</c:v>
                </c:pt>
                <c:pt idx="29">
                  <c:v>2.9366871393866501E-2</c:v>
                </c:pt>
                <c:pt idx="30">
                  <c:v>2.9366871393866501E-2</c:v>
                </c:pt>
                <c:pt idx="31">
                  <c:v>2.9366871393866501E-2</c:v>
                </c:pt>
                <c:pt idx="32">
                  <c:v>2.9366871393866501E-2</c:v>
                </c:pt>
                <c:pt idx="33">
                  <c:v>2.9366871393866501E-2</c:v>
                </c:pt>
                <c:pt idx="34">
                  <c:v>2.9366871393866501E-2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01856"/>
        <c:axId val="379302640"/>
      </c:lineChart>
      <c:catAx>
        <c:axId val="379297152"/>
        <c:scaling>
          <c:orientation val="minMax"/>
        </c:scaling>
        <c:delete val="0"/>
        <c:axPos val="b"/>
        <c:numFmt formatCode="dd/mm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379295584"/>
        <c:crosses val="autoZero"/>
        <c:auto val="0"/>
        <c:lblAlgn val="ctr"/>
        <c:lblOffset val="100"/>
        <c:noMultiLvlLbl val="0"/>
      </c:catAx>
      <c:valAx>
        <c:axId val="379295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379297152"/>
        <c:crosses val="autoZero"/>
        <c:crossBetween val="between"/>
      </c:valAx>
      <c:valAx>
        <c:axId val="3793026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379301856"/>
        <c:crosses val="max"/>
        <c:crossBetween val="between"/>
      </c:valAx>
      <c:catAx>
        <c:axId val="379301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9302640"/>
        <c:crosses val="autoZero"/>
        <c:auto val="0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8431816305980619"/>
          <c:y val="0.12057634770962272"/>
          <c:w val="0.63974941811518837"/>
          <c:h val="9.9220375230873917E-2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Derivações</a:t>
            </a:r>
            <a:r>
              <a:rPr lang="pt-BR" sz="1400" baseline="0"/>
              <a:t> por faixa de score</a:t>
            </a:r>
            <a:endParaRPr lang="pt-BR" sz="1400"/>
          </a:p>
        </c:rich>
      </c:tx>
      <c:layout>
        <c:manualLayout>
          <c:xMode val="edge"/>
          <c:yMode val="edge"/>
          <c:x val="0.32332191809357164"/>
          <c:y val="1.11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538080363277616E-2"/>
          <c:y val="0.12078703703703704"/>
          <c:w val="0.96544227286431861"/>
          <c:h val="0.75479111986001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aux!$F$26</c:f>
              <c:strCache>
                <c:ptCount val="1"/>
                <c:pt idx="0">
                  <c:v>&lt;100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aux!$F$27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</c:ser>
        <c:ser>
          <c:idx val="3"/>
          <c:order val="1"/>
          <c:tx>
            <c:strRef>
              <c:f>aux!$G$26</c:f>
              <c:strCache>
                <c:ptCount val="1"/>
                <c:pt idx="0">
                  <c:v>&gt;100 &lt;300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aux!$G$27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</c:ser>
        <c:ser>
          <c:idx val="1"/>
          <c:order val="2"/>
          <c:tx>
            <c:strRef>
              <c:f>aux!$H$26</c:f>
              <c:strCache>
                <c:ptCount val="1"/>
                <c:pt idx="0">
                  <c:v>&gt;300 &lt;500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aux!$H$27</c:f>
              <c:numCache>
                <c:formatCode>0%</c:formatCode>
                <c:ptCount val="1"/>
                <c:pt idx="0">
                  <c:v>0.51</c:v>
                </c:pt>
              </c:numCache>
            </c:numRef>
          </c:val>
        </c:ser>
        <c:ser>
          <c:idx val="4"/>
          <c:order val="3"/>
          <c:tx>
            <c:strRef>
              <c:f>aux!$I$26</c:f>
              <c:strCache>
                <c:ptCount val="1"/>
                <c:pt idx="0">
                  <c:v>&gt;500 &lt;800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aux!$I$27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</c:ser>
        <c:ser>
          <c:idx val="2"/>
          <c:order val="4"/>
          <c:tx>
            <c:strRef>
              <c:f>aux!$J$26</c:f>
              <c:strCache>
                <c:ptCount val="1"/>
                <c:pt idx="0">
                  <c:v>&gt;800 &lt;1000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aux!$J$27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ser>
          <c:idx val="5"/>
          <c:order val="5"/>
          <c:tx>
            <c:strRef>
              <c:f>aux!$K$26</c:f>
              <c:strCache>
                <c:ptCount val="1"/>
                <c:pt idx="0">
                  <c:v>&gt;1000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aux!$K$27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30"/>
        <c:axId val="392324208"/>
        <c:axId val="392321072"/>
      </c:barChart>
      <c:catAx>
        <c:axId val="39232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2321072"/>
        <c:crosses val="autoZero"/>
        <c:auto val="1"/>
        <c:lblAlgn val="ctr"/>
        <c:lblOffset val="100"/>
        <c:noMultiLvlLbl val="0"/>
      </c:catAx>
      <c:valAx>
        <c:axId val="392321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923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42075833812828"/>
          <c:w val="1"/>
          <c:h val="9.375065616797902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1- SLA Operação D-1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aux!$A$2:$A$7</c:f>
              <c:strCache>
                <c:ptCount val="6"/>
                <c:pt idx="0">
                  <c:v>Aprovadas</c:v>
                </c:pt>
                <c:pt idx="1">
                  <c:v>Negadas</c:v>
                </c:pt>
                <c:pt idx="2">
                  <c:v>Aguaradando Tratamento</c:v>
                </c:pt>
                <c:pt idx="3">
                  <c:v>Pendentes de 1 Contato </c:v>
                </c:pt>
                <c:pt idx="4">
                  <c:v>Pendentes de 2 Contato </c:v>
                </c:pt>
                <c:pt idx="5">
                  <c:v>Propostas abertas &gt; D -1</c:v>
                </c:pt>
              </c:strCache>
            </c:strRef>
          </c:cat>
          <c:val>
            <c:numRef>
              <c:f>aux!$B$2:$B$7</c:f>
              <c:numCache>
                <c:formatCode>General</c:formatCode>
                <c:ptCount val="6"/>
                <c:pt idx="0">
                  <c:v>480</c:v>
                </c:pt>
                <c:pt idx="1">
                  <c:v>1800</c:v>
                </c:pt>
                <c:pt idx="2">
                  <c:v>500</c:v>
                </c:pt>
                <c:pt idx="3">
                  <c:v>360</c:v>
                </c:pt>
                <c:pt idx="4">
                  <c:v>360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SLA Operação D-1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aux!$A$2</c:f>
              <c:strCache>
                <c:ptCount val="1"/>
                <c:pt idx="0">
                  <c:v>Aprovadas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aux!$B$2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</c:ser>
        <c:ser>
          <c:idx val="1"/>
          <c:order val="1"/>
          <c:tx>
            <c:strRef>
              <c:f>aux!$A$3</c:f>
              <c:strCache>
                <c:ptCount val="1"/>
                <c:pt idx="0">
                  <c:v>Negadas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aux!$B$3</c:f>
              <c:numCache>
                <c:formatCode>General</c:formatCode>
                <c:ptCount val="1"/>
                <c:pt idx="0">
                  <c:v>1800</c:v>
                </c:pt>
              </c:numCache>
            </c:numRef>
          </c:val>
        </c:ser>
        <c:ser>
          <c:idx val="2"/>
          <c:order val="2"/>
          <c:tx>
            <c:strRef>
              <c:f>aux!$A$4</c:f>
              <c:strCache>
                <c:ptCount val="1"/>
                <c:pt idx="0">
                  <c:v>Aguaradando Tratamento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aux!$B$4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</c:ser>
        <c:ser>
          <c:idx val="3"/>
          <c:order val="3"/>
          <c:tx>
            <c:strRef>
              <c:f>aux!$A$5</c:f>
              <c:strCache>
                <c:ptCount val="1"/>
                <c:pt idx="0">
                  <c:v>Pendentes de 1 Contato 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aux!$B$5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</c:ser>
        <c:ser>
          <c:idx val="4"/>
          <c:order val="4"/>
          <c:tx>
            <c:strRef>
              <c:f>aux!$A$6</c:f>
              <c:strCache>
                <c:ptCount val="1"/>
                <c:pt idx="0">
                  <c:v>Pendentes de 2 Contato 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aux!$B$6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3626936"/>
        <c:axId val="243627328"/>
      </c:barChart>
      <c:catAx>
        <c:axId val="243626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43627328"/>
        <c:crosses val="autoZero"/>
        <c:auto val="1"/>
        <c:lblAlgn val="ctr"/>
        <c:lblOffset val="100"/>
        <c:noMultiLvlLbl val="0"/>
      </c:catAx>
      <c:valAx>
        <c:axId val="2436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62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Derivação</a:t>
            </a:r>
            <a:r>
              <a:rPr lang="pt-BR" baseline="0"/>
              <a:t> por RR</a:t>
            </a:r>
            <a:endParaRPr lang="pt-B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24492968904983E-2"/>
          <c:y val="0.16091954022988506"/>
          <c:w val="0.89765179802291961"/>
          <c:h val="0.68870201569631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'MEDIA E VOL DERIVAÇÃO POR RR'!$B$1</c:f>
              <c:strCache>
                <c:ptCount val="1"/>
                <c:pt idx="0">
                  <c:v>RR02</c:v>
                </c:pt>
              </c:strCache>
            </c:strRef>
          </c:tx>
          <c:invertIfNegative val="0"/>
          <c:cat>
            <c:numRef>
              <c:f>'MEDIA E VOL DERIVAÇÃO POR RR'!$A$2:$A$36</c:f>
              <c:numCache>
                <c:formatCode>m/d/yyyy</c:formatCode>
                <c:ptCount val="35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43102</c:v>
                </c:pt>
                <c:pt idx="20">
                  <c:v>43103</c:v>
                </c:pt>
                <c:pt idx="21">
                  <c:v>43104</c:v>
                </c:pt>
                <c:pt idx="22">
                  <c:v>43105</c:v>
                </c:pt>
                <c:pt idx="23">
                  <c:v>43108</c:v>
                </c:pt>
                <c:pt idx="24">
                  <c:v>43109</c:v>
                </c:pt>
                <c:pt idx="25">
                  <c:v>43110</c:v>
                </c:pt>
                <c:pt idx="26">
                  <c:v>43111</c:v>
                </c:pt>
                <c:pt idx="27">
                  <c:v>43112</c:v>
                </c:pt>
                <c:pt idx="28">
                  <c:v>43115</c:v>
                </c:pt>
                <c:pt idx="29">
                  <c:v>43116</c:v>
                </c:pt>
                <c:pt idx="30">
                  <c:v>43117</c:v>
                </c:pt>
                <c:pt idx="31">
                  <c:v>43118</c:v>
                </c:pt>
                <c:pt idx="32">
                  <c:v>43119</c:v>
                </c:pt>
                <c:pt idx="33">
                  <c:v>43122</c:v>
                </c:pt>
                <c:pt idx="34">
                  <c:v>43123</c:v>
                </c:pt>
              </c:numCache>
            </c:numRef>
          </c:cat>
          <c:val>
            <c:numRef>
              <c:f>'MEDIA E VOL DERIVAÇÃO POR RR'!$B$2:$B$36</c:f>
              <c:numCache>
                <c:formatCode>General</c:formatCode>
                <c:ptCount val="35"/>
                <c:pt idx="0">
                  <c:v>2509</c:v>
                </c:pt>
                <c:pt idx="1">
                  <c:v>2198</c:v>
                </c:pt>
                <c:pt idx="2">
                  <c:v>2196</c:v>
                </c:pt>
                <c:pt idx="3">
                  <c:v>2269</c:v>
                </c:pt>
                <c:pt idx="4">
                  <c:v>1962</c:v>
                </c:pt>
                <c:pt idx="5">
                  <c:v>2255</c:v>
                </c:pt>
                <c:pt idx="6">
                  <c:v>2108</c:v>
                </c:pt>
                <c:pt idx="7">
                  <c:v>2372</c:v>
                </c:pt>
                <c:pt idx="8">
                  <c:v>2208</c:v>
                </c:pt>
                <c:pt idx="9">
                  <c:v>2015</c:v>
                </c:pt>
                <c:pt idx="10">
                  <c:v>2173</c:v>
                </c:pt>
                <c:pt idx="11">
                  <c:v>1988</c:v>
                </c:pt>
                <c:pt idx="12">
                  <c:v>2070</c:v>
                </c:pt>
                <c:pt idx="13">
                  <c:v>2102</c:v>
                </c:pt>
                <c:pt idx="14">
                  <c:v>1989</c:v>
                </c:pt>
                <c:pt idx="15">
                  <c:v>2177</c:v>
                </c:pt>
                <c:pt idx="16">
                  <c:v>1873</c:v>
                </c:pt>
                <c:pt idx="17">
                  <c:v>2011</c:v>
                </c:pt>
                <c:pt idx="18">
                  <c:v>1777</c:v>
                </c:pt>
                <c:pt idx="19">
                  <c:v>1844</c:v>
                </c:pt>
                <c:pt idx="20">
                  <c:v>2163</c:v>
                </c:pt>
                <c:pt idx="21">
                  <c:v>2213</c:v>
                </c:pt>
                <c:pt idx="22">
                  <c:v>2085</c:v>
                </c:pt>
                <c:pt idx="23">
                  <c:v>2159</c:v>
                </c:pt>
                <c:pt idx="24">
                  <c:v>2135</c:v>
                </c:pt>
                <c:pt idx="25">
                  <c:v>2290</c:v>
                </c:pt>
                <c:pt idx="26">
                  <c:v>2158</c:v>
                </c:pt>
                <c:pt idx="27">
                  <c:v>2107</c:v>
                </c:pt>
                <c:pt idx="28">
                  <c:v>2269</c:v>
                </c:pt>
                <c:pt idx="29">
                  <c:v>2239</c:v>
                </c:pt>
                <c:pt idx="30">
                  <c:v>2510</c:v>
                </c:pt>
                <c:pt idx="31">
                  <c:v>2421</c:v>
                </c:pt>
                <c:pt idx="32">
                  <c:v>2041</c:v>
                </c:pt>
                <c:pt idx="33">
                  <c:v>2093</c:v>
                </c:pt>
                <c:pt idx="34">
                  <c:v>1996</c:v>
                </c:pt>
              </c:numCache>
            </c:numRef>
          </c:val>
        </c:ser>
        <c:ser>
          <c:idx val="1"/>
          <c:order val="1"/>
          <c:tx>
            <c:strRef>
              <c:f>'MEDIA E VOL DERIVAÇÃO POR RR'!$C$1</c:f>
              <c:strCache>
                <c:ptCount val="1"/>
                <c:pt idx="0">
                  <c:v>RR04</c:v>
                </c:pt>
              </c:strCache>
            </c:strRef>
          </c:tx>
          <c:invertIfNegative val="0"/>
          <c:cat>
            <c:numRef>
              <c:f>'MEDIA E VOL DERIVAÇÃO POR RR'!$A$2:$A$36</c:f>
              <c:numCache>
                <c:formatCode>m/d/yyyy</c:formatCode>
                <c:ptCount val="35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43102</c:v>
                </c:pt>
                <c:pt idx="20">
                  <c:v>43103</c:v>
                </c:pt>
                <c:pt idx="21">
                  <c:v>43104</c:v>
                </c:pt>
                <c:pt idx="22">
                  <c:v>43105</c:v>
                </c:pt>
                <c:pt idx="23">
                  <c:v>43108</c:v>
                </c:pt>
                <c:pt idx="24">
                  <c:v>43109</c:v>
                </c:pt>
                <c:pt idx="25">
                  <c:v>43110</c:v>
                </c:pt>
                <c:pt idx="26">
                  <c:v>43111</c:v>
                </c:pt>
                <c:pt idx="27">
                  <c:v>43112</c:v>
                </c:pt>
                <c:pt idx="28">
                  <c:v>43115</c:v>
                </c:pt>
                <c:pt idx="29">
                  <c:v>43116</c:v>
                </c:pt>
                <c:pt idx="30">
                  <c:v>43117</c:v>
                </c:pt>
                <c:pt idx="31">
                  <c:v>43118</c:v>
                </c:pt>
                <c:pt idx="32">
                  <c:v>43119</c:v>
                </c:pt>
                <c:pt idx="33">
                  <c:v>43122</c:v>
                </c:pt>
                <c:pt idx="34">
                  <c:v>43123</c:v>
                </c:pt>
              </c:numCache>
            </c:numRef>
          </c:cat>
          <c:val>
            <c:numRef>
              <c:f>'MEDIA E VOL DERIVAÇÃO POR RR'!$C$2:$C$36</c:f>
              <c:numCache>
                <c:formatCode>General</c:formatCode>
                <c:ptCount val="35"/>
                <c:pt idx="0">
                  <c:v>2356</c:v>
                </c:pt>
                <c:pt idx="1">
                  <c:v>2208</c:v>
                </c:pt>
                <c:pt idx="2">
                  <c:v>2042</c:v>
                </c:pt>
                <c:pt idx="3">
                  <c:v>2134</c:v>
                </c:pt>
                <c:pt idx="4">
                  <c:v>1846</c:v>
                </c:pt>
                <c:pt idx="5">
                  <c:v>2304</c:v>
                </c:pt>
                <c:pt idx="6">
                  <c:v>2325</c:v>
                </c:pt>
                <c:pt idx="7">
                  <c:v>2142</c:v>
                </c:pt>
                <c:pt idx="8">
                  <c:v>2227</c:v>
                </c:pt>
                <c:pt idx="9">
                  <c:v>2314</c:v>
                </c:pt>
                <c:pt idx="10">
                  <c:v>2363</c:v>
                </c:pt>
                <c:pt idx="11">
                  <c:v>3028</c:v>
                </c:pt>
                <c:pt idx="12">
                  <c:v>4169</c:v>
                </c:pt>
                <c:pt idx="13">
                  <c:v>4065</c:v>
                </c:pt>
                <c:pt idx="14">
                  <c:v>3418</c:v>
                </c:pt>
                <c:pt idx="15">
                  <c:v>4126</c:v>
                </c:pt>
                <c:pt idx="16">
                  <c:v>6090</c:v>
                </c:pt>
                <c:pt idx="17">
                  <c:v>4658</c:v>
                </c:pt>
                <c:pt idx="18">
                  <c:v>3580</c:v>
                </c:pt>
                <c:pt idx="19">
                  <c:v>3840</c:v>
                </c:pt>
                <c:pt idx="20">
                  <c:v>4604</c:v>
                </c:pt>
                <c:pt idx="21">
                  <c:v>3982</c:v>
                </c:pt>
                <c:pt idx="22">
                  <c:v>3574</c:v>
                </c:pt>
                <c:pt idx="23">
                  <c:v>3666</c:v>
                </c:pt>
                <c:pt idx="24">
                  <c:v>3438</c:v>
                </c:pt>
                <c:pt idx="25">
                  <c:v>3749</c:v>
                </c:pt>
                <c:pt idx="26">
                  <c:v>3179</c:v>
                </c:pt>
                <c:pt idx="27">
                  <c:v>3611</c:v>
                </c:pt>
                <c:pt idx="28">
                  <c:v>3700</c:v>
                </c:pt>
                <c:pt idx="29">
                  <c:v>3074</c:v>
                </c:pt>
                <c:pt idx="30">
                  <c:v>3538</c:v>
                </c:pt>
                <c:pt idx="31">
                  <c:v>3500</c:v>
                </c:pt>
                <c:pt idx="32">
                  <c:v>3153</c:v>
                </c:pt>
                <c:pt idx="33">
                  <c:v>3996</c:v>
                </c:pt>
                <c:pt idx="34">
                  <c:v>3867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28112"/>
        <c:axId val="243628504"/>
      </c:barChart>
      <c:lineChart>
        <c:grouping val="standard"/>
        <c:varyColors val="0"/>
        <c:ser>
          <c:idx val="2"/>
          <c:order val="2"/>
          <c:tx>
            <c:strRef>
              <c:f>'MEDIA E VOL DERIVAÇÃO POR RR'!$F$1</c:f>
              <c:strCache>
                <c:ptCount val="1"/>
                <c:pt idx="0">
                  <c:v>% derivação  - Total cas</c:v>
                </c:pt>
              </c:strCache>
            </c:strRef>
          </c:tx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'MEDIA E VOL DERIVAÇÃO POR RR'!$A$2:$A$36</c:f>
              <c:numCache>
                <c:formatCode>m/d/yyyy</c:formatCode>
                <c:ptCount val="35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43102</c:v>
                </c:pt>
                <c:pt idx="20">
                  <c:v>43103</c:v>
                </c:pt>
                <c:pt idx="21">
                  <c:v>43104</c:v>
                </c:pt>
                <c:pt idx="22">
                  <c:v>43105</c:v>
                </c:pt>
                <c:pt idx="23">
                  <c:v>43108</c:v>
                </c:pt>
                <c:pt idx="24">
                  <c:v>43109</c:v>
                </c:pt>
                <c:pt idx="25">
                  <c:v>43110</c:v>
                </c:pt>
                <c:pt idx="26">
                  <c:v>43111</c:v>
                </c:pt>
                <c:pt idx="27">
                  <c:v>43112</c:v>
                </c:pt>
                <c:pt idx="28">
                  <c:v>43115</c:v>
                </c:pt>
                <c:pt idx="29">
                  <c:v>43116</c:v>
                </c:pt>
                <c:pt idx="30">
                  <c:v>43117</c:v>
                </c:pt>
                <c:pt idx="31">
                  <c:v>43118</c:v>
                </c:pt>
                <c:pt idx="32">
                  <c:v>43119</c:v>
                </c:pt>
                <c:pt idx="33">
                  <c:v>43122</c:v>
                </c:pt>
                <c:pt idx="34">
                  <c:v>43123</c:v>
                </c:pt>
              </c:numCache>
            </c:numRef>
          </c:cat>
          <c:val>
            <c:numRef>
              <c:f>'MEDIA E VOL DERIVAÇÃO POR RR'!$F$2:$F$36</c:f>
              <c:numCache>
                <c:formatCode>0.00%</c:formatCode>
                <c:ptCount val="35"/>
                <c:pt idx="0">
                  <c:v>2.9285998408910104E-2</c:v>
                </c:pt>
                <c:pt idx="1">
                  <c:v>2.779211298098103E-2</c:v>
                </c:pt>
                <c:pt idx="2">
                  <c:v>2.5860868023454615E-2</c:v>
                </c:pt>
                <c:pt idx="3">
                  <c:v>2.7024288934478131E-2</c:v>
                </c:pt>
                <c:pt idx="4">
                  <c:v>2.728750923872875E-2</c:v>
                </c:pt>
                <c:pt idx="5">
                  <c:v>2.8528621488094499E-2</c:v>
                </c:pt>
                <c:pt idx="6">
                  <c:v>2.8788647986032864E-2</c:v>
                </c:pt>
                <c:pt idx="7">
                  <c:v>2.6394588000443607E-2</c:v>
                </c:pt>
                <c:pt idx="8">
                  <c:v>2.8535550914239587E-2</c:v>
                </c:pt>
                <c:pt idx="9">
                  <c:v>3.2765993599728128E-2</c:v>
                </c:pt>
                <c:pt idx="10">
                  <c:v>3.062785151389465E-2</c:v>
                </c:pt>
                <c:pt idx="11">
                  <c:v>3.951042563741225E-2</c:v>
                </c:pt>
                <c:pt idx="12">
                  <c:v>5.48978812499177E-2</c:v>
                </c:pt>
                <c:pt idx="13">
                  <c:v>5.4423499169924491E-2</c:v>
                </c:pt>
                <c:pt idx="14">
                  <c:v>5.2604848018468639E-2</c:v>
                </c:pt>
                <c:pt idx="15">
                  <c:v>5.6869555629066051E-2</c:v>
                </c:pt>
                <c:pt idx="16">
                  <c:v>7.7939030945250704E-2</c:v>
                </c:pt>
                <c:pt idx="17">
                  <c:v>6.4174806772935813E-2</c:v>
                </c:pt>
                <c:pt idx="18">
                  <c:v>6.1484560162126882E-2</c:v>
                </c:pt>
                <c:pt idx="19">
                  <c:v>5.471722310092763E-2</c:v>
                </c:pt>
                <c:pt idx="20">
                  <c:v>5.8115903611416164E-2</c:v>
                </c:pt>
                <c:pt idx="21">
                  <c:v>5.0520172545039328E-2</c:v>
                </c:pt>
                <c:pt idx="22">
                  <c:v>4.5580920800918252E-2</c:v>
                </c:pt>
                <c:pt idx="23">
                  <c:v>4.4988771215040434E-2</c:v>
                </c:pt>
                <c:pt idx="24">
                  <c:v>4.2361812760294736E-2</c:v>
                </c:pt>
                <c:pt idx="25">
                  <c:v>4.5272856815080489E-2</c:v>
                </c:pt>
                <c:pt idx="26">
                  <c:v>4.1542522607286601E-2</c:v>
                </c:pt>
                <c:pt idx="27">
                  <c:v>4.6919258855019359E-2</c:v>
                </c:pt>
                <c:pt idx="28">
                  <c:v>4.5313150611115197E-2</c:v>
                </c:pt>
                <c:pt idx="29">
                  <c:v>3.6123482613958188E-2</c:v>
                </c:pt>
                <c:pt idx="30">
                  <c:v>4.2317537018874245E-2</c:v>
                </c:pt>
                <c:pt idx="31">
                  <c:v>4.2316527626647324E-2</c:v>
                </c:pt>
                <c:pt idx="32">
                  <c:v>3.9651399683090623E-2</c:v>
                </c:pt>
                <c:pt idx="33">
                  <c:v>4.7317939609236234E-2</c:v>
                </c:pt>
                <c:pt idx="34">
                  <c:v>4.5813735827597235E-2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 E VOL DERIVAÇÃO POR RR'!$G$1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'MEDIA E VOL DERIVAÇÃO POR RR'!$A$2:$A$36</c:f>
              <c:numCache>
                <c:formatCode>m/d/yyyy</c:formatCode>
                <c:ptCount val="35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43102</c:v>
                </c:pt>
                <c:pt idx="20">
                  <c:v>43103</c:v>
                </c:pt>
                <c:pt idx="21">
                  <c:v>43104</c:v>
                </c:pt>
                <c:pt idx="22">
                  <c:v>43105</c:v>
                </c:pt>
                <c:pt idx="23">
                  <c:v>43108</c:v>
                </c:pt>
                <c:pt idx="24">
                  <c:v>43109</c:v>
                </c:pt>
                <c:pt idx="25">
                  <c:v>43110</c:v>
                </c:pt>
                <c:pt idx="26">
                  <c:v>43111</c:v>
                </c:pt>
                <c:pt idx="27">
                  <c:v>43112</c:v>
                </c:pt>
                <c:pt idx="28">
                  <c:v>43115</c:v>
                </c:pt>
                <c:pt idx="29">
                  <c:v>43116</c:v>
                </c:pt>
                <c:pt idx="30">
                  <c:v>43117</c:v>
                </c:pt>
                <c:pt idx="31">
                  <c:v>43118</c:v>
                </c:pt>
                <c:pt idx="32">
                  <c:v>43119</c:v>
                </c:pt>
                <c:pt idx="33">
                  <c:v>43122</c:v>
                </c:pt>
                <c:pt idx="34">
                  <c:v>43123</c:v>
                </c:pt>
              </c:numCache>
            </c:numRef>
          </c:cat>
          <c:val>
            <c:numRef>
              <c:f>'MEDIA E VOL DERIVAÇÃO POR RR'!$G$2:$G$36</c:f>
              <c:numCache>
                <c:formatCode>0.00%</c:formatCode>
                <c:ptCount val="35"/>
                <c:pt idx="0">
                  <c:v>2.9366871393866515E-2</c:v>
                </c:pt>
                <c:pt idx="1">
                  <c:v>2.9366871393866501E-2</c:v>
                </c:pt>
                <c:pt idx="2">
                  <c:v>2.9366871393866501E-2</c:v>
                </c:pt>
                <c:pt idx="3">
                  <c:v>2.9366871393866501E-2</c:v>
                </c:pt>
                <c:pt idx="4">
                  <c:v>2.9366871393866501E-2</c:v>
                </c:pt>
                <c:pt idx="5">
                  <c:v>2.9366871393866501E-2</c:v>
                </c:pt>
                <c:pt idx="6">
                  <c:v>2.9366871393866501E-2</c:v>
                </c:pt>
                <c:pt idx="7">
                  <c:v>2.9366871393866501E-2</c:v>
                </c:pt>
                <c:pt idx="8">
                  <c:v>2.9366871393866501E-2</c:v>
                </c:pt>
                <c:pt idx="9">
                  <c:v>2.9366871393866501E-2</c:v>
                </c:pt>
                <c:pt idx="10">
                  <c:v>2.9366871393866501E-2</c:v>
                </c:pt>
                <c:pt idx="11">
                  <c:v>2.9366871393866501E-2</c:v>
                </c:pt>
                <c:pt idx="12">
                  <c:v>2.9366871393866501E-2</c:v>
                </c:pt>
                <c:pt idx="13">
                  <c:v>2.9366871393866501E-2</c:v>
                </c:pt>
                <c:pt idx="14">
                  <c:v>2.9366871393866501E-2</c:v>
                </c:pt>
                <c:pt idx="15">
                  <c:v>2.9366871393866501E-2</c:v>
                </c:pt>
                <c:pt idx="16">
                  <c:v>2.9366871393866501E-2</c:v>
                </c:pt>
                <c:pt idx="17">
                  <c:v>2.9366871393866501E-2</c:v>
                </c:pt>
                <c:pt idx="18">
                  <c:v>2.9366871393866501E-2</c:v>
                </c:pt>
                <c:pt idx="19">
                  <c:v>2.9366871393866501E-2</c:v>
                </c:pt>
                <c:pt idx="20">
                  <c:v>2.9366871393866501E-2</c:v>
                </c:pt>
                <c:pt idx="21">
                  <c:v>2.9366871393866501E-2</c:v>
                </c:pt>
                <c:pt idx="22">
                  <c:v>2.9366871393866501E-2</c:v>
                </c:pt>
                <c:pt idx="23">
                  <c:v>2.9366871393866501E-2</c:v>
                </c:pt>
                <c:pt idx="24">
                  <c:v>2.9366871393866501E-2</c:v>
                </c:pt>
                <c:pt idx="25">
                  <c:v>2.9366871393866501E-2</c:v>
                </c:pt>
                <c:pt idx="26">
                  <c:v>2.9366871393866501E-2</c:v>
                </c:pt>
                <c:pt idx="27">
                  <c:v>2.9366871393866501E-2</c:v>
                </c:pt>
                <c:pt idx="28">
                  <c:v>2.9366871393866501E-2</c:v>
                </c:pt>
                <c:pt idx="29">
                  <c:v>2.9366871393866501E-2</c:v>
                </c:pt>
                <c:pt idx="30">
                  <c:v>2.9366871393866501E-2</c:v>
                </c:pt>
                <c:pt idx="31">
                  <c:v>2.9366871393866501E-2</c:v>
                </c:pt>
                <c:pt idx="32">
                  <c:v>2.9366871393866501E-2</c:v>
                </c:pt>
                <c:pt idx="33">
                  <c:v>2.9366871393866501E-2</c:v>
                </c:pt>
                <c:pt idx="34">
                  <c:v>2.9366871393866501E-2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29288"/>
        <c:axId val="243628896"/>
      </c:lineChart>
      <c:catAx>
        <c:axId val="243628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243628504"/>
        <c:crosses val="autoZero"/>
        <c:auto val="0"/>
        <c:lblAlgn val="ctr"/>
        <c:lblOffset val="100"/>
        <c:noMultiLvlLbl val="0"/>
      </c:catAx>
      <c:valAx>
        <c:axId val="243628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243628112"/>
        <c:crosses val="autoZero"/>
        <c:crossBetween val="between"/>
      </c:valAx>
      <c:valAx>
        <c:axId val="243628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243629288"/>
        <c:crosses val="max"/>
        <c:crossBetween val="between"/>
      </c:valAx>
      <c:dateAx>
        <c:axId val="243629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3628896"/>
        <c:crosses val="autoZero"/>
        <c:auto val="1"/>
        <c:lblOffset val="100"/>
        <c:baseTimeUnit val="days"/>
      </c:dateAx>
    </c:plotArea>
    <c:legend>
      <c:legendPos val="t"/>
      <c:layout>
        <c:manualLayout>
          <c:xMode val="edge"/>
          <c:yMode val="edge"/>
          <c:x val="0.25097204223774022"/>
          <c:y val="0.12076038740771439"/>
          <c:w val="0.48845207519832179"/>
          <c:h val="7.0498687664041992E-2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Derivações</a:t>
            </a:r>
          </a:p>
        </c:rich>
      </c:tx>
      <c:layout>
        <c:manualLayout>
          <c:xMode val="edge"/>
          <c:yMode val="edge"/>
          <c:x val="0.39795976322631804"/>
          <c:y val="3.42108321710832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538080363277616E-2"/>
          <c:y val="0.12078703703703704"/>
          <c:w val="0.96544227286431861"/>
          <c:h val="0.75479111986001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aux!$L$2</c:f>
              <c:strCache>
                <c:ptCount val="1"/>
                <c:pt idx="0">
                  <c:v>Aprovadas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rgbClr val="00B05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aux!$L$4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</c:ser>
        <c:ser>
          <c:idx val="1"/>
          <c:order val="1"/>
          <c:tx>
            <c:strRef>
              <c:f>aux!$M$2</c:f>
              <c:strCache>
                <c:ptCount val="1"/>
                <c:pt idx="0">
                  <c:v>Negadas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aux!$M$4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</c:ser>
        <c:ser>
          <c:idx val="2"/>
          <c:order val="2"/>
          <c:tx>
            <c:strRef>
              <c:f>aux!$N$2</c:f>
              <c:strCache>
                <c:ptCount val="1"/>
                <c:pt idx="0">
                  <c:v>Aguardando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aux!$N$4</c:f>
              <c:numCache>
                <c:formatCode>0%</c:formatCode>
                <c:ptCount val="1"/>
                <c:pt idx="0">
                  <c:v>0.16666666666666666</c:v>
                </c:pt>
              </c:numCache>
            </c:numRef>
          </c:val>
        </c:ser>
        <c:ser>
          <c:idx val="3"/>
          <c:order val="3"/>
          <c:tx>
            <c:strRef>
              <c:f>aux!$O$2</c:f>
              <c:strCache>
                <c:ptCount val="1"/>
                <c:pt idx="0">
                  <c:v>1 Contato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aux!$O$4</c:f>
              <c:numCache>
                <c:formatCode>0%</c:formatCode>
                <c:ptCount val="1"/>
                <c:pt idx="0">
                  <c:v>8.666666666666667E-2</c:v>
                </c:pt>
              </c:numCache>
            </c:numRef>
          </c:val>
        </c:ser>
        <c:ser>
          <c:idx val="4"/>
          <c:order val="4"/>
          <c:tx>
            <c:strRef>
              <c:f>aux!$P$2</c:f>
              <c:strCache>
                <c:ptCount val="1"/>
                <c:pt idx="0">
                  <c:v>2 Contato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aux!$P$4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</c:ser>
        <c:ser>
          <c:idx val="5"/>
          <c:order val="5"/>
          <c:tx>
            <c:strRef>
              <c:f>aux!$Q$2</c:f>
              <c:strCache>
                <c:ptCount val="1"/>
                <c:pt idx="0">
                  <c:v>&gt;2 Contato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aux!$Q$4</c:f>
              <c:numCache>
                <c:formatCode>0%</c:formatCode>
                <c:ptCount val="1"/>
                <c:pt idx="0">
                  <c:v>2.6666666666666668E-2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17"/>
        <c:axId val="242369632"/>
        <c:axId val="242370024"/>
      </c:barChart>
      <c:catAx>
        <c:axId val="242369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2370024"/>
        <c:crosses val="autoZero"/>
        <c:auto val="1"/>
        <c:lblAlgn val="ctr"/>
        <c:lblOffset val="100"/>
        <c:noMultiLvlLbl val="0"/>
      </c:catAx>
      <c:valAx>
        <c:axId val="242370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23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42075833812828"/>
          <c:w val="1"/>
          <c:h val="0.1095790144875958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Derivação - Motivos de reprovações</a:t>
            </a:r>
          </a:p>
        </c:rich>
      </c:tx>
      <c:layout>
        <c:manualLayout>
          <c:xMode val="edge"/>
          <c:yMode val="edge"/>
          <c:x val="0.16406912772267104"/>
          <c:y val="3.42108321710832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538080363277616E-2"/>
          <c:y val="0.12078703703703704"/>
          <c:w val="0.96544227286431861"/>
          <c:h val="0.75479111986001746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aux!$G$7</c:f>
              <c:strCache>
                <c:ptCount val="1"/>
                <c:pt idx="0">
                  <c:v>Óbito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aux!$G$9</c:f>
              <c:numCache>
                <c:formatCode>0%</c:formatCode>
                <c:ptCount val="1"/>
                <c:pt idx="0">
                  <c:v>7.7777777777777776E-3</c:v>
                </c:pt>
              </c:numCache>
            </c:numRef>
          </c:val>
        </c:ser>
        <c:ser>
          <c:idx val="3"/>
          <c:order val="1"/>
          <c:tx>
            <c:strRef>
              <c:f>aux!$H$7</c:f>
              <c:strCache>
                <c:ptCount val="1"/>
                <c:pt idx="0">
                  <c:v>Sem contato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aux!$H$9</c:f>
              <c:numCache>
                <c:formatCode>0%</c:formatCode>
                <c:ptCount val="1"/>
                <c:pt idx="0">
                  <c:v>0.12777777777777777</c:v>
                </c:pt>
              </c:numCache>
            </c:numRef>
          </c:val>
        </c:ser>
        <c:ser>
          <c:idx val="2"/>
          <c:order val="2"/>
          <c:tx>
            <c:strRef>
              <c:f>aux!$I$7</c:f>
              <c:strCache>
                <c:ptCount val="1"/>
                <c:pt idx="0">
                  <c:v>Fraude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aux!$I$9</c:f>
              <c:numCache>
                <c:formatCode>0%</c:formatCode>
                <c:ptCount val="1"/>
                <c:pt idx="0">
                  <c:v>0.18666666666666668</c:v>
                </c:pt>
              </c:numCache>
            </c:numRef>
          </c:val>
        </c:ser>
        <c:ser>
          <c:idx val="1"/>
          <c:order val="3"/>
          <c:tx>
            <c:strRef>
              <c:f>aux!$J$7</c:f>
              <c:strCache>
                <c:ptCount val="1"/>
                <c:pt idx="0">
                  <c:v>Crédito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aux!$J$9</c:f>
              <c:numCache>
                <c:formatCode>0%</c:formatCode>
                <c:ptCount val="1"/>
                <c:pt idx="0">
                  <c:v>0.21666666666666667</c:v>
                </c:pt>
              </c:numCache>
            </c:numRef>
          </c:val>
        </c:ser>
        <c:ser>
          <c:idx val="0"/>
          <c:order val="4"/>
          <c:tx>
            <c:strRef>
              <c:f>aux!$K$7</c:f>
              <c:strCache>
                <c:ptCount val="1"/>
                <c:pt idx="0">
                  <c:v>Qualidade de dados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aux!$K$9</c:f>
              <c:numCache>
                <c:formatCode>0%</c:formatCode>
                <c:ptCount val="1"/>
                <c:pt idx="0">
                  <c:v>0.46111111111111114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2370808"/>
        <c:axId val="242371200"/>
      </c:barChart>
      <c:catAx>
        <c:axId val="242370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2371200"/>
        <c:crosses val="autoZero"/>
        <c:auto val="1"/>
        <c:lblAlgn val="ctr"/>
        <c:lblOffset val="100"/>
        <c:noMultiLvlLbl val="0"/>
      </c:catAx>
      <c:valAx>
        <c:axId val="2423712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23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21645021645025E-2"/>
          <c:y val="0.89648150799331905"/>
          <c:w val="0.8999998770645472"/>
          <c:h val="0.1035187122268712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815754589900877E-2"/>
          <c:w val="0.99198366511026681"/>
          <c:h val="0.776798795704464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Dashboard!$F$57:$G$57</c:f>
              <c:strCache>
                <c:ptCount val="2"/>
                <c:pt idx="0">
                  <c:v>1º Contato</c:v>
                </c:pt>
                <c:pt idx="1">
                  <c:v>2º Contato</c:v>
                </c:pt>
              </c:strCache>
            </c:strRef>
          </c:cat>
          <c:val>
            <c:numRef>
              <c:f>Dashboard!$F$59:$G$59</c:f>
              <c:numCache>
                <c:formatCode>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2372376"/>
        <c:axId val="242371984"/>
      </c:barChart>
      <c:valAx>
        <c:axId val="2423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72376"/>
        <c:crosses val="autoZero"/>
        <c:crossBetween val="between"/>
      </c:valAx>
      <c:catAx>
        <c:axId val="242372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7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815754589900877E-2"/>
          <c:w val="0.99198366511026681"/>
          <c:h val="0.776798795704464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  <a:effectLst/>
            </c:spPr>
          </c:dPt>
          <c:cat>
            <c:strRef>
              <c:f>Dashboard!$J$57:$L$57</c:f>
              <c:strCache>
                <c:ptCount val="3"/>
                <c:pt idx="0">
                  <c:v>Aprovadas</c:v>
                </c:pt>
                <c:pt idx="1">
                  <c:v>Reprovadas</c:v>
                </c:pt>
                <c:pt idx="2">
                  <c:v>Tratando</c:v>
                </c:pt>
              </c:strCache>
            </c:strRef>
          </c:cat>
          <c:val>
            <c:numRef>
              <c:f>Dashboard!$J$59:$L$59</c:f>
              <c:numCache>
                <c:formatCode>0%</c:formatCode>
                <c:ptCount val="3"/>
                <c:pt idx="0">
                  <c:v>0.35</c:v>
                </c:pt>
                <c:pt idx="1">
                  <c:v>0.38</c:v>
                </c:pt>
                <c:pt idx="2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2896440"/>
        <c:axId val="242896048"/>
      </c:barChart>
      <c:valAx>
        <c:axId val="2428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896440"/>
        <c:crosses val="autoZero"/>
        <c:crossBetween val="between"/>
      </c:valAx>
      <c:catAx>
        <c:axId val="242896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89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815754589900877E-2"/>
          <c:w val="0.99198366511026681"/>
          <c:h val="0.776798795704464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Dashboard!$M$57:$N$57</c:f>
              <c:strCache>
                <c:ptCount val="2"/>
                <c:pt idx="0">
                  <c:v>1º Contato</c:v>
                </c:pt>
                <c:pt idx="1">
                  <c:v>2º Contato</c:v>
                </c:pt>
              </c:strCache>
            </c:strRef>
          </c:cat>
          <c:val>
            <c:numRef>
              <c:f>Dashboard!$M$59:$N$59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2898008"/>
        <c:axId val="242897616"/>
      </c:barChart>
      <c:valAx>
        <c:axId val="2428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898008"/>
        <c:crosses val="autoZero"/>
        <c:crossBetween val="between"/>
      </c:valAx>
      <c:catAx>
        <c:axId val="242898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89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815754589900877E-2"/>
          <c:w val="0.99198366511026681"/>
          <c:h val="0.776798795704464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Dashboard!$Q$57:$S$57</c:f>
              <c:strCache>
                <c:ptCount val="3"/>
                <c:pt idx="0">
                  <c:v>Aprovadas</c:v>
                </c:pt>
                <c:pt idx="1">
                  <c:v>Reprovadas</c:v>
                </c:pt>
                <c:pt idx="2">
                  <c:v>Tratando</c:v>
                </c:pt>
              </c:strCache>
            </c:strRef>
          </c:cat>
          <c:val>
            <c:numRef>
              <c:f>Dashboard!$Q$59:$S$59</c:f>
              <c:numCache>
                <c:formatCode>0%</c:formatCode>
                <c:ptCount val="3"/>
                <c:pt idx="0">
                  <c:v>0.8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3138632"/>
        <c:axId val="243138240"/>
      </c:barChart>
      <c:valAx>
        <c:axId val="2431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138632"/>
        <c:crosses val="autoZero"/>
        <c:crossBetween val="between"/>
      </c:valAx>
      <c:catAx>
        <c:axId val="243138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13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815754589900877E-2"/>
          <c:w val="0.99198366511026681"/>
          <c:h val="0.776798795704464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Dashboard!$T$57:$U$57</c:f>
              <c:strCache>
                <c:ptCount val="2"/>
                <c:pt idx="0">
                  <c:v>1º Contato</c:v>
                </c:pt>
                <c:pt idx="1">
                  <c:v>2º Contato</c:v>
                </c:pt>
              </c:strCache>
            </c:strRef>
          </c:cat>
          <c:val>
            <c:numRef>
              <c:f>Dashboard!$T$59:$U$59</c:f>
              <c:numCache>
                <c:formatCode>0%</c:formatCode>
                <c:ptCount val="2"/>
                <c:pt idx="0">
                  <c:v>0.66</c:v>
                </c:pt>
                <c:pt idx="1">
                  <c:v>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2895264"/>
        <c:axId val="242895656"/>
      </c:barChart>
      <c:valAx>
        <c:axId val="24289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895264"/>
        <c:crosses val="autoZero"/>
        <c:crossBetween val="between"/>
      </c:valAx>
      <c:catAx>
        <c:axId val="242895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89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815754589900877E-2"/>
          <c:w val="0.99198366511026681"/>
          <c:h val="0.776798795704464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  <a:effectLst/>
            </c:spPr>
          </c:dPt>
          <c:cat>
            <c:strRef>
              <c:f>Dashboard!$C$57:$E$57</c:f>
              <c:strCache>
                <c:ptCount val="3"/>
                <c:pt idx="0">
                  <c:v>Aprovadas</c:v>
                </c:pt>
                <c:pt idx="1">
                  <c:v>Reprovadas</c:v>
                </c:pt>
                <c:pt idx="2">
                  <c:v>Tratando</c:v>
                </c:pt>
              </c:strCache>
            </c:strRef>
          </c:cat>
          <c:val>
            <c:numRef>
              <c:f>Dashboard!$C$59:$E$59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0.43</c:v>
                </c:pt>
                <c:pt idx="2">
                  <c:v>0.28999999999999998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2894480"/>
        <c:axId val="242897224"/>
      </c:barChart>
      <c:valAx>
        <c:axId val="24289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894480"/>
        <c:crosses val="autoZero"/>
        <c:crossBetween val="between"/>
      </c:valAx>
      <c:catAx>
        <c:axId val="24289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897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190500</xdr:rowOff>
    </xdr:from>
    <xdr:to>
      <xdr:col>6</xdr:col>
      <xdr:colOff>647850</xdr:colOff>
      <xdr:row>11</xdr:row>
      <xdr:rowOff>161925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</xdr:row>
      <xdr:rowOff>0</xdr:rowOff>
    </xdr:from>
    <xdr:to>
      <xdr:col>13</xdr:col>
      <xdr:colOff>664350</xdr:colOff>
      <xdr:row>11</xdr:row>
      <xdr:rowOff>161925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9526</xdr:colOff>
      <xdr:row>3</xdr:row>
      <xdr:rowOff>0</xdr:rowOff>
    </xdr:from>
    <xdr:to>
      <xdr:col>20</xdr:col>
      <xdr:colOff>635776</xdr:colOff>
      <xdr:row>11</xdr:row>
      <xdr:rowOff>161925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6</xdr:col>
      <xdr:colOff>600075</xdr:colOff>
      <xdr:row>64</xdr:row>
      <xdr:rowOff>127500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</xdr:colOff>
      <xdr:row>59</xdr:row>
      <xdr:rowOff>1</xdr:rowOff>
    </xdr:from>
    <xdr:to>
      <xdr:col>10</xdr:col>
      <xdr:colOff>647700</xdr:colOff>
      <xdr:row>64</xdr:row>
      <xdr:rowOff>127501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59</xdr:row>
      <xdr:rowOff>0</xdr:rowOff>
    </xdr:from>
    <xdr:to>
      <xdr:col>13</xdr:col>
      <xdr:colOff>619125</xdr:colOff>
      <xdr:row>64</xdr:row>
      <xdr:rowOff>127500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47625</xdr:colOff>
      <xdr:row>59</xdr:row>
      <xdr:rowOff>1</xdr:rowOff>
    </xdr:from>
    <xdr:to>
      <xdr:col>17</xdr:col>
      <xdr:colOff>647700</xdr:colOff>
      <xdr:row>64</xdr:row>
      <xdr:rowOff>127501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19050</xdr:colOff>
      <xdr:row>59</xdr:row>
      <xdr:rowOff>0</xdr:rowOff>
    </xdr:from>
    <xdr:to>
      <xdr:col>20</xdr:col>
      <xdr:colOff>619125</xdr:colOff>
      <xdr:row>64</xdr:row>
      <xdr:rowOff>127500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38100</xdr:colOff>
      <xdr:row>59</xdr:row>
      <xdr:rowOff>0</xdr:rowOff>
    </xdr:from>
    <xdr:to>
      <xdr:col>3</xdr:col>
      <xdr:colOff>638175</xdr:colOff>
      <xdr:row>64</xdr:row>
      <xdr:rowOff>127500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</xdr:row>
      <xdr:rowOff>1</xdr:rowOff>
    </xdr:from>
    <xdr:to>
      <xdr:col>6</xdr:col>
      <xdr:colOff>647850</xdr:colOff>
      <xdr:row>19</xdr:row>
      <xdr:rowOff>171451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13</xdr:row>
      <xdr:rowOff>1</xdr:rowOff>
    </xdr:from>
    <xdr:to>
      <xdr:col>13</xdr:col>
      <xdr:colOff>647850</xdr:colOff>
      <xdr:row>19</xdr:row>
      <xdr:rowOff>171451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13</xdr:row>
      <xdr:rowOff>1</xdr:rowOff>
    </xdr:from>
    <xdr:to>
      <xdr:col>20</xdr:col>
      <xdr:colOff>647850</xdr:colOff>
      <xdr:row>19</xdr:row>
      <xdr:rowOff>171451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70</xdr:row>
      <xdr:rowOff>38100</xdr:rowOff>
    </xdr:from>
    <xdr:to>
      <xdr:col>10</xdr:col>
      <xdr:colOff>619125</xdr:colOff>
      <xdr:row>84</xdr:row>
      <xdr:rowOff>114300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70</xdr:row>
      <xdr:rowOff>38100</xdr:rowOff>
    </xdr:from>
    <xdr:to>
      <xdr:col>21</xdr:col>
      <xdr:colOff>9525</xdr:colOff>
      <xdr:row>84</xdr:row>
      <xdr:rowOff>114300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85</xdr:row>
      <xdr:rowOff>0</xdr:rowOff>
    </xdr:from>
    <xdr:to>
      <xdr:col>21</xdr:col>
      <xdr:colOff>28575</xdr:colOff>
      <xdr:row>97</xdr:row>
      <xdr:rowOff>28575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10</xdr:col>
      <xdr:colOff>638175</xdr:colOff>
      <xdr:row>97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657225</xdr:colOff>
      <xdr:row>21</xdr:row>
      <xdr:rowOff>76200</xdr:rowOff>
    </xdr:from>
    <xdr:to>
      <xdr:col>23</xdr:col>
      <xdr:colOff>457200</xdr:colOff>
      <xdr:row>28</xdr:row>
      <xdr:rowOff>66675</xdr:rowOff>
    </xdr:to>
    <xdr:sp macro="" textlink="">
      <xdr:nvSpPr>
        <xdr:cNvPr id="2" name="Texto explicativo em seta para a esquerda 1"/>
        <xdr:cNvSpPr/>
      </xdr:nvSpPr>
      <xdr:spPr>
        <a:xfrm>
          <a:off x="12077700" y="3810000"/>
          <a:ext cx="1657350" cy="1171575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RGN16</a:t>
          </a:r>
          <a:endParaRPr lang="pt-BR" sz="2000"/>
        </a:p>
      </xdr:txBody>
    </xdr:sp>
    <xdr:clientData/>
  </xdr:twoCellAnchor>
  <xdr:twoCellAnchor>
    <xdr:from>
      <xdr:col>21</xdr:col>
      <xdr:colOff>57150</xdr:colOff>
      <xdr:row>11</xdr:row>
      <xdr:rowOff>114300</xdr:rowOff>
    </xdr:from>
    <xdr:to>
      <xdr:col>23</xdr:col>
      <xdr:colOff>523875</xdr:colOff>
      <xdr:row>18</xdr:row>
      <xdr:rowOff>76200</xdr:rowOff>
    </xdr:to>
    <xdr:sp macro="" textlink="">
      <xdr:nvSpPr>
        <xdr:cNvPr id="28" name="Texto explicativo em seta para a esquerda 27"/>
        <xdr:cNvSpPr/>
      </xdr:nvSpPr>
      <xdr:spPr>
        <a:xfrm>
          <a:off x="12144375" y="2209800"/>
          <a:ext cx="1657350" cy="1171575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RGN14</a:t>
          </a:r>
          <a:endParaRPr lang="pt-BR" sz="2000"/>
        </a:p>
      </xdr:txBody>
    </xdr:sp>
    <xdr:clientData/>
  </xdr:twoCellAnchor>
  <xdr:twoCellAnchor>
    <xdr:from>
      <xdr:col>21</xdr:col>
      <xdr:colOff>28575</xdr:colOff>
      <xdr:row>3</xdr:row>
      <xdr:rowOff>57150</xdr:rowOff>
    </xdr:from>
    <xdr:to>
      <xdr:col>23</xdr:col>
      <xdr:colOff>495300</xdr:colOff>
      <xdr:row>9</xdr:row>
      <xdr:rowOff>85725</xdr:rowOff>
    </xdr:to>
    <xdr:sp macro="" textlink="">
      <xdr:nvSpPr>
        <xdr:cNvPr id="29" name="Texto explicativo em seta para a esquerda 28"/>
        <xdr:cNvSpPr/>
      </xdr:nvSpPr>
      <xdr:spPr>
        <a:xfrm>
          <a:off x="12115800" y="628650"/>
          <a:ext cx="1657350" cy="1171575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RGN14</a:t>
          </a:r>
          <a:endParaRPr lang="pt-BR" sz="2000"/>
        </a:p>
      </xdr:txBody>
    </xdr:sp>
    <xdr:clientData/>
  </xdr:twoCellAnchor>
  <xdr:twoCellAnchor>
    <xdr:from>
      <xdr:col>6</xdr:col>
      <xdr:colOff>266700</xdr:colOff>
      <xdr:row>45</xdr:row>
      <xdr:rowOff>19050</xdr:rowOff>
    </xdr:from>
    <xdr:to>
      <xdr:col>9</xdr:col>
      <xdr:colOff>561975</xdr:colOff>
      <xdr:row>52</xdr:row>
      <xdr:rowOff>57150</xdr:rowOff>
    </xdr:to>
    <xdr:sp macro="" textlink="">
      <xdr:nvSpPr>
        <xdr:cNvPr id="30" name="Texto explicativo em seta para a esquerda 29"/>
        <xdr:cNvSpPr/>
      </xdr:nvSpPr>
      <xdr:spPr>
        <a:xfrm>
          <a:off x="3629025" y="7581900"/>
          <a:ext cx="1657350" cy="1171575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RGN16</a:t>
          </a:r>
          <a:endParaRPr lang="pt-BR" sz="2000"/>
        </a:p>
      </xdr:txBody>
    </xdr:sp>
    <xdr:clientData/>
  </xdr:twoCellAnchor>
  <xdr:twoCellAnchor>
    <xdr:from>
      <xdr:col>20</xdr:col>
      <xdr:colOff>647700</xdr:colOff>
      <xdr:row>29</xdr:row>
      <xdr:rowOff>19050</xdr:rowOff>
    </xdr:from>
    <xdr:to>
      <xdr:col>23</xdr:col>
      <xdr:colOff>447675</xdr:colOff>
      <xdr:row>36</xdr:row>
      <xdr:rowOff>57150</xdr:rowOff>
    </xdr:to>
    <xdr:sp macro="" textlink="">
      <xdr:nvSpPr>
        <xdr:cNvPr id="31" name="Texto explicativo em seta para a esquerda 30"/>
        <xdr:cNvSpPr/>
      </xdr:nvSpPr>
      <xdr:spPr>
        <a:xfrm>
          <a:off x="12068175" y="5095875"/>
          <a:ext cx="1657350" cy="1171575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RGN14</a:t>
          </a:r>
          <a:endParaRPr lang="pt-BR" sz="2000"/>
        </a:p>
      </xdr:txBody>
    </xdr:sp>
    <xdr:clientData/>
  </xdr:twoCellAnchor>
  <xdr:twoCellAnchor>
    <xdr:from>
      <xdr:col>21</xdr:col>
      <xdr:colOff>38100</xdr:colOff>
      <xdr:row>42</xdr:row>
      <xdr:rowOff>152400</xdr:rowOff>
    </xdr:from>
    <xdr:to>
      <xdr:col>23</xdr:col>
      <xdr:colOff>504825</xdr:colOff>
      <xdr:row>50</xdr:row>
      <xdr:rowOff>28575</xdr:rowOff>
    </xdr:to>
    <xdr:sp macro="" textlink="">
      <xdr:nvSpPr>
        <xdr:cNvPr id="32" name="Texto explicativo em seta para a esquerda 31"/>
        <xdr:cNvSpPr/>
      </xdr:nvSpPr>
      <xdr:spPr>
        <a:xfrm>
          <a:off x="12125325" y="7229475"/>
          <a:ext cx="1657350" cy="1171575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RGN16</a:t>
          </a:r>
          <a:endParaRPr lang="pt-BR" sz="2000"/>
        </a:p>
      </xdr:txBody>
    </xdr:sp>
    <xdr:clientData/>
  </xdr:twoCellAnchor>
  <xdr:twoCellAnchor>
    <xdr:from>
      <xdr:col>21</xdr:col>
      <xdr:colOff>0</xdr:colOff>
      <xdr:row>55</xdr:row>
      <xdr:rowOff>114300</xdr:rowOff>
    </xdr:from>
    <xdr:to>
      <xdr:col>23</xdr:col>
      <xdr:colOff>466725</xdr:colOff>
      <xdr:row>63</xdr:row>
      <xdr:rowOff>57150</xdr:rowOff>
    </xdr:to>
    <xdr:sp macro="" textlink="">
      <xdr:nvSpPr>
        <xdr:cNvPr id="33" name="Texto explicativo em seta para a esquerda 32"/>
        <xdr:cNvSpPr/>
      </xdr:nvSpPr>
      <xdr:spPr>
        <a:xfrm>
          <a:off x="12087225" y="9191625"/>
          <a:ext cx="1657350" cy="1171575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RGN16</a:t>
          </a:r>
          <a:endParaRPr lang="pt-BR" sz="2000"/>
        </a:p>
      </xdr:txBody>
    </xdr:sp>
    <xdr:clientData/>
  </xdr:twoCellAnchor>
  <xdr:twoCellAnchor>
    <xdr:from>
      <xdr:col>21</xdr:col>
      <xdr:colOff>38100</xdr:colOff>
      <xdr:row>73</xdr:row>
      <xdr:rowOff>114300</xdr:rowOff>
    </xdr:from>
    <xdr:to>
      <xdr:col>23</xdr:col>
      <xdr:colOff>504825</xdr:colOff>
      <xdr:row>79</xdr:row>
      <xdr:rowOff>142875</xdr:rowOff>
    </xdr:to>
    <xdr:sp macro="" textlink="">
      <xdr:nvSpPr>
        <xdr:cNvPr id="34" name="Texto explicativo em seta para a esquerda 33"/>
        <xdr:cNvSpPr/>
      </xdr:nvSpPr>
      <xdr:spPr>
        <a:xfrm>
          <a:off x="12125325" y="12096750"/>
          <a:ext cx="1657350" cy="1171575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RGN16</a:t>
          </a:r>
          <a:endParaRPr lang="pt-BR" sz="2000"/>
        </a:p>
      </xdr:txBody>
    </xdr:sp>
    <xdr:clientData/>
  </xdr:twoCellAnchor>
  <xdr:twoCellAnchor>
    <xdr:from>
      <xdr:col>21</xdr:col>
      <xdr:colOff>38100</xdr:colOff>
      <xdr:row>87</xdr:row>
      <xdr:rowOff>114300</xdr:rowOff>
    </xdr:from>
    <xdr:to>
      <xdr:col>23</xdr:col>
      <xdr:colOff>504825</xdr:colOff>
      <xdr:row>93</xdr:row>
      <xdr:rowOff>142875</xdr:rowOff>
    </xdr:to>
    <xdr:sp macro="" textlink="">
      <xdr:nvSpPr>
        <xdr:cNvPr id="35" name="Texto explicativo em seta para a esquerda 34"/>
        <xdr:cNvSpPr/>
      </xdr:nvSpPr>
      <xdr:spPr>
        <a:xfrm>
          <a:off x="12125325" y="14763750"/>
          <a:ext cx="1657350" cy="1171575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RGN16</a:t>
          </a:r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33337</xdr:rowOff>
    </xdr:from>
    <xdr:to>
      <xdr:col>3</xdr:col>
      <xdr:colOff>190500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581024</xdr:colOff>
      <xdr:row>12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</xdr:row>
      <xdr:rowOff>57150</xdr:rowOff>
    </xdr:from>
    <xdr:to>
      <xdr:col>20</xdr:col>
      <xdr:colOff>285750</xdr:colOff>
      <xdr:row>21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300600\AppData\Local\Microsoft\Windows\Temporary%20Internet%20Files\Content.Outlook\2ZV4WBTZ\Acompanhamento%20Mov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</sheetNames>
    <sheetDataSet>
      <sheetData sheetId="0">
        <row r="1">
          <cell r="B1" t="str">
            <v>RR02</v>
          </cell>
          <cell r="C1" t="str">
            <v>RR04</v>
          </cell>
          <cell r="F1" t="str">
            <v>% derivação  - Total cas</v>
          </cell>
          <cell r="G1" t="str">
            <v>Meta</v>
          </cell>
        </row>
        <row r="2">
          <cell r="A2" t="str">
            <v>04/12/2017</v>
          </cell>
          <cell r="B2">
            <v>2509</v>
          </cell>
          <cell r="C2">
            <v>2356</v>
          </cell>
          <cell r="F2">
            <v>2.9285998408910104E-2</v>
          </cell>
          <cell r="G2">
            <v>2.9366871393866515E-2</v>
          </cell>
        </row>
        <row r="3">
          <cell r="A3" t="str">
            <v>05/12/2017</v>
          </cell>
          <cell r="B3">
            <v>2198</v>
          </cell>
          <cell r="C3">
            <v>2208</v>
          </cell>
          <cell r="F3">
            <v>2.779211298098103E-2</v>
          </cell>
          <cell r="G3">
            <v>2.9366871393866515E-2</v>
          </cell>
        </row>
        <row r="4">
          <cell r="A4" t="str">
            <v>06/12/2017</v>
          </cell>
          <cell r="B4">
            <v>2196</v>
          </cell>
          <cell r="C4">
            <v>2042</v>
          </cell>
          <cell r="F4">
            <v>2.5860868023454615E-2</v>
          </cell>
          <cell r="G4">
            <v>2.9366871393866515E-2</v>
          </cell>
        </row>
        <row r="5">
          <cell r="A5" t="str">
            <v>07/12/2017</v>
          </cell>
          <cell r="B5">
            <v>2269</v>
          </cell>
          <cell r="C5">
            <v>2134</v>
          </cell>
          <cell r="F5">
            <v>2.7024288934478131E-2</v>
          </cell>
          <cell r="G5">
            <v>2.9366871393866515E-2</v>
          </cell>
        </row>
        <row r="6">
          <cell r="A6" t="str">
            <v>08/12/2017</v>
          </cell>
          <cell r="B6">
            <v>1962</v>
          </cell>
          <cell r="C6">
            <v>1846</v>
          </cell>
          <cell r="F6">
            <v>2.728750923872875E-2</v>
          </cell>
          <cell r="G6">
            <v>2.9366871393866515E-2</v>
          </cell>
        </row>
        <row r="7">
          <cell r="A7" t="str">
            <v>11/12/2017</v>
          </cell>
          <cell r="B7">
            <v>2255</v>
          </cell>
          <cell r="C7">
            <v>2304</v>
          </cell>
          <cell r="F7">
            <v>2.8528621488094499E-2</v>
          </cell>
          <cell r="G7">
            <v>2.9366871393866515E-2</v>
          </cell>
        </row>
        <row r="8">
          <cell r="A8" t="str">
            <v>12/12/2017</v>
          </cell>
          <cell r="B8">
            <v>2108</v>
          </cell>
          <cell r="C8">
            <v>2325</v>
          </cell>
          <cell r="F8">
            <v>2.8788647986032864E-2</v>
          </cell>
          <cell r="G8">
            <v>2.9366871393866515E-2</v>
          </cell>
        </row>
        <row r="9">
          <cell r="A9" t="str">
            <v>13/12/2017</v>
          </cell>
          <cell r="B9">
            <v>2372</v>
          </cell>
          <cell r="C9">
            <v>2142</v>
          </cell>
          <cell r="F9">
            <v>2.6394588000443607E-2</v>
          </cell>
          <cell r="G9">
            <v>2.9366871393866515E-2</v>
          </cell>
        </row>
        <row r="10">
          <cell r="A10" t="str">
            <v>14/12/2017</v>
          </cell>
          <cell r="B10">
            <v>2208</v>
          </cell>
          <cell r="C10">
            <v>2227</v>
          </cell>
          <cell r="F10">
            <v>2.8535550914239587E-2</v>
          </cell>
          <cell r="G10">
            <v>2.9366871393866515E-2</v>
          </cell>
        </row>
        <row r="11">
          <cell r="A11" t="str">
            <v>15/12/2017</v>
          </cell>
          <cell r="B11">
            <v>2015</v>
          </cell>
          <cell r="C11">
            <v>2314</v>
          </cell>
          <cell r="F11">
            <v>3.2765993599728128E-2</v>
          </cell>
          <cell r="G11">
            <v>2.9366871393866515E-2</v>
          </cell>
        </row>
        <row r="12">
          <cell r="A12" t="str">
            <v>18/12/2017</v>
          </cell>
          <cell r="B12">
            <v>2173</v>
          </cell>
          <cell r="C12">
            <v>2363</v>
          </cell>
          <cell r="F12">
            <v>3.062785151389465E-2</v>
          </cell>
          <cell r="G12">
            <v>2.9366871393866515E-2</v>
          </cell>
        </row>
        <row r="13">
          <cell r="A13" t="str">
            <v>19/12/2017</v>
          </cell>
          <cell r="B13">
            <v>1988</v>
          </cell>
          <cell r="C13">
            <v>3028</v>
          </cell>
          <cell r="F13">
            <v>3.951042563741225E-2</v>
          </cell>
          <cell r="G13">
            <v>2.9366871393866515E-2</v>
          </cell>
        </row>
        <row r="14">
          <cell r="A14" t="str">
            <v>20/12/2017</v>
          </cell>
          <cell r="B14">
            <v>2070</v>
          </cell>
          <cell r="C14">
            <v>4169</v>
          </cell>
          <cell r="F14">
            <v>5.48978812499177E-2</v>
          </cell>
          <cell r="G14">
            <v>2.9366871393866515E-2</v>
          </cell>
        </row>
        <row r="15">
          <cell r="A15" t="str">
            <v>21/12/2017</v>
          </cell>
          <cell r="B15">
            <v>2102</v>
          </cell>
          <cell r="C15">
            <v>4065</v>
          </cell>
          <cell r="F15">
            <v>5.4423499169924491E-2</v>
          </cell>
          <cell r="G15">
            <v>2.9366871393866515E-2</v>
          </cell>
        </row>
        <row r="16">
          <cell r="A16" t="str">
            <v>22/12/2017</v>
          </cell>
          <cell r="B16">
            <v>1989</v>
          </cell>
          <cell r="C16">
            <v>3418</v>
          </cell>
          <cell r="F16">
            <v>5.2604848018468639E-2</v>
          </cell>
          <cell r="G16">
            <v>2.9366871393866515E-2</v>
          </cell>
        </row>
        <row r="17">
          <cell r="A17" t="str">
            <v>26/12/2017</v>
          </cell>
          <cell r="B17">
            <v>2177</v>
          </cell>
          <cell r="C17">
            <v>4126</v>
          </cell>
          <cell r="F17">
            <v>5.6869555629066051E-2</v>
          </cell>
          <cell r="G17">
            <v>2.9366871393866515E-2</v>
          </cell>
        </row>
        <row r="18">
          <cell r="A18" t="str">
            <v>27/12/2017</v>
          </cell>
          <cell r="B18">
            <v>1873</v>
          </cell>
          <cell r="C18">
            <v>6090</v>
          </cell>
          <cell r="F18">
            <v>7.7939030945250704E-2</v>
          </cell>
          <cell r="G18">
            <v>2.9366871393866515E-2</v>
          </cell>
        </row>
        <row r="19">
          <cell r="A19" t="str">
            <v>28/12/2017</v>
          </cell>
          <cell r="B19">
            <v>2011</v>
          </cell>
          <cell r="C19">
            <v>4658</v>
          </cell>
          <cell r="F19">
            <v>6.4174806772935813E-2</v>
          </cell>
          <cell r="G19">
            <v>2.9366871393866515E-2</v>
          </cell>
        </row>
        <row r="20">
          <cell r="A20" t="str">
            <v>29/12/2017</v>
          </cell>
          <cell r="B20">
            <v>1777</v>
          </cell>
          <cell r="C20">
            <v>3580</v>
          </cell>
          <cell r="F20">
            <v>6.1484560162126882E-2</v>
          </cell>
          <cell r="G20">
            <v>2.9366871393866515E-2</v>
          </cell>
        </row>
        <row r="21">
          <cell r="A21" t="str">
            <v>02/01/2018</v>
          </cell>
          <cell r="B21">
            <v>1844</v>
          </cell>
          <cell r="C21">
            <v>3840</v>
          </cell>
          <cell r="F21">
            <v>5.471722310092763E-2</v>
          </cell>
          <cell r="G21">
            <v>2.9366871393866515E-2</v>
          </cell>
        </row>
        <row r="22">
          <cell r="A22" t="str">
            <v>03/01/2018</v>
          </cell>
          <cell r="B22">
            <v>2163</v>
          </cell>
          <cell r="C22">
            <v>4604</v>
          </cell>
          <cell r="F22">
            <v>5.8115903611416164E-2</v>
          </cell>
          <cell r="G22">
            <v>2.9366871393866515E-2</v>
          </cell>
        </row>
        <row r="23">
          <cell r="A23" t="str">
            <v>04/01/2018</v>
          </cell>
          <cell r="B23">
            <v>2213</v>
          </cell>
          <cell r="C23">
            <v>3982</v>
          </cell>
          <cell r="F23">
            <v>5.0520172545039328E-2</v>
          </cell>
          <cell r="G23">
            <v>2.9366871393866515E-2</v>
          </cell>
        </row>
        <row r="24">
          <cell r="A24" t="str">
            <v>05/01/2018</v>
          </cell>
          <cell r="B24">
            <v>2085</v>
          </cell>
          <cell r="C24">
            <v>3574</v>
          </cell>
          <cell r="F24">
            <v>4.5580920800918252E-2</v>
          </cell>
          <cell r="G24">
            <v>2.9366871393866515E-2</v>
          </cell>
        </row>
        <row r="25">
          <cell r="A25" t="str">
            <v>08/01/2018</v>
          </cell>
          <cell r="B25">
            <v>2159</v>
          </cell>
          <cell r="C25">
            <v>3666</v>
          </cell>
          <cell r="F25">
            <v>4.4988771215040434E-2</v>
          </cell>
          <cell r="G25">
            <v>2.9366871393866515E-2</v>
          </cell>
        </row>
        <row r="26">
          <cell r="A26">
            <v>43109</v>
          </cell>
          <cell r="B26">
            <v>2135</v>
          </cell>
          <cell r="C26">
            <v>3438</v>
          </cell>
          <cell r="F26">
            <v>4.2361812760294736E-2</v>
          </cell>
          <cell r="G26">
            <v>2.9366871393866515E-2</v>
          </cell>
        </row>
        <row r="27">
          <cell r="A27">
            <v>43110</v>
          </cell>
          <cell r="B27">
            <v>2290</v>
          </cell>
          <cell r="C27">
            <v>3749</v>
          </cell>
          <cell r="F27">
            <v>4.5272856815080489E-2</v>
          </cell>
          <cell r="G27">
            <v>2.9366871393866515E-2</v>
          </cell>
        </row>
        <row r="28">
          <cell r="A28">
            <v>43111</v>
          </cell>
          <cell r="B28">
            <v>2158</v>
          </cell>
          <cell r="C28">
            <v>3179</v>
          </cell>
          <cell r="F28">
            <v>4.1542522607286601E-2</v>
          </cell>
          <cell r="G28">
            <v>2.9366871393866515E-2</v>
          </cell>
        </row>
        <row r="29">
          <cell r="A29">
            <v>43112</v>
          </cell>
          <cell r="B29">
            <v>2107</v>
          </cell>
          <cell r="C29">
            <v>3611</v>
          </cell>
          <cell r="F29">
            <v>4.6919258855019359E-2</v>
          </cell>
          <cell r="G29">
            <v>2.9366871393866515E-2</v>
          </cell>
        </row>
        <row r="30">
          <cell r="A30">
            <v>43115</v>
          </cell>
          <cell r="B30">
            <v>2269</v>
          </cell>
          <cell r="C30">
            <v>3700</v>
          </cell>
          <cell r="F30">
            <v>4.5313150611115197E-2</v>
          </cell>
          <cell r="G30">
            <v>2.9366871393866515E-2</v>
          </cell>
        </row>
        <row r="31">
          <cell r="A31">
            <v>43116</v>
          </cell>
          <cell r="B31">
            <v>2239</v>
          </cell>
          <cell r="C31">
            <v>3074</v>
          </cell>
          <cell r="F31">
            <v>3.6123482613958188E-2</v>
          </cell>
          <cell r="G31">
            <v>2.9366871393866515E-2</v>
          </cell>
        </row>
        <row r="32">
          <cell r="A32">
            <v>43117</v>
          </cell>
          <cell r="B32">
            <v>2510</v>
          </cell>
          <cell r="C32">
            <v>3538</v>
          </cell>
          <cell r="F32">
            <v>4.2317537018874245E-2</v>
          </cell>
          <cell r="G32">
            <v>2.9366871393866515E-2</v>
          </cell>
        </row>
        <row r="33">
          <cell r="A33">
            <v>43118</v>
          </cell>
          <cell r="B33">
            <v>2421</v>
          </cell>
          <cell r="C33">
            <v>3500</v>
          </cell>
          <cell r="F33">
            <v>4.2316527626647324E-2</v>
          </cell>
          <cell r="G33">
            <v>2.9366871393866515E-2</v>
          </cell>
        </row>
        <row r="34">
          <cell r="A34">
            <v>43119</v>
          </cell>
          <cell r="B34">
            <v>2041</v>
          </cell>
          <cell r="C34">
            <v>3153</v>
          </cell>
          <cell r="F34">
            <v>3.9651399683090623E-2</v>
          </cell>
          <cell r="G34">
            <v>2.9366871393866515E-2</v>
          </cell>
        </row>
        <row r="35">
          <cell r="A35">
            <v>43122</v>
          </cell>
          <cell r="B35">
            <v>2093</v>
          </cell>
          <cell r="C35">
            <v>3996</v>
          </cell>
          <cell r="F35">
            <v>4.7317939609236234E-2</v>
          </cell>
          <cell r="G35">
            <v>2.9366871393866515E-2</v>
          </cell>
        </row>
        <row r="36">
          <cell r="A36">
            <v>43123</v>
          </cell>
          <cell r="B36">
            <v>1996</v>
          </cell>
          <cell r="C36">
            <v>3867</v>
          </cell>
          <cell r="F36">
            <v>4.5813735827597235E-2</v>
          </cell>
          <cell r="G36">
            <v>2.9366871393866515E-2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8"/>
  <sheetViews>
    <sheetView showGridLines="0" tabSelected="1" topLeftCell="E1" workbookViewId="0">
      <selection activeCell="W58" sqref="W58"/>
    </sheetView>
  </sheetViews>
  <sheetFormatPr defaultRowHeight="15" x14ac:dyDescent="0.25"/>
  <cols>
    <col min="1" max="1" width="0.42578125" customWidth="1"/>
    <col min="2" max="7" width="10" customWidth="1"/>
    <col min="8" max="8" width="0.42578125" customWidth="1"/>
    <col min="9" max="14" width="10" customWidth="1"/>
    <col min="15" max="15" width="0.42578125" customWidth="1"/>
    <col min="16" max="21" width="10" customWidth="1"/>
    <col min="22" max="22" width="8.7109375" customWidth="1"/>
  </cols>
  <sheetData>
    <row r="1" spans="1:25" ht="24" customHeight="1" x14ac:dyDescent="0.25">
      <c r="A1" s="4"/>
      <c r="B1" s="8" t="s">
        <v>121</v>
      </c>
      <c r="C1" s="4"/>
      <c r="D1" s="4"/>
      <c r="E1" s="4"/>
      <c r="F1" s="67" t="s">
        <v>184</v>
      </c>
      <c r="G1" s="109" t="s">
        <v>122</v>
      </c>
      <c r="H1" s="4"/>
      <c r="I1" s="66">
        <v>43139</v>
      </c>
      <c r="J1" s="4"/>
      <c r="K1" s="4"/>
      <c r="L1" s="57"/>
      <c r="M1" s="64"/>
      <c r="N1" s="64"/>
      <c r="O1" s="64"/>
      <c r="P1" s="64"/>
      <c r="Q1" s="4"/>
      <c r="R1" s="4"/>
      <c r="S1" s="4"/>
      <c r="T1" s="4"/>
      <c r="U1" s="4"/>
      <c r="V1" s="4"/>
      <c r="W1" s="4"/>
      <c r="X1" s="4"/>
      <c r="Y1" s="4"/>
    </row>
    <row r="2" spans="1:25" ht="5.25" customHeight="1" x14ac:dyDescent="0.25">
      <c r="A2" s="4"/>
      <c r="B2" s="62"/>
      <c r="C2" s="4"/>
      <c r="D2" s="4"/>
      <c r="E2" s="4"/>
      <c r="F2" s="62"/>
      <c r="G2" s="57"/>
      <c r="H2" s="4"/>
      <c r="I2" s="64"/>
      <c r="J2" s="4"/>
      <c r="K2" s="4"/>
      <c r="L2" s="57"/>
      <c r="M2" s="63"/>
      <c r="N2" s="64"/>
      <c r="O2" s="64"/>
      <c r="P2" s="6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5">
      <c r="A3" s="4"/>
      <c r="B3" s="62"/>
      <c r="C3" s="4"/>
      <c r="D3" s="4"/>
      <c r="E3" s="4"/>
      <c r="F3" s="62"/>
      <c r="G3" s="57"/>
      <c r="H3" s="4"/>
      <c r="I3" s="107"/>
      <c r="J3" s="108" t="s">
        <v>183</v>
      </c>
      <c r="K3" s="79" t="s">
        <v>125</v>
      </c>
      <c r="L3" s="69"/>
      <c r="M3" s="70"/>
      <c r="N3" s="71"/>
      <c r="O3" s="71"/>
      <c r="P3" s="71"/>
      <c r="Q3" s="68"/>
      <c r="R3" s="68"/>
      <c r="S3" s="68"/>
      <c r="T3" s="68"/>
      <c r="U3" s="72"/>
      <c r="V3" s="4"/>
      <c r="W3" s="4"/>
      <c r="X3" s="4"/>
      <c r="Y3" s="4"/>
    </row>
    <row r="4" spans="1:25" x14ac:dyDescent="0.25">
      <c r="A4" s="4"/>
      <c r="B4" s="4"/>
      <c r="C4" s="4"/>
      <c r="D4" s="4"/>
      <c r="E4" s="4"/>
      <c r="F4" s="4"/>
      <c r="G4" s="4"/>
      <c r="H4" s="4"/>
      <c r="I4" s="73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5"/>
      <c r="V4" s="4"/>
      <c r="W4" s="4"/>
      <c r="X4" s="4"/>
      <c r="Y4" s="4"/>
    </row>
    <row r="5" spans="1:25" x14ac:dyDescent="0.25">
      <c r="A5" s="4"/>
      <c r="B5" s="4"/>
      <c r="C5" s="4"/>
      <c r="D5" s="4"/>
      <c r="E5" s="4"/>
      <c r="F5" s="4"/>
      <c r="G5" s="4"/>
      <c r="H5" s="4"/>
      <c r="I5" s="73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4"/>
      <c r="W5" s="4"/>
      <c r="X5" s="4"/>
      <c r="Y5" s="4"/>
    </row>
    <row r="6" spans="1:25" x14ac:dyDescent="0.25">
      <c r="A6" s="4"/>
      <c r="B6" s="4"/>
      <c r="C6" s="4"/>
      <c r="D6" s="4"/>
      <c r="E6" s="4"/>
      <c r="F6" s="4"/>
      <c r="G6" s="4"/>
      <c r="H6" s="4"/>
      <c r="I6" s="73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5"/>
      <c r="V6" s="4"/>
      <c r="W6" s="4"/>
      <c r="X6" s="4"/>
      <c r="Y6" s="4"/>
    </row>
    <row r="7" spans="1:25" x14ac:dyDescent="0.25">
      <c r="A7" s="4"/>
      <c r="B7" s="4"/>
      <c r="C7" s="4"/>
      <c r="D7" s="4"/>
      <c r="E7" s="4"/>
      <c r="F7" s="4"/>
      <c r="G7" s="4"/>
      <c r="H7" s="4"/>
      <c r="I7" s="73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5"/>
      <c r="V7" s="4"/>
      <c r="W7" s="4"/>
      <c r="X7" s="4"/>
      <c r="Y7" s="4"/>
    </row>
    <row r="8" spans="1:25" x14ac:dyDescent="0.25">
      <c r="A8" s="4"/>
      <c r="B8" s="4"/>
      <c r="C8" s="4"/>
      <c r="D8" s="4"/>
      <c r="E8" s="4"/>
      <c r="F8" s="4"/>
      <c r="G8" s="4"/>
      <c r="H8" s="4"/>
      <c r="I8" s="73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5"/>
      <c r="V8" s="4"/>
      <c r="W8" s="4"/>
      <c r="X8" s="4"/>
      <c r="Y8" s="4"/>
    </row>
    <row r="9" spans="1:25" x14ac:dyDescent="0.25">
      <c r="A9" s="4"/>
      <c r="B9" s="4"/>
      <c r="C9" s="4"/>
      <c r="D9" s="4"/>
      <c r="E9" s="4"/>
      <c r="F9" s="4"/>
      <c r="G9" s="4"/>
      <c r="H9" s="4"/>
      <c r="I9" s="73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5"/>
      <c r="V9" s="4"/>
      <c r="W9" s="4"/>
      <c r="X9" s="4"/>
      <c r="Y9" s="4"/>
    </row>
    <row r="10" spans="1:25" x14ac:dyDescent="0.25">
      <c r="A10" s="4"/>
      <c r="B10" s="4"/>
      <c r="C10" s="4"/>
      <c r="D10" s="4"/>
      <c r="E10" s="4"/>
      <c r="F10" s="4"/>
      <c r="G10" s="4"/>
      <c r="H10" s="4"/>
      <c r="I10" s="73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5"/>
      <c r="V10" s="4"/>
      <c r="W10" s="4"/>
      <c r="X10" s="4"/>
      <c r="Y10" s="4"/>
    </row>
    <row r="11" spans="1:25" x14ac:dyDescent="0.25">
      <c r="A11" s="4"/>
      <c r="B11" s="4"/>
      <c r="C11" s="4"/>
      <c r="D11" s="4"/>
      <c r="E11" s="4"/>
      <c r="F11" s="4"/>
      <c r="G11" s="4"/>
      <c r="H11" s="4"/>
      <c r="I11" s="73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5"/>
      <c r="V11" s="4"/>
      <c r="W11" s="4"/>
      <c r="X11" s="4"/>
      <c r="Y11" s="4"/>
    </row>
    <row r="12" spans="1:25" x14ac:dyDescent="0.25">
      <c r="A12" s="4"/>
      <c r="B12" s="4"/>
      <c r="C12" s="4"/>
      <c r="D12" s="4"/>
      <c r="E12" s="4"/>
      <c r="F12" s="4"/>
      <c r="G12" s="4"/>
      <c r="H12" s="4"/>
      <c r="I12" s="76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8"/>
      <c r="V12" s="4"/>
      <c r="W12" s="4"/>
      <c r="X12" s="4"/>
      <c r="Y12" s="4"/>
    </row>
    <row r="13" spans="1:25" ht="5.2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3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" customHeight="1" x14ac:dyDescent="0.25">
      <c r="A22" s="4"/>
      <c r="B22" s="30" t="s">
        <v>90</v>
      </c>
      <c r="C22" s="42"/>
      <c r="D22" s="42"/>
      <c r="E22" s="42"/>
      <c r="F22" s="42"/>
      <c r="G22" s="42"/>
      <c r="H22" s="42"/>
      <c r="I22" s="42"/>
      <c r="J22" s="42"/>
      <c r="K22" s="42"/>
      <c r="L22" s="89"/>
      <c r="M22" s="31"/>
      <c r="N22" s="31"/>
      <c r="O22" s="31"/>
      <c r="P22" s="31"/>
      <c r="Q22" s="31"/>
      <c r="R22" s="104" t="s">
        <v>163</v>
      </c>
      <c r="S22" s="105" t="s">
        <v>166</v>
      </c>
      <c r="T22" s="31"/>
      <c r="U22" s="32"/>
      <c r="V22" s="4"/>
      <c r="W22" s="4"/>
      <c r="X22" s="4"/>
      <c r="Y22" s="4"/>
    </row>
    <row r="23" spans="1:25" ht="15" customHeight="1" x14ac:dyDescent="0.25">
      <c r="A23" s="4"/>
      <c r="B23" s="30"/>
      <c r="C23" s="102">
        <f>COUNTA(C25:C37)</f>
        <v>13</v>
      </c>
      <c r="D23" s="42"/>
      <c r="E23" s="42"/>
      <c r="F23" s="42"/>
      <c r="G23" s="42"/>
      <c r="H23" s="42"/>
      <c r="I23" s="42"/>
      <c r="J23" s="42"/>
      <c r="K23" s="42"/>
      <c r="L23" s="89"/>
      <c r="M23" s="31"/>
      <c r="N23" s="31"/>
      <c r="O23" s="31"/>
      <c r="P23" s="31"/>
      <c r="Q23" s="31"/>
      <c r="R23" s="104" t="s">
        <v>167</v>
      </c>
      <c r="S23" s="89" t="s">
        <v>171</v>
      </c>
      <c r="T23" s="105" t="s">
        <v>169</v>
      </c>
      <c r="U23" s="32"/>
      <c r="V23" s="4"/>
      <c r="W23" s="4"/>
      <c r="X23" s="4"/>
      <c r="Y23" s="4"/>
    </row>
    <row r="24" spans="1:25" ht="12" customHeight="1" x14ac:dyDescent="0.25">
      <c r="A24" s="4"/>
      <c r="B24" s="12" t="s">
        <v>72</v>
      </c>
      <c r="C24" s="13" t="s">
        <v>56</v>
      </c>
      <c r="D24" s="13"/>
      <c r="E24" s="14" t="s">
        <v>57</v>
      </c>
      <c r="F24" s="14" t="s">
        <v>14</v>
      </c>
      <c r="G24" s="14" t="s">
        <v>73</v>
      </c>
      <c r="H24" s="14"/>
      <c r="I24" s="14" t="s">
        <v>16</v>
      </c>
      <c r="J24" s="14" t="s">
        <v>17</v>
      </c>
      <c r="K24" s="14" t="s">
        <v>18</v>
      </c>
      <c r="L24" s="14" t="s">
        <v>31</v>
      </c>
      <c r="M24" s="14" t="s">
        <v>138</v>
      </c>
      <c r="N24" s="14" t="s">
        <v>87</v>
      </c>
      <c r="O24" s="14"/>
      <c r="P24" s="14" t="s">
        <v>88</v>
      </c>
      <c r="Q24" s="14"/>
      <c r="R24" s="14" t="s">
        <v>137</v>
      </c>
      <c r="S24" s="14" t="s">
        <v>136</v>
      </c>
      <c r="T24" s="14" t="s">
        <v>145</v>
      </c>
      <c r="U24" s="15" t="s">
        <v>143</v>
      </c>
      <c r="V24" s="4"/>
      <c r="W24" s="4"/>
      <c r="X24" s="4"/>
      <c r="Y24" s="4"/>
    </row>
    <row r="25" spans="1:25" ht="12.95" customHeight="1" x14ac:dyDescent="0.25">
      <c r="A25" s="4"/>
      <c r="B25" s="16" t="s">
        <v>58</v>
      </c>
      <c r="C25" s="17" t="s">
        <v>74</v>
      </c>
      <c r="D25" s="17"/>
      <c r="E25" s="19">
        <v>216</v>
      </c>
      <c r="F25" s="19">
        <v>18</v>
      </c>
      <c r="G25" s="19">
        <v>92</v>
      </c>
      <c r="H25" s="19"/>
      <c r="I25" s="19">
        <v>42</v>
      </c>
      <c r="J25" s="19">
        <v>8</v>
      </c>
      <c r="K25" s="19">
        <v>56</v>
      </c>
      <c r="L25" s="20">
        <v>8.4606481481481494E-3</v>
      </c>
      <c r="M25" s="20" t="s">
        <v>139</v>
      </c>
      <c r="N25" s="26">
        <v>0.62</v>
      </c>
      <c r="O25" s="26"/>
      <c r="P25" s="35">
        <f>1-N25</f>
        <v>0.38</v>
      </c>
      <c r="Q25" s="35"/>
      <c r="R25" s="20">
        <v>5.7523148148148143E-3</v>
      </c>
      <c r="S25" s="20">
        <v>3.9236111111111112E-3</v>
      </c>
      <c r="T25" s="35" t="s">
        <v>146</v>
      </c>
      <c r="U25" s="40">
        <v>1</v>
      </c>
      <c r="V25" s="4"/>
      <c r="W25" s="4"/>
      <c r="X25" s="4"/>
      <c r="Y25" s="4"/>
    </row>
    <row r="26" spans="1:25" ht="12.95" customHeight="1" x14ac:dyDescent="0.25">
      <c r="A26" s="4"/>
      <c r="B26" s="16" t="s">
        <v>59</v>
      </c>
      <c r="C26" s="17" t="s">
        <v>75</v>
      </c>
      <c r="D26" s="17"/>
      <c r="E26" s="19">
        <v>211</v>
      </c>
      <c r="F26" s="19">
        <v>16</v>
      </c>
      <c r="G26" s="19">
        <v>88</v>
      </c>
      <c r="H26" s="19"/>
      <c r="I26" s="19">
        <v>37</v>
      </c>
      <c r="J26" s="19">
        <v>2</v>
      </c>
      <c r="K26" s="19">
        <v>68</v>
      </c>
      <c r="L26" s="20">
        <v>8.5069444444444437E-3</v>
      </c>
      <c r="M26" s="20" t="s">
        <v>139</v>
      </c>
      <c r="N26" s="26">
        <v>0.77</v>
      </c>
      <c r="O26" s="26"/>
      <c r="P26" s="35">
        <f t="shared" ref="P26:P36" si="0">1-N26</f>
        <v>0.22999999999999998</v>
      </c>
      <c r="Q26" s="35"/>
      <c r="R26" s="20">
        <v>3.6226851851851854E-3</v>
      </c>
      <c r="S26" s="20">
        <v>3.9814814814814817E-3</v>
      </c>
      <c r="T26" s="35" t="s">
        <v>147</v>
      </c>
      <c r="U26" s="40">
        <v>1</v>
      </c>
      <c r="V26" s="4"/>
      <c r="W26" s="4"/>
      <c r="X26" s="4"/>
      <c r="Y26" s="4"/>
    </row>
    <row r="27" spans="1:25" ht="12.95" customHeight="1" x14ac:dyDescent="0.25">
      <c r="A27" s="4"/>
      <c r="B27" s="16" t="s">
        <v>60</v>
      </c>
      <c r="C27" s="17" t="s">
        <v>76</v>
      </c>
      <c r="D27" s="17"/>
      <c r="E27" s="19">
        <v>210</v>
      </c>
      <c r="F27" s="19">
        <v>19</v>
      </c>
      <c r="G27" s="19">
        <v>94</v>
      </c>
      <c r="H27" s="19"/>
      <c r="I27" s="19">
        <v>39</v>
      </c>
      <c r="J27" s="19">
        <v>1</v>
      </c>
      <c r="K27" s="19">
        <v>57</v>
      </c>
      <c r="L27" s="20">
        <v>8.5879629629629622E-3</v>
      </c>
      <c r="M27" s="20" t="s">
        <v>139</v>
      </c>
      <c r="N27" s="26">
        <v>0.57999999999999996</v>
      </c>
      <c r="O27" s="26"/>
      <c r="P27" s="35">
        <f t="shared" si="0"/>
        <v>0.42000000000000004</v>
      </c>
      <c r="Q27" s="35"/>
      <c r="R27" s="20">
        <v>9.3981481481481485E-3</v>
      </c>
      <c r="S27" s="20">
        <v>4.0046296296296297E-3</v>
      </c>
      <c r="T27" s="35" t="s">
        <v>146</v>
      </c>
      <c r="U27" s="40">
        <v>0</v>
      </c>
      <c r="V27" s="4"/>
      <c r="W27" s="4"/>
      <c r="X27" s="4"/>
      <c r="Y27" s="4"/>
    </row>
    <row r="28" spans="1:25" ht="12.95" customHeight="1" x14ac:dyDescent="0.25">
      <c r="A28" s="4"/>
      <c r="B28" s="16" t="s">
        <v>61</v>
      </c>
      <c r="C28" s="17" t="s">
        <v>77</v>
      </c>
      <c r="D28" s="17"/>
      <c r="E28" s="19">
        <v>210</v>
      </c>
      <c r="F28" s="19">
        <v>17</v>
      </c>
      <c r="G28" s="19">
        <v>97</v>
      </c>
      <c r="H28" s="19"/>
      <c r="I28" s="19">
        <v>36</v>
      </c>
      <c r="J28" s="19">
        <v>0</v>
      </c>
      <c r="K28" s="19">
        <v>60</v>
      </c>
      <c r="L28" s="20">
        <v>8.6921296296296312E-3</v>
      </c>
      <c r="M28" s="20" t="s">
        <v>139</v>
      </c>
      <c r="N28" s="26">
        <v>0.82</v>
      </c>
      <c r="O28" s="26"/>
      <c r="P28" s="35">
        <f t="shared" si="0"/>
        <v>0.18000000000000005</v>
      </c>
      <c r="Q28" s="35"/>
      <c r="R28" s="20">
        <v>1.0659722222222221E-2</v>
      </c>
      <c r="S28" s="20">
        <v>4.0393518518518521E-3</v>
      </c>
      <c r="T28" s="35" t="s">
        <v>146</v>
      </c>
      <c r="U28" s="40">
        <v>1</v>
      </c>
      <c r="V28" s="4"/>
      <c r="W28" s="4"/>
      <c r="X28" s="4"/>
      <c r="Y28" s="4"/>
    </row>
    <row r="29" spans="1:25" ht="12.95" customHeight="1" x14ac:dyDescent="0.25">
      <c r="A29" s="4"/>
      <c r="B29" s="16" t="s">
        <v>62</v>
      </c>
      <c r="C29" s="17" t="s">
        <v>78</v>
      </c>
      <c r="D29" s="17"/>
      <c r="E29" s="19">
        <v>208</v>
      </c>
      <c r="F29" s="19">
        <v>12</v>
      </c>
      <c r="G29" s="19">
        <v>99</v>
      </c>
      <c r="H29" s="19"/>
      <c r="I29" s="19">
        <v>38</v>
      </c>
      <c r="J29" s="19">
        <v>5</v>
      </c>
      <c r="K29" s="19">
        <v>54</v>
      </c>
      <c r="L29" s="20">
        <v>8.9004629629629625E-3</v>
      </c>
      <c r="M29" s="20" t="s">
        <v>140</v>
      </c>
      <c r="N29" s="26">
        <v>0.68</v>
      </c>
      <c r="O29" s="26"/>
      <c r="P29" s="35">
        <f t="shared" si="0"/>
        <v>0.31999999999999995</v>
      </c>
      <c r="Q29" s="35"/>
      <c r="R29" s="20">
        <v>2.2337962962962962E-2</v>
      </c>
      <c r="S29" s="20">
        <v>4.0856481481481481E-3</v>
      </c>
      <c r="T29" s="35" t="s">
        <v>146</v>
      </c>
      <c r="U29" s="40">
        <v>1</v>
      </c>
      <c r="V29" s="4"/>
      <c r="W29" s="4"/>
      <c r="X29" s="4"/>
      <c r="Y29" s="4"/>
    </row>
    <row r="30" spans="1:25" ht="12.95" customHeight="1" x14ac:dyDescent="0.25">
      <c r="A30" s="4"/>
      <c r="B30" s="16" t="s">
        <v>63</v>
      </c>
      <c r="C30" s="17" t="s">
        <v>79</v>
      </c>
      <c r="D30" s="17"/>
      <c r="E30" s="19">
        <v>206</v>
      </c>
      <c r="F30" s="19">
        <v>10</v>
      </c>
      <c r="G30" s="19">
        <v>97</v>
      </c>
      <c r="H30" s="19"/>
      <c r="I30" s="19">
        <v>42</v>
      </c>
      <c r="J30" s="19">
        <v>0</v>
      </c>
      <c r="K30" s="19">
        <v>57</v>
      </c>
      <c r="L30" s="20">
        <v>8.9236111111111113E-3</v>
      </c>
      <c r="M30" s="20" t="s">
        <v>140</v>
      </c>
      <c r="N30" s="26">
        <v>0.67</v>
      </c>
      <c r="O30" s="26"/>
      <c r="P30" s="35">
        <f t="shared" si="0"/>
        <v>0.32999999999999996</v>
      </c>
      <c r="Q30" s="35"/>
      <c r="R30" s="20">
        <v>2.4189814814814816E-3</v>
      </c>
      <c r="S30" s="20">
        <v>4.0972222222222226E-3</v>
      </c>
      <c r="T30" s="35" t="s">
        <v>146</v>
      </c>
      <c r="U30" s="40">
        <v>0</v>
      </c>
      <c r="V30" s="4"/>
      <c r="W30" s="4"/>
      <c r="X30" s="4"/>
      <c r="Y30" s="4"/>
    </row>
    <row r="31" spans="1:25" ht="12.95" customHeight="1" x14ac:dyDescent="0.25">
      <c r="A31" s="4"/>
      <c r="B31" s="16" t="s">
        <v>64</v>
      </c>
      <c r="C31" s="17" t="s">
        <v>80</v>
      </c>
      <c r="D31" s="17"/>
      <c r="E31" s="19">
        <v>200</v>
      </c>
      <c r="F31" s="19">
        <v>0</v>
      </c>
      <c r="G31" s="19">
        <v>105</v>
      </c>
      <c r="H31" s="19"/>
      <c r="I31" s="19">
        <v>55</v>
      </c>
      <c r="J31" s="19">
        <v>4</v>
      </c>
      <c r="K31" s="19">
        <v>36</v>
      </c>
      <c r="L31" s="20">
        <v>8.9930555555555545E-3</v>
      </c>
      <c r="M31" s="20" t="s">
        <v>140</v>
      </c>
      <c r="N31" s="26">
        <v>0.55000000000000004</v>
      </c>
      <c r="O31" s="26"/>
      <c r="P31" s="35">
        <f t="shared" si="0"/>
        <v>0.44999999999999996</v>
      </c>
      <c r="Q31" s="35"/>
      <c r="R31" s="20">
        <v>5.0347222222222225E-3</v>
      </c>
      <c r="S31" s="20">
        <v>4.0972222222222226E-3</v>
      </c>
      <c r="T31" s="35" t="s">
        <v>16</v>
      </c>
      <c r="U31" s="40">
        <v>0</v>
      </c>
      <c r="V31" s="4"/>
      <c r="W31" s="4"/>
      <c r="X31" s="4"/>
      <c r="Y31" s="4"/>
    </row>
    <row r="32" spans="1:25" ht="12.95" customHeight="1" x14ac:dyDescent="0.25">
      <c r="A32" s="4"/>
      <c r="B32" s="16" t="s">
        <v>65</v>
      </c>
      <c r="C32" s="17" t="s">
        <v>81</v>
      </c>
      <c r="D32" s="17"/>
      <c r="E32" s="19">
        <v>198</v>
      </c>
      <c r="F32" s="19">
        <v>3</v>
      </c>
      <c r="G32" s="19">
        <v>111</v>
      </c>
      <c r="H32" s="19"/>
      <c r="I32" s="19">
        <v>50</v>
      </c>
      <c r="J32" s="19">
        <v>3</v>
      </c>
      <c r="K32" s="19">
        <v>31</v>
      </c>
      <c r="L32" s="20">
        <v>9.0162037037037034E-3</v>
      </c>
      <c r="M32" s="20" t="s">
        <v>140</v>
      </c>
      <c r="N32" s="26">
        <v>0.69</v>
      </c>
      <c r="O32" s="26"/>
      <c r="P32" s="35">
        <f t="shared" si="0"/>
        <v>0.31000000000000005</v>
      </c>
      <c r="Q32" s="35"/>
      <c r="R32" s="20">
        <v>7.0717592592592594E-3</v>
      </c>
      <c r="S32" s="20">
        <v>4.108796296296297E-3</v>
      </c>
      <c r="T32" s="35" t="s">
        <v>16</v>
      </c>
      <c r="U32" s="40">
        <v>0</v>
      </c>
      <c r="V32" s="4"/>
      <c r="W32" s="4"/>
      <c r="X32" s="4"/>
      <c r="Y32" s="4"/>
    </row>
    <row r="33" spans="1:25" ht="12.95" customHeight="1" x14ac:dyDescent="0.25">
      <c r="A33" s="4"/>
      <c r="B33" s="16" t="s">
        <v>66</v>
      </c>
      <c r="C33" s="17" t="s">
        <v>82</v>
      </c>
      <c r="D33" s="17"/>
      <c r="E33" s="19">
        <v>198</v>
      </c>
      <c r="F33" s="19">
        <v>7</v>
      </c>
      <c r="G33" s="19">
        <v>112</v>
      </c>
      <c r="H33" s="19"/>
      <c r="I33" s="19">
        <v>40</v>
      </c>
      <c r="J33" s="19">
        <v>2</v>
      </c>
      <c r="K33" s="19">
        <v>37</v>
      </c>
      <c r="L33" s="20">
        <v>9.1203703703703707E-3</v>
      </c>
      <c r="M33" s="20" t="s">
        <v>141</v>
      </c>
      <c r="N33" s="26">
        <v>0.71</v>
      </c>
      <c r="O33" s="26"/>
      <c r="P33" s="35">
        <f t="shared" si="0"/>
        <v>0.29000000000000004</v>
      </c>
      <c r="Q33" s="35"/>
      <c r="R33" s="20">
        <v>1.1944444444444445E-2</v>
      </c>
      <c r="S33" s="20">
        <v>4.1319444444444442E-3</v>
      </c>
      <c r="T33" s="35" t="s">
        <v>16</v>
      </c>
      <c r="U33" s="40">
        <v>1</v>
      </c>
      <c r="V33" s="4"/>
      <c r="W33" s="4"/>
      <c r="X33" s="4"/>
      <c r="Y33" s="4"/>
    </row>
    <row r="34" spans="1:25" ht="12.95" customHeight="1" x14ac:dyDescent="0.25">
      <c r="A34" s="4"/>
      <c r="B34" s="16" t="s">
        <v>67</v>
      </c>
      <c r="C34" s="17" t="s">
        <v>83</v>
      </c>
      <c r="D34" s="17"/>
      <c r="E34" s="19">
        <v>195</v>
      </c>
      <c r="F34" s="19">
        <v>9</v>
      </c>
      <c r="G34" s="19">
        <v>96</v>
      </c>
      <c r="H34" s="19"/>
      <c r="I34" s="19">
        <v>34</v>
      </c>
      <c r="J34" s="19">
        <v>0</v>
      </c>
      <c r="K34" s="19">
        <v>56</v>
      </c>
      <c r="L34" s="20">
        <v>9.1319444444444443E-3</v>
      </c>
      <c r="M34" s="20" t="s">
        <v>141</v>
      </c>
      <c r="N34" s="26">
        <v>0.82</v>
      </c>
      <c r="O34" s="26"/>
      <c r="P34" s="35">
        <f t="shared" si="0"/>
        <v>0.18000000000000005</v>
      </c>
      <c r="Q34" s="35"/>
      <c r="R34" s="20">
        <v>2.0949074074074073E-3</v>
      </c>
      <c r="S34" s="20">
        <v>4.1319444444444442E-3</v>
      </c>
      <c r="T34" s="35" t="s">
        <v>147</v>
      </c>
      <c r="U34" s="40">
        <v>1</v>
      </c>
      <c r="V34" s="4"/>
      <c r="W34" s="4"/>
      <c r="X34" s="4"/>
      <c r="Y34" s="4"/>
    </row>
    <row r="35" spans="1:25" ht="12.95" customHeight="1" x14ac:dyDescent="0.25">
      <c r="A35" s="4"/>
      <c r="B35" s="16" t="s">
        <v>68</v>
      </c>
      <c r="C35" s="17" t="s">
        <v>84</v>
      </c>
      <c r="D35" s="17"/>
      <c r="E35" s="19">
        <v>194</v>
      </c>
      <c r="F35" s="19">
        <v>8</v>
      </c>
      <c r="G35" s="19">
        <v>101</v>
      </c>
      <c r="H35" s="19"/>
      <c r="I35" s="19">
        <v>39</v>
      </c>
      <c r="J35" s="19">
        <v>4</v>
      </c>
      <c r="K35" s="19">
        <v>42</v>
      </c>
      <c r="L35" s="20">
        <v>9.2361111111111116E-3</v>
      </c>
      <c r="M35" s="20" t="s">
        <v>141</v>
      </c>
      <c r="N35" s="26">
        <v>0.84</v>
      </c>
      <c r="O35" s="26"/>
      <c r="P35" s="35">
        <f t="shared" si="0"/>
        <v>0.16000000000000003</v>
      </c>
      <c r="Q35" s="35"/>
      <c r="R35" s="20">
        <v>6.4351851851851861E-3</v>
      </c>
      <c r="S35" s="20">
        <v>4.155092592592593E-3</v>
      </c>
      <c r="T35" s="35" t="s">
        <v>146</v>
      </c>
      <c r="U35" s="40">
        <v>1</v>
      </c>
      <c r="V35" s="4"/>
      <c r="W35" s="4"/>
      <c r="X35" s="4"/>
      <c r="Y35" s="4"/>
    </row>
    <row r="36" spans="1:25" ht="12.95" customHeight="1" x14ac:dyDescent="0.25">
      <c r="A36" s="4"/>
      <c r="B36" s="16" t="s">
        <v>69</v>
      </c>
      <c r="C36" s="17" t="s">
        <v>85</v>
      </c>
      <c r="D36" s="17"/>
      <c r="E36" s="19">
        <v>192</v>
      </c>
      <c r="F36" s="19">
        <v>8</v>
      </c>
      <c r="G36" s="19">
        <v>113</v>
      </c>
      <c r="H36" s="19"/>
      <c r="I36" s="19">
        <v>36</v>
      </c>
      <c r="J36" s="19">
        <v>3</v>
      </c>
      <c r="K36" s="19">
        <v>32</v>
      </c>
      <c r="L36" s="20">
        <v>9.2939814814814812E-3</v>
      </c>
      <c r="M36" s="20" t="s">
        <v>142</v>
      </c>
      <c r="N36" s="26">
        <v>0.56000000000000005</v>
      </c>
      <c r="O36" s="26"/>
      <c r="P36" s="35">
        <f t="shared" si="0"/>
        <v>0.43999999999999995</v>
      </c>
      <c r="Q36" s="35"/>
      <c r="R36" s="20">
        <v>4.8379629629629632E-3</v>
      </c>
      <c r="S36" s="20">
        <v>4.2013888888888891E-3</v>
      </c>
      <c r="T36" s="35" t="s">
        <v>146</v>
      </c>
      <c r="U36" s="40">
        <v>1</v>
      </c>
      <c r="V36" s="4"/>
      <c r="W36" s="4"/>
      <c r="X36" s="4"/>
      <c r="Y36" s="4"/>
    </row>
    <row r="37" spans="1:25" ht="12.95" customHeight="1" x14ac:dyDescent="0.25">
      <c r="A37" s="4"/>
      <c r="B37" s="21" t="s">
        <v>70</v>
      </c>
      <c r="C37" s="22" t="s">
        <v>86</v>
      </c>
      <c r="D37" s="22"/>
      <c r="E37" s="24">
        <v>190</v>
      </c>
      <c r="F37" s="24">
        <v>12</v>
      </c>
      <c r="G37" s="24">
        <v>74</v>
      </c>
      <c r="H37" s="24"/>
      <c r="I37" s="24">
        <v>81</v>
      </c>
      <c r="J37" s="24">
        <v>1</v>
      </c>
      <c r="K37" s="24">
        <v>22</v>
      </c>
      <c r="L37" s="25">
        <v>9.3171296296296283E-3</v>
      </c>
      <c r="M37" s="25" t="s">
        <v>142</v>
      </c>
      <c r="N37" s="27">
        <v>0.83</v>
      </c>
      <c r="O37" s="27"/>
      <c r="P37" s="38">
        <f t="shared" ref="P37" si="1">1-N37</f>
        <v>0.17000000000000004</v>
      </c>
      <c r="Q37" s="38"/>
      <c r="R37" s="25">
        <v>5.347222222222222E-3</v>
      </c>
      <c r="S37" s="25">
        <v>4.2245370370370371E-3</v>
      </c>
      <c r="T37" s="38" t="s">
        <v>147</v>
      </c>
      <c r="U37" s="41">
        <v>0</v>
      </c>
      <c r="V37" s="4"/>
      <c r="W37" s="4"/>
      <c r="X37" s="4"/>
      <c r="Y37" s="4"/>
    </row>
    <row r="38" spans="1:25" ht="12.95" customHeight="1" x14ac:dyDescent="0.25">
      <c r="A38" s="4"/>
      <c r="B38" s="21" t="s">
        <v>162</v>
      </c>
      <c r="C38" s="103" t="str">
        <f>CONCATENATE("QTD OPERADORES: ",C23)</f>
        <v>QTD OPERADORES: 13</v>
      </c>
      <c r="D38" s="22"/>
      <c r="E38" s="24">
        <f>SUM(E25:E37)</f>
        <v>2628</v>
      </c>
      <c r="F38" s="24">
        <f>SUM(F25:F37)</f>
        <v>139</v>
      </c>
      <c r="G38" s="24">
        <f>SUM(G25:G37)</f>
        <v>1279</v>
      </c>
      <c r="H38" s="24">
        <f>SUM(H25:H37)</f>
        <v>0</v>
      </c>
      <c r="I38" s="24">
        <f>SUM(I25:I37)</f>
        <v>569</v>
      </c>
      <c r="J38" s="24">
        <f>SUM(J25:J37)</f>
        <v>33</v>
      </c>
      <c r="K38" s="24">
        <f>SUM(K25:K37)</f>
        <v>608</v>
      </c>
      <c r="L38" s="25">
        <f>AVERAGE(L25:L37)</f>
        <v>8.9369658119658121E-3</v>
      </c>
      <c r="M38" s="25"/>
      <c r="N38" s="27">
        <f>AVERAGE(N25:N37)</f>
        <v>0.70307692307692315</v>
      </c>
      <c r="O38" s="27"/>
      <c r="P38" s="38">
        <f>AVERAGE(P25:P37)</f>
        <v>0.2969230769230769</v>
      </c>
      <c r="Q38" s="38"/>
      <c r="R38" s="25">
        <f>AVERAGE(R25:R37)</f>
        <v>7.4581552706552709E-3</v>
      </c>
      <c r="S38" s="25">
        <f>AVERAGE(S25:S37)</f>
        <v>4.0909900284900281E-3</v>
      </c>
      <c r="T38" s="38"/>
      <c r="U38" s="41"/>
      <c r="V38" s="4"/>
      <c r="W38" s="4"/>
      <c r="X38" s="4"/>
      <c r="Y38" s="4"/>
    </row>
    <row r="39" spans="1:25" ht="4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95" customHeight="1" x14ac:dyDescent="0.25">
      <c r="A40" s="4"/>
      <c r="B40" s="9" t="s">
        <v>91</v>
      </c>
      <c r="C40" s="10"/>
      <c r="D40" s="10"/>
      <c r="E40" s="10"/>
      <c r="F40" s="10"/>
      <c r="G40" s="11"/>
      <c r="H40" s="4"/>
      <c r="I40" s="9" t="s">
        <v>96</v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4"/>
      <c r="V40" s="4"/>
      <c r="W40" s="4"/>
      <c r="X40" s="4"/>
      <c r="Y40" s="4"/>
    </row>
    <row r="41" spans="1:25" ht="12.95" customHeight="1" x14ac:dyDescent="0.25">
      <c r="A41" s="4"/>
      <c r="B41" s="28" t="s">
        <v>135</v>
      </c>
      <c r="C41" s="14" t="s">
        <v>14</v>
      </c>
      <c r="D41" s="14" t="s">
        <v>73</v>
      </c>
      <c r="E41" s="14" t="s">
        <v>16</v>
      </c>
      <c r="F41" s="14" t="s">
        <v>17</v>
      </c>
      <c r="G41" s="15" t="s">
        <v>18</v>
      </c>
      <c r="H41" s="4"/>
      <c r="I41" s="45"/>
      <c r="J41" s="51" t="s">
        <v>99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7"/>
      <c r="V41" s="4"/>
      <c r="W41" s="4"/>
      <c r="X41" s="4"/>
      <c r="Y41" s="4"/>
    </row>
    <row r="42" spans="1:25" ht="12.95" customHeight="1" x14ac:dyDescent="0.25">
      <c r="A42" s="4"/>
      <c r="B42" s="58" t="s">
        <v>110</v>
      </c>
      <c r="C42" s="59">
        <v>1</v>
      </c>
      <c r="D42" s="59">
        <v>78</v>
      </c>
      <c r="E42" s="60">
        <v>44</v>
      </c>
      <c r="F42" s="60">
        <v>0</v>
      </c>
      <c r="G42" s="61"/>
      <c r="H42" s="4"/>
      <c r="I42" s="45"/>
      <c r="J42" s="51" t="s">
        <v>101</v>
      </c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7"/>
      <c r="V42" s="4"/>
      <c r="W42" s="4"/>
      <c r="X42" s="4"/>
      <c r="Y42" s="4"/>
    </row>
    <row r="43" spans="1:25" ht="12.95" customHeight="1" x14ac:dyDescent="0.25">
      <c r="A43" s="4"/>
      <c r="B43" s="80" t="s">
        <v>111</v>
      </c>
      <c r="C43" s="81">
        <v>55</v>
      </c>
      <c r="D43" s="81">
        <v>682</v>
      </c>
      <c r="E43" s="82">
        <v>260</v>
      </c>
      <c r="F43" s="82">
        <v>2</v>
      </c>
      <c r="G43" s="83"/>
      <c r="H43" s="4"/>
      <c r="I43" s="45"/>
      <c r="J43" s="51" t="s">
        <v>100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7"/>
      <c r="V43" s="4"/>
      <c r="W43" s="4"/>
      <c r="X43" s="4"/>
      <c r="Y43" s="4"/>
    </row>
    <row r="44" spans="1:25" ht="12.95" customHeight="1" x14ac:dyDescent="0.25">
      <c r="A44" s="4"/>
      <c r="B44" s="84" t="s">
        <v>112</v>
      </c>
      <c r="C44" s="85">
        <v>77</v>
      </c>
      <c r="D44" s="85">
        <v>590</v>
      </c>
      <c r="E44" s="86">
        <v>62</v>
      </c>
      <c r="F44" s="86">
        <v>31</v>
      </c>
      <c r="G44" s="87"/>
      <c r="H44" s="4"/>
      <c r="I44" s="45"/>
      <c r="J44" s="51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7"/>
      <c r="V44" s="4"/>
      <c r="W44" s="4"/>
      <c r="X44" s="4"/>
      <c r="Y44" s="4"/>
    </row>
    <row r="45" spans="1:25" ht="12.95" customHeight="1" x14ac:dyDescent="0.25">
      <c r="A45" s="4"/>
      <c r="B45" s="29"/>
      <c r="C45" s="33"/>
      <c r="D45" s="33"/>
      <c r="E45" s="19"/>
      <c r="F45" s="19"/>
      <c r="G45" s="36"/>
      <c r="H45" s="4"/>
      <c r="I45" s="45"/>
      <c r="J45" s="51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7"/>
      <c r="V45" s="4"/>
      <c r="W45" s="4"/>
      <c r="X45" s="4"/>
      <c r="Y45" s="4"/>
    </row>
    <row r="46" spans="1:25" ht="12.95" customHeight="1" x14ac:dyDescent="0.25">
      <c r="A46" s="4"/>
      <c r="B46" s="28" t="s">
        <v>134</v>
      </c>
      <c r="C46" s="14" t="s">
        <v>14</v>
      </c>
      <c r="D46" s="14" t="s">
        <v>73</v>
      </c>
      <c r="E46" s="14" t="s">
        <v>16</v>
      </c>
      <c r="F46" s="14" t="s">
        <v>17</v>
      </c>
      <c r="G46" s="15" t="s">
        <v>18</v>
      </c>
      <c r="H46" s="4"/>
      <c r="I46" s="45"/>
      <c r="J46" s="51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7"/>
      <c r="V46" s="4"/>
      <c r="W46" s="4"/>
      <c r="X46" s="4"/>
      <c r="Y46" s="4"/>
    </row>
    <row r="47" spans="1:25" ht="12.95" customHeight="1" x14ac:dyDescent="0.25">
      <c r="A47" s="4"/>
      <c r="B47" s="29">
        <v>24</v>
      </c>
      <c r="C47" s="33">
        <v>99</v>
      </c>
      <c r="D47" s="33">
        <v>762</v>
      </c>
      <c r="E47" s="19">
        <v>328</v>
      </c>
      <c r="F47" s="19">
        <v>0</v>
      </c>
      <c r="G47" s="36"/>
      <c r="H47" s="4"/>
      <c r="I47" s="45"/>
      <c r="J47" s="51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7"/>
      <c r="V47" s="4"/>
      <c r="W47" s="4"/>
      <c r="X47" s="4"/>
      <c r="Y47" s="4"/>
    </row>
    <row r="48" spans="1:25" ht="12.95" customHeight="1" x14ac:dyDescent="0.25">
      <c r="A48" s="4"/>
      <c r="B48" s="29">
        <v>12</v>
      </c>
      <c r="C48" s="33">
        <v>16</v>
      </c>
      <c r="D48" s="33">
        <v>114</v>
      </c>
      <c r="E48" s="19">
        <v>62</v>
      </c>
      <c r="F48" s="19">
        <v>0</v>
      </c>
      <c r="G48" s="36"/>
      <c r="H48" s="4"/>
      <c r="I48" s="45"/>
      <c r="J48" s="51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7"/>
      <c r="V48" s="4"/>
      <c r="W48" s="4"/>
      <c r="X48" s="4"/>
      <c r="Y48" s="4"/>
    </row>
    <row r="49" spans="1:25" ht="12.95" customHeight="1" x14ac:dyDescent="0.25">
      <c r="A49" s="4"/>
      <c r="B49" s="29">
        <v>8</v>
      </c>
      <c r="C49" s="33">
        <v>8</v>
      </c>
      <c r="D49" s="33">
        <v>109</v>
      </c>
      <c r="E49" s="19">
        <v>33</v>
      </c>
      <c r="F49" s="19">
        <v>3</v>
      </c>
      <c r="G49" s="36"/>
      <c r="H49" s="4"/>
      <c r="I49" s="45"/>
      <c r="J49" s="51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7"/>
      <c r="V49" s="4"/>
      <c r="W49" s="4"/>
      <c r="X49" s="4"/>
      <c r="Y49" s="4"/>
    </row>
    <row r="50" spans="1:25" ht="12.95" customHeight="1" x14ac:dyDescent="0.25">
      <c r="A50" s="4"/>
      <c r="B50" s="29">
        <v>4</v>
      </c>
      <c r="C50" s="33">
        <v>5</v>
      </c>
      <c r="D50" s="33">
        <v>62</v>
      </c>
      <c r="E50" s="19">
        <v>25</v>
      </c>
      <c r="F50" s="19">
        <v>14</v>
      </c>
      <c r="G50" s="36"/>
      <c r="H50" s="4"/>
      <c r="I50" s="45"/>
      <c r="J50" s="51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7"/>
      <c r="V50" s="4"/>
      <c r="W50" s="4"/>
      <c r="X50" s="4"/>
      <c r="Y50" s="4"/>
    </row>
    <row r="51" spans="1:25" ht="12.95" customHeight="1" x14ac:dyDescent="0.25">
      <c r="A51" s="4"/>
      <c r="B51" s="29">
        <v>2</v>
      </c>
      <c r="C51" s="33">
        <v>3</v>
      </c>
      <c r="D51" s="33">
        <v>27</v>
      </c>
      <c r="E51" s="19">
        <v>9</v>
      </c>
      <c r="F51" s="19">
        <v>10</v>
      </c>
      <c r="G51" s="36"/>
      <c r="H51" s="4"/>
      <c r="I51" s="45"/>
      <c r="J51" s="51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  <c r="V51" s="4"/>
      <c r="W51" s="4"/>
      <c r="X51" s="4"/>
      <c r="Y51" s="4"/>
    </row>
    <row r="52" spans="1:25" ht="12.95" customHeight="1" x14ac:dyDescent="0.25">
      <c r="A52" s="4"/>
      <c r="B52" s="29">
        <v>1</v>
      </c>
      <c r="C52" s="33">
        <v>2</v>
      </c>
      <c r="D52" s="33">
        <v>16</v>
      </c>
      <c r="E52" s="19">
        <v>6</v>
      </c>
      <c r="F52" s="19">
        <v>6</v>
      </c>
      <c r="G52" s="36"/>
      <c r="H52" s="4"/>
      <c r="I52" s="45"/>
      <c r="J52" s="51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7"/>
      <c r="V52" s="4"/>
      <c r="W52" s="4"/>
      <c r="X52" s="4"/>
      <c r="Y52" s="4"/>
    </row>
    <row r="53" spans="1:25" ht="12.95" customHeight="1" x14ac:dyDescent="0.25">
      <c r="A53" s="4"/>
      <c r="B53" s="34" t="s">
        <v>89</v>
      </c>
      <c r="C53" s="33">
        <f>SUM(C45:C52)</f>
        <v>133</v>
      </c>
      <c r="D53" s="33">
        <f>SUM(D45:D52)</f>
        <v>1090</v>
      </c>
      <c r="E53" s="33">
        <f>SUM(E45:E52)</f>
        <v>463</v>
      </c>
      <c r="F53" s="33">
        <f>SUM(F45:F52)</f>
        <v>33</v>
      </c>
      <c r="G53" s="37">
        <f>SUM(G45:G52)</f>
        <v>0</v>
      </c>
      <c r="H53" s="4"/>
      <c r="I53" s="45"/>
      <c r="J53" s="51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7"/>
      <c r="V53" s="4"/>
      <c r="W53" s="4"/>
      <c r="X53" s="4"/>
      <c r="Y53" s="4"/>
    </row>
    <row r="54" spans="1:25" ht="12.95" customHeight="1" x14ac:dyDescent="0.25">
      <c r="A54" s="4"/>
      <c r="B54" s="21"/>
      <c r="C54" s="22"/>
      <c r="D54" s="23"/>
      <c r="E54" s="24"/>
      <c r="F54" s="24"/>
      <c r="G54" s="39"/>
      <c r="H54" s="4"/>
      <c r="I54" s="48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50"/>
      <c r="V54" s="4"/>
      <c r="W54" s="4"/>
      <c r="X54" s="4"/>
      <c r="Y54" s="4"/>
    </row>
    <row r="55" spans="1:25" ht="4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95" customHeight="1" x14ac:dyDescent="0.25">
      <c r="A56" s="4"/>
      <c r="B56" s="9" t="s">
        <v>92</v>
      </c>
      <c r="C56" s="10"/>
      <c r="D56" s="10"/>
      <c r="E56" s="10"/>
      <c r="F56" s="10"/>
      <c r="G56" s="11"/>
      <c r="H56" s="4"/>
      <c r="I56" s="9" t="s">
        <v>93</v>
      </c>
      <c r="J56" s="10"/>
      <c r="K56" s="10"/>
      <c r="L56" s="10"/>
      <c r="M56" s="10"/>
      <c r="N56" s="11"/>
      <c r="O56" s="4"/>
      <c r="P56" s="9" t="s">
        <v>94</v>
      </c>
      <c r="Q56" s="10"/>
      <c r="R56" s="10"/>
      <c r="S56" s="10"/>
      <c r="T56" s="10"/>
      <c r="U56" s="11"/>
      <c r="V56" s="4"/>
      <c r="W56" s="4"/>
      <c r="X56" s="4"/>
      <c r="Y56" s="4"/>
    </row>
    <row r="57" spans="1:25" ht="12" customHeight="1" x14ac:dyDescent="0.25">
      <c r="A57" s="4"/>
      <c r="B57" s="28" t="s">
        <v>57</v>
      </c>
      <c r="C57" s="14" t="s">
        <v>3</v>
      </c>
      <c r="D57" s="14" t="s">
        <v>95</v>
      </c>
      <c r="E57" s="14" t="s">
        <v>37</v>
      </c>
      <c r="F57" s="14" t="s">
        <v>97</v>
      </c>
      <c r="G57" s="15" t="s">
        <v>98</v>
      </c>
      <c r="H57" s="4"/>
      <c r="I57" s="28" t="s">
        <v>57</v>
      </c>
      <c r="J57" s="14" t="s">
        <v>3</v>
      </c>
      <c r="K57" s="14" t="s">
        <v>95</v>
      </c>
      <c r="L57" s="14" t="s">
        <v>37</v>
      </c>
      <c r="M57" s="14" t="s">
        <v>97</v>
      </c>
      <c r="N57" s="15" t="s">
        <v>98</v>
      </c>
      <c r="O57" s="4"/>
      <c r="P57" s="28" t="s">
        <v>57</v>
      </c>
      <c r="Q57" s="14" t="s">
        <v>3</v>
      </c>
      <c r="R57" s="14" t="s">
        <v>95</v>
      </c>
      <c r="S57" s="14" t="s">
        <v>37</v>
      </c>
      <c r="T57" s="14" t="s">
        <v>97</v>
      </c>
      <c r="U57" s="15" t="s">
        <v>98</v>
      </c>
      <c r="V57" s="4"/>
      <c r="W57" s="4"/>
      <c r="X57" s="4"/>
      <c r="Y57" s="4"/>
    </row>
    <row r="58" spans="1:25" ht="12" customHeight="1" x14ac:dyDescent="0.25">
      <c r="A58" s="4"/>
      <c r="B58" s="29">
        <v>139</v>
      </c>
      <c r="C58" s="54">
        <f>ROUND(C59*$B$58,0)</f>
        <v>39</v>
      </c>
      <c r="D58" s="54">
        <f>ROUND(D59*$B$58,0)</f>
        <v>60</v>
      </c>
      <c r="E58" s="54">
        <f>ROUND(E59*$B$58,0)</f>
        <v>40</v>
      </c>
      <c r="F58" s="54">
        <f>ROUND(F59*$E$58,0)</f>
        <v>25</v>
      </c>
      <c r="G58" s="55">
        <f>ROUND(G59*$E$58,0)</f>
        <v>15</v>
      </c>
      <c r="H58" s="4"/>
      <c r="I58" s="29">
        <v>1279</v>
      </c>
      <c r="J58" s="54">
        <f>ROUND(J59*$I$58,0)</f>
        <v>448</v>
      </c>
      <c r="K58" s="54">
        <f>ROUND(K59*$I$58,0)</f>
        <v>486</v>
      </c>
      <c r="L58" s="54">
        <f>ROUND(L59*$I$58,0)</f>
        <v>345</v>
      </c>
      <c r="M58" s="54">
        <f>ROUND(M59*$L$58,0)</f>
        <v>155</v>
      </c>
      <c r="N58" s="55">
        <f>ROUND(N59*$L$58,0)</f>
        <v>190</v>
      </c>
      <c r="O58" s="4"/>
      <c r="P58" s="29">
        <v>33</v>
      </c>
      <c r="Q58" s="54">
        <f>ROUND(Q59*$P$58,0)</f>
        <v>26</v>
      </c>
      <c r="R58" s="54">
        <f>ROUND(R59*$P$58,0)</f>
        <v>3</v>
      </c>
      <c r="S58" s="54">
        <f>ROUND(S59*$P$58,0)</f>
        <v>3</v>
      </c>
      <c r="T58" s="54">
        <f>ROUND(T59*$S$58,0)</f>
        <v>2</v>
      </c>
      <c r="U58" s="55">
        <v>1</v>
      </c>
      <c r="V58" s="4"/>
      <c r="W58" s="4"/>
      <c r="X58" s="4"/>
      <c r="Y58" s="4"/>
    </row>
    <row r="59" spans="1:25" ht="12" customHeight="1" x14ac:dyDescent="0.25">
      <c r="A59" s="4"/>
      <c r="B59" s="29"/>
      <c r="C59" s="52">
        <v>0.28000000000000003</v>
      </c>
      <c r="D59" s="52">
        <v>0.43</v>
      </c>
      <c r="E59" s="52">
        <v>0.28999999999999998</v>
      </c>
      <c r="F59" s="52">
        <v>0.62</v>
      </c>
      <c r="G59" s="53">
        <v>0.38</v>
      </c>
      <c r="H59" s="4"/>
      <c r="I59" s="29"/>
      <c r="J59" s="52">
        <v>0.35</v>
      </c>
      <c r="K59" s="52">
        <v>0.38</v>
      </c>
      <c r="L59" s="52">
        <v>0.27</v>
      </c>
      <c r="M59" s="52">
        <v>0.45</v>
      </c>
      <c r="N59" s="53">
        <v>0.55000000000000004</v>
      </c>
      <c r="O59" s="4"/>
      <c r="P59" s="29"/>
      <c r="Q59" s="52">
        <v>0.8</v>
      </c>
      <c r="R59" s="52">
        <v>0.1</v>
      </c>
      <c r="S59" s="52">
        <v>0.1</v>
      </c>
      <c r="T59" s="52">
        <v>0.66</v>
      </c>
      <c r="U59" s="53">
        <v>0.34</v>
      </c>
      <c r="V59" s="4"/>
      <c r="W59" s="4"/>
      <c r="X59" s="4"/>
      <c r="Y59" s="4"/>
    </row>
    <row r="60" spans="1:25" ht="12" customHeight="1" x14ac:dyDescent="0.25">
      <c r="A60" s="4"/>
      <c r="B60" s="29"/>
      <c r="C60" s="33"/>
      <c r="D60" s="33"/>
      <c r="E60" s="19"/>
      <c r="F60" s="19"/>
      <c r="G60" s="36"/>
      <c r="H60" s="4"/>
      <c r="I60" s="29"/>
      <c r="J60" s="33"/>
      <c r="K60" s="33"/>
      <c r="L60" s="19"/>
      <c r="M60" s="19"/>
      <c r="N60" s="36"/>
      <c r="O60" s="4"/>
      <c r="P60" s="29"/>
      <c r="Q60" s="33"/>
      <c r="R60" s="33"/>
      <c r="S60" s="19"/>
      <c r="T60" s="19"/>
      <c r="U60" s="36"/>
      <c r="V60" s="4"/>
      <c r="W60" s="4"/>
      <c r="X60" s="4"/>
      <c r="Y60" s="4"/>
    </row>
    <row r="61" spans="1:25" ht="12" customHeight="1" x14ac:dyDescent="0.25">
      <c r="A61" s="4"/>
      <c r="B61" s="34"/>
      <c r="C61" s="33"/>
      <c r="D61" s="33"/>
      <c r="E61" s="33"/>
      <c r="F61" s="33"/>
      <c r="G61" s="37"/>
      <c r="H61" s="4"/>
      <c r="I61" s="34"/>
      <c r="J61" s="33"/>
      <c r="K61" s="33"/>
      <c r="L61" s="33"/>
      <c r="M61" s="33"/>
      <c r="N61" s="37"/>
      <c r="O61" s="4"/>
      <c r="P61" s="34"/>
      <c r="Q61" s="33"/>
      <c r="R61" s="33"/>
      <c r="S61" s="33"/>
      <c r="T61" s="33"/>
      <c r="U61" s="37"/>
      <c r="V61" s="4"/>
      <c r="W61" s="4"/>
      <c r="X61" s="4"/>
      <c r="Y61" s="4"/>
    </row>
    <row r="62" spans="1:25" ht="12" customHeight="1" x14ac:dyDescent="0.25">
      <c r="A62" s="4"/>
      <c r="B62" s="16"/>
      <c r="C62" s="17"/>
      <c r="D62" s="18"/>
      <c r="E62" s="19"/>
      <c r="F62" s="19"/>
      <c r="G62" s="36"/>
      <c r="H62" s="4"/>
      <c r="I62" s="16"/>
      <c r="J62" s="17"/>
      <c r="K62" s="18"/>
      <c r="L62" s="19"/>
      <c r="M62" s="19"/>
      <c r="N62" s="36"/>
      <c r="O62" s="4"/>
      <c r="P62" s="16"/>
      <c r="Q62" s="17"/>
      <c r="R62" s="18"/>
      <c r="S62" s="19"/>
      <c r="T62" s="19"/>
      <c r="U62" s="36"/>
      <c r="V62" s="4"/>
      <c r="W62" s="4"/>
      <c r="X62" s="4"/>
      <c r="Y62" s="4"/>
    </row>
    <row r="63" spans="1:25" ht="12" customHeight="1" x14ac:dyDescent="0.25">
      <c r="A63" s="4"/>
      <c r="B63" s="16"/>
      <c r="C63" s="17"/>
      <c r="D63" s="18"/>
      <c r="E63" s="19"/>
      <c r="F63" s="19"/>
      <c r="G63" s="36"/>
      <c r="H63" s="4"/>
      <c r="I63" s="16"/>
      <c r="J63" s="17"/>
      <c r="K63" s="18"/>
      <c r="L63" s="19"/>
      <c r="M63" s="19"/>
      <c r="N63" s="36"/>
      <c r="O63" s="4"/>
      <c r="P63" s="16"/>
      <c r="Q63" s="17"/>
      <c r="R63" s="18"/>
      <c r="S63" s="19"/>
      <c r="T63" s="19"/>
      <c r="U63" s="36"/>
      <c r="V63" s="4"/>
      <c r="W63" s="4"/>
      <c r="X63" s="4"/>
      <c r="Y63" s="4"/>
    </row>
    <row r="64" spans="1:25" ht="12" customHeight="1" x14ac:dyDescent="0.25">
      <c r="A64" s="4"/>
      <c r="B64" s="16"/>
      <c r="C64" s="17"/>
      <c r="D64" s="18"/>
      <c r="E64" s="19"/>
      <c r="F64" s="19"/>
      <c r="G64" s="36"/>
      <c r="H64" s="4"/>
      <c r="I64" s="16"/>
      <c r="J64" s="17"/>
      <c r="K64" s="18"/>
      <c r="L64" s="19"/>
      <c r="M64" s="19"/>
      <c r="N64" s="36"/>
      <c r="O64" s="4"/>
      <c r="P64" s="16"/>
      <c r="Q64" s="17"/>
      <c r="R64" s="18"/>
      <c r="S64" s="19"/>
      <c r="T64" s="19"/>
      <c r="U64" s="36"/>
      <c r="V64" s="4"/>
      <c r="W64" s="4"/>
      <c r="X64" s="4"/>
      <c r="Y64" s="4"/>
    </row>
    <row r="65" spans="1:25" ht="12" customHeight="1" x14ac:dyDescent="0.25">
      <c r="A65" s="4"/>
      <c r="B65" s="21"/>
      <c r="C65" s="22"/>
      <c r="D65" s="23"/>
      <c r="E65" s="24"/>
      <c r="F65" s="24"/>
      <c r="G65" s="39"/>
      <c r="H65" s="4"/>
      <c r="I65" s="21"/>
      <c r="J65" s="22"/>
      <c r="K65" s="23"/>
      <c r="L65" s="24"/>
      <c r="M65" s="24"/>
      <c r="N65" s="39"/>
      <c r="O65" s="4"/>
      <c r="P65" s="21"/>
      <c r="Q65" s="22"/>
      <c r="R65" s="23"/>
      <c r="S65" s="24"/>
      <c r="T65" s="24"/>
      <c r="U65" s="39"/>
      <c r="V65" s="4"/>
      <c r="W65" s="4"/>
      <c r="X65" s="4"/>
      <c r="Y65" s="4"/>
    </row>
    <row r="66" spans="1:25" ht="3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5">
      <c r="A67" s="4"/>
      <c r="B67" s="57" t="s">
        <v>113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5">
      <c r="A68" s="4"/>
      <c r="B68" s="57" t="s">
        <v>114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5">
      <c r="A69" s="4"/>
      <c r="B69" s="57" t="s">
        <v>115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5">
      <c r="A70" s="4"/>
      <c r="B70" s="57" t="s">
        <v>119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5">
      <c r="A99" s="4"/>
      <c r="B99" s="106" t="s">
        <v>182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</sheetData>
  <sortState ref="T24:T36">
    <sortCondition ref="T36"/>
  </sortState>
  <conditionalFormatting sqref="P25:Q36 P38:Q3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{DE5F93C9-0319-48C9-8B80-62841A7F97C0}</x14:id>
        </ext>
      </extLst>
    </cfRule>
  </conditionalFormatting>
  <conditionalFormatting sqref="U25:U36 U38">
    <cfRule type="iconSet" priority="20">
      <iconSet showValue="0">
        <cfvo type="percent" val="0"/>
        <cfvo type="percent" val="33"/>
        <cfvo type="percent" val="67"/>
      </iconSet>
    </cfRule>
    <cfRule type="iconSet" priority="21">
      <iconSet>
        <cfvo type="percent" val="0"/>
        <cfvo type="percent" val="33"/>
        <cfvo type="percent" val="67"/>
      </iconSet>
    </cfRule>
  </conditionalFormatting>
  <conditionalFormatting sqref="O25:O36 O3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{8C564661-C5B2-48FD-9DDB-E02A8D682513}</x14:id>
        </ext>
      </extLst>
    </cfRule>
  </conditionalFormatting>
  <conditionalFormatting sqref="P25:Q36 P38:Q38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{9AD739D1-5F99-45DF-B9EA-61A1DC63D21D}</x14:id>
        </ext>
      </extLst>
    </cfRule>
  </conditionalFormatting>
  <conditionalFormatting sqref="R25:R36 R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36 N38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{954E3425-7977-42E4-A2A0-5571939F2A3B}</x14:id>
        </ext>
      </extLst>
    </cfRule>
  </conditionalFormatting>
  <conditionalFormatting sqref="S25:S36 S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5:T36 T3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{919C5E28-CEC3-4AA7-941A-E3ACD68E8DE7}</x14:id>
        </ext>
      </extLst>
    </cfRule>
  </conditionalFormatting>
  <conditionalFormatting sqref="T25:T36 T3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{110826A2-9C77-45F8-B8C1-6E51688AB409}</x14:id>
        </ext>
      </extLst>
    </cfRule>
  </conditionalFormatting>
  <conditionalFormatting sqref="P37:Q3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{1BD90C6B-B541-4E61-AC91-32A0AE4F0016}</x14:id>
        </ext>
      </extLst>
    </cfRule>
  </conditionalFormatting>
  <conditionalFormatting sqref="U37">
    <cfRule type="iconSet" priority="8">
      <iconSet showValue="0">
        <cfvo type="percent" val="0"/>
        <cfvo type="percent" val="33"/>
        <cfvo type="percent" val="67"/>
      </iconSet>
    </cfRule>
    <cfRule type="iconSet" priority="9">
      <iconSet>
        <cfvo type="percent" val="0"/>
        <cfvo type="percent" val="33"/>
        <cfvo type="percent" val="67"/>
      </iconSet>
    </cfRule>
  </conditionalFormatting>
  <conditionalFormatting sqref="O3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{4BC20899-7542-47DB-B36C-4CC5E385E2C8}</x14:id>
        </ext>
      </extLst>
    </cfRule>
  </conditionalFormatting>
  <conditionalFormatting sqref="P37:Q3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{FA51417E-82DC-47BE-B054-AB90452037D9}</x14:id>
        </ext>
      </extLst>
    </cfRule>
  </conditionalFormatting>
  <conditionalFormatting sqref="R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{CCECE8F4-56C3-4735-A0C6-008624AC36FA}</x14:id>
        </ext>
      </extLst>
    </cfRule>
  </conditionalFormatting>
  <conditionalFormatting sqref="S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{0F588318-D709-4B3F-BC60-50CC2B092F6B}</x14:id>
        </ext>
      </extLst>
    </cfRule>
  </conditionalFormatting>
  <conditionalFormatting sqref="T3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{EFA1B278-C27E-4CC6-8C50-52FE693FBF52}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5F93C9-0319-48C9-8B80-62841A7F9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P25:Q36 P38:Q38</xm:sqref>
        </x14:conditionalFormatting>
        <x14:conditionalFormatting xmlns:xm="http://schemas.microsoft.com/office/excel/2006/main">
          <x14:cfRule type="dataBar" id="{8C564661-C5B2-48FD-9DDB-E02A8D682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O25:O36 O38</xm:sqref>
        </x14:conditionalFormatting>
        <x14:conditionalFormatting xmlns:xm="http://schemas.microsoft.com/office/excel/2006/main">
          <x14:cfRule type="dataBar" id="{9AD739D1-5F99-45DF-B9EA-61A1DC63D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P25:Q36 P38:Q38</xm:sqref>
        </x14:conditionalFormatting>
        <x14:conditionalFormatting xmlns:xm="http://schemas.microsoft.com/office/excel/2006/main">
          <x14:cfRule type="dataBar" id="{954E3425-7977-42E4-A2A0-5571939F2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N25:N36 N38</xm:sqref>
        </x14:conditionalFormatting>
        <x14:conditionalFormatting xmlns:xm="http://schemas.microsoft.com/office/excel/2006/main">
          <x14:cfRule type="dataBar" id="{919C5E28-CEC3-4AA7-941A-E3ACD68E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T25:T36 T38</xm:sqref>
        </x14:conditionalFormatting>
        <x14:conditionalFormatting xmlns:xm="http://schemas.microsoft.com/office/excel/2006/main">
          <x14:cfRule type="dataBar" id="{110826A2-9C77-45F8-B8C1-6E51688AB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T25:T36 T38</xm:sqref>
        </x14:conditionalFormatting>
        <x14:conditionalFormatting xmlns:xm="http://schemas.microsoft.com/office/excel/2006/main">
          <x14:cfRule type="dataBar" id="{1BD90C6B-B541-4E61-AC91-32A0AE4F0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P37:Q37</xm:sqref>
        </x14:conditionalFormatting>
        <x14:conditionalFormatting xmlns:xm="http://schemas.microsoft.com/office/excel/2006/main">
          <x14:cfRule type="dataBar" id="{4BC20899-7542-47DB-B36C-4CC5E385E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FA51417E-82DC-47BE-B054-AB9045203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P37:Q37</xm:sqref>
        </x14:conditionalFormatting>
        <x14:conditionalFormatting xmlns:xm="http://schemas.microsoft.com/office/excel/2006/main">
          <x14:cfRule type="dataBar" id="{CCECE8F4-56C3-4735-A0C6-008624AC3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</xm:sqref>
        </x14:conditionalFormatting>
        <x14:conditionalFormatting xmlns:xm="http://schemas.microsoft.com/office/excel/2006/main">
          <x14:cfRule type="dataBar" id="{0F588318-D709-4B3F-BC60-50CC2B092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T37</xm:sqref>
        </x14:conditionalFormatting>
        <x14:conditionalFormatting xmlns:xm="http://schemas.microsoft.com/office/excel/2006/main">
          <x14:cfRule type="dataBar" id="{EFA1B278-C27E-4CC6-8C50-52FE693FB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Data" error="Selecione uma data" promptTitle="Data" prompt="Selecione uma data da lista">
          <x14:formula1>
            <xm:f>aux!$S$2:$S$22</xm:f>
          </x14:formula1>
          <xm:sqref>I1</xm:sqref>
        </x14:dataValidation>
        <x14:dataValidation type="list" allowBlank="1" showInputMessage="1" showErrorMessage="1">
          <x14:formula1>
            <xm:f>aux!$U$2:$U$4</xm:f>
          </x14:formula1>
          <xm:sqref>K3</xm:sqref>
        </x14:dataValidation>
        <x14:dataValidation type="list" allowBlank="1" showInputMessage="1" showErrorMessage="1">
          <x14:formula1>
            <xm:f>aux!$Z$3:$Z$17</xm:f>
          </x14:formula1>
          <xm:sqref>S23</xm:sqref>
        </x14:dataValidation>
        <x14:dataValidation type="list" allowBlank="1" showInputMessage="1" showErrorMessage="1">
          <x14:formula1>
            <xm:f>aux!$AA$3:$AA$4</xm:f>
          </x14:formula1>
          <xm:sqref>T23</xm:sqref>
        </x14:dataValidation>
        <x14:dataValidation type="list" allowBlank="1" showInputMessage="1" showErrorMessage="1">
          <x14:formula1>
            <xm:f>aux!$X$2:$X$8</xm:f>
          </x14:formula1>
          <xm:sqref>S22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"/>
  <sheetViews>
    <sheetView topLeftCell="K2" workbookViewId="0">
      <selection activeCell="X7" sqref="X7"/>
    </sheetView>
  </sheetViews>
  <sheetFormatPr defaultRowHeight="15" x14ac:dyDescent="0.25"/>
  <cols>
    <col min="1" max="1" width="23" bestFit="1" customWidth="1"/>
    <col min="5" max="5" width="10.7109375" bestFit="1" customWidth="1"/>
    <col min="6" max="6" width="13.85546875" bestFit="1" customWidth="1"/>
    <col min="7" max="7" width="15.140625" bestFit="1" customWidth="1"/>
    <col min="8" max="8" width="12.42578125" bestFit="1" customWidth="1"/>
    <col min="9" max="9" width="11.7109375" bestFit="1" customWidth="1"/>
    <col min="10" max="13" width="9.85546875" bestFit="1" customWidth="1"/>
    <col min="19" max="19" width="10.7109375" bestFit="1" customWidth="1"/>
  </cols>
  <sheetData>
    <row r="1" spans="1:27" x14ac:dyDescent="0.25">
      <c r="A1" t="s">
        <v>6</v>
      </c>
      <c r="B1">
        <v>3000</v>
      </c>
      <c r="F1" s="5" t="s">
        <v>50</v>
      </c>
      <c r="G1" s="5"/>
      <c r="H1" s="5"/>
      <c r="I1" s="5"/>
      <c r="J1" s="5"/>
      <c r="K1" s="2" t="s">
        <v>51</v>
      </c>
      <c r="L1" s="2"/>
      <c r="M1" s="2"/>
      <c r="N1" s="2"/>
      <c r="O1" s="2"/>
      <c r="P1" s="2"/>
      <c r="S1" t="s">
        <v>123</v>
      </c>
      <c r="U1" t="s">
        <v>124</v>
      </c>
      <c r="X1" t="s">
        <v>164</v>
      </c>
    </row>
    <row r="2" spans="1:27" x14ac:dyDescent="0.25">
      <c r="A2" t="s">
        <v>3</v>
      </c>
      <c r="B2">
        <f>B1*16%</f>
        <v>480</v>
      </c>
      <c r="F2" t="s">
        <v>43</v>
      </c>
      <c r="G2" t="s">
        <v>42</v>
      </c>
      <c r="H2" t="s">
        <v>116</v>
      </c>
      <c r="I2" t="s">
        <v>117</v>
      </c>
      <c r="J2" t="s">
        <v>118</v>
      </c>
      <c r="K2" t="s">
        <v>48</v>
      </c>
      <c r="L2" t="s">
        <v>3</v>
      </c>
      <c r="M2" t="s">
        <v>4</v>
      </c>
      <c r="N2" t="s">
        <v>41</v>
      </c>
      <c r="O2" t="s">
        <v>39</v>
      </c>
      <c r="P2" t="s">
        <v>40</v>
      </c>
      <c r="Q2" t="s">
        <v>120</v>
      </c>
      <c r="S2" s="65">
        <v>43132</v>
      </c>
      <c r="U2" t="s">
        <v>125</v>
      </c>
      <c r="X2" t="s">
        <v>166</v>
      </c>
      <c r="Z2" s="13" t="s">
        <v>168</v>
      </c>
    </row>
    <row r="3" spans="1:27" x14ac:dyDescent="0.25">
      <c r="A3" t="s">
        <v>4</v>
      </c>
      <c r="B3">
        <f>B1*60%</f>
        <v>1800</v>
      </c>
      <c r="F3" s="7">
        <f>SUM(G3:K3)</f>
        <v>68000</v>
      </c>
      <c r="G3" s="7">
        <v>33000</v>
      </c>
      <c r="H3" s="7">
        <v>16000</v>
      </c>
      <c r="I3" s="7">
        <v>10000</v>
      </c>
      <c r="J3" s="7">
        <v>6000</v>
      </c>
      <c r="K3" s="7">
        <v>3000</v>
      </c>
      <c r="L3">
        <v>1080</v>
      </c>
      <c r="M3">
        <v>900</v>
      </c>
      <c r="N3">
        <v>500</v>
      </c>
      <c r="O3">
        <v>260</v>
      </c>
      <c r="P3">
        <v>180</v>
      </c>
      <c r="Q3">
        <v>80</v>
      </c>
      <c r="S3" s="65">
        <f>S2+1</f>
        <v>43133</v>
      </c>
      <c r="U3" t="s">
        <v>126</v>
      </c>
      <c r="X3" t="s">
        <v>173</v>
      </c>
      <c r="Z3" t="s">
        <v>171</v>
      </c>
      <c r="AA3" t="s">
        <v>169</v>
      </c>
    </row>
    <row r="4" spans="1:27" x14ac:dyDescent="0.25">
      <c r="A4" t="s">
        <v>8</v>
      </c>
      <c r="B4">
        <v>500</v>
      </c>
      <c r="G4" s="3">
        <f>G3/$F$3</f>
        <v>0.48529411764705882</v>
      </c>
      <c r="H4" s="3">
        <f>H3/$F$3</f>
        <v>0.23529411764705882</v>
      </c>
      <c r="I4" s="3">
        <f>I3/$F$3</f>
        <v>0.14705882352941177</v>
      </c>
      <c r="J4" s="3">
        <f>J3/$F$3</f>
        <v>8.8235294117647065E-2</v>
      </c>
      <c r="K4" s="3">
        <f>K3/$F$3</f>
        <v>4.4117647058823532E-2</v>
      </c>
      <c r="L4" s="3">
        <f t="shared" ref="L4:Q4" si="0">L3/$K$3</f>
        <v>0.36</v>
      </c>
      <c r="M4" s="3">
        <f t="shared" si="0"/>
        <v>0.3</v>
      </c>
      <c r="N4" s="3">
        <f t="shared" si="0"/>
        <v>0.16666666666666666</v>
      </c>
      <c r="O4" s="3">
        <f t="shared" si="0"/>
        <v>8.666666666666667E-2</v>
      </c>
      <c r="P4" s="3">
        <f t="shared" si="0"/>
        <v>0.06</v>
      </c>
      <c r="Q4" s="3">
        <f t="shared" si="0"/>
        <v>2.6666666666666668E-2</v>
      </c>
      <c r="S4" s="65">
        <f t="shared" ref="S4:S22" si="1">S3+1</f>
        <v>43134</v>
      </c>
      <c r="U4" t="s">
        <v>127</v>
      </c>
      <c r="X4" t="s">
        <v>147</v>
      </c>
      <c r="Z4" t="s">
        <v>172</v>
      </c>
      <c r="AA4" t="s">
        <v>170</v>
      </c>
    </row>
    <row r="5" spans="1:27" x14ac:dyDescent="0.25">
      <c r="A5" t="s">
        <v>1</v>
      </c>
      <c r="B5">
        <f>(B1-B2-B3)*0.5</f>
        <v>360</v>
      </c>
      <c r="S5" s="65">
        <f t="shared" si="1"/>
        <v>43135</v>
      </c>
      <c r="X5" t="s">
        <v>16</v>
      </c>
      <c r="Z5" s="14" t="s">
        <v>147</v>
      </c>
    </row>
    <row r="6" spans="1:27" x14ac:dyDescent="0.25">
      <c r="A6" t="s">
        <v>2</v>
      </c>
      <c r="B6">
        <f>B5</f>
        <v>360</v>
      </c>
      <c r="F6" s="2" t="s">
        <v>52</v>
      </c>
      <c r="G6" s="2"/>
      <c r="H6" s="2"/>
      <c r="I6" s="2"/>
      <c r="J6" s="2"/>
      <c r="K6" s="2"/>
      <c r="L6" s="2"/>
      <c r="S6" s="65">
        <f t="shared" si="1"/>
        <v>43136</v>
      </c>
      <c r="X6" t="s">
        <v>174</v>
      </c>
      <c r="Z6" s="14" t="s">
        <v>173</v>
      </c>
    </row>
    <row r="7" spans="1:27" x14ac:dyDescent="0.25">
      <c r="A7" t="s">
        <v>7</v>
      </c>
      <c r="B7">
        <v>100</v>
      </c>
      <c r="F7" s="6" t="s">
        <v>4</v>
      </c>
      <c r="G7" s="6" t="s">
        <v>46</v>
      </c>
      <c r="H7" s="6" t="s">
        <v>45</v>
      </c>
      <c r="I7" s="6" t="s">
        <v>44</v>
      </c>
      <c r="J7" s="6" t="s">
        <v>47</v>
      </c>
      <c r="K7" s="6" t="s">
        <v>49</v>
      </c>
      <c r="L7" s="6"/>
      <c r="S7" s="65">
        <f t="shared" si="1"/>
        <v>43137</v>
      </c>
      <c r="X7" t="s">
        <v>165</v>
      </c>
      <c r="Z7" s="14" t="s">
        <v>16</v>
      </c>
    </row>
    <row r="8" spans="1:27" x14ac:dyDescent="0.25">
      <c r="F8">
        <f>M3</f>
        <v>900</v>
      </c>
      <c r="G8">
        <v>7</v>
      </c>
      <c r="H8">
        <v>115</v>
      </c>
      <c r="I8">
        <v>168</v>
      </c>
      <c r="J8">
        <v>195</v>
      </c>
      <c r="K8">
        <v>415</v>
      </c>
      <c r="S8" s="65">
        <f t="shared" si="1"/>
        <v>43138</v>
      </c>
      <c r="X8" t="s">
        <v>112</v>
      </c>
      <c r="Z8" s="14" t="s">
        <v>174</v>
      </c>
    </row>
    <row r="9" spans="1:27" x14ac:dyDescent="0.25">
      <c r="G9" s="3">
        <f>G8/$F$8</f>
        <v>7.7777777777777776E-3</v>
      </c>
      <c r="H9" s="3">
        <f>H8/$F$8</f>
        <v>0.12777777777777777</v>
      </c>
      <c r="I9" s="3">
        <f>I8/$F$8</f>
        <v>0.18666666666666668</v>
      </c>
      <c r="J9" s="3">
        <f>J8/$F$8</f>
        <v>0.21666666666666667</v>
      </c>
      <c r="K9" s="3">
        <f>K8/$F$8</f>
        <v>0.46111111111111114</v>
      </c>
      <c r="S9" s="65">
        <f t="shared" si="1"/>
        <v>43139</v>
      </c>
      <c r="Z9" s="14" t="s">
        <v>175</v>
      </c>
    </row>
    <row r="10" spans="1:27" x14ac:dyDescent="0.25">
      <c r="S10" s="65">
        <f t="shared" si="1"/>
        <v>43140</v>
      </c>
      <c r="Z10" s="14" t="s">
        <v>31</v>
      </c>
    </row>
    <row r="11" spans="1:27" x14ac:dyDescent="0.25">
      <c r="F11" t="s">
        <v>105</v>
      </c>
      <c r="S11" s="65">
        <f t="shared" si="1"/>
        <v>43141</v>
      </c>
      <c r="Z11" s="14" t="s">
        <v>176</v>
      </c>
    </row>
    <row r="12" spans="1:27" x14ac:dyDescent="0.25">
      <c r="F12" t="s">
        <v>106</v>
      </c>
      <c r="G12" t="s">
        <v>109</v>
      </c>
      <c r="H12" t="s">
        <v>107</v>
      </c>
      <c r="I12" t="s">
        <v>108</v>
      </c>
      <c r="J12" t="s">
        <v>102</v>
      </c>
      <c r="N12" s="56"/>
      <c r="S12" s="65">
        <f t="shared" si="1"/>
        <v>43142</v>
      </c>
      <c r="Z12" s="14" t="s">
        <v>177</v>
      </c>
    </row>
    <row r="13" spans="1:27" x14ac:dyDescent="0.25">
      <c r="F13" s="56">
        <v>0.28000000000000003</v>
      </c>
      <c r="G13" s="56">
        <v>0.26</v>
      </c>
      <c r="H13" s="56">
        <v>0.21</v>
      </c>
      <c r="I13" s="56">
        <v>0.12</v>
      </c>
      <c r="J13" s="56">
        <v>0.13</v>
      </c>
      <c r="N13" s="56"/>
      <c r="S13" s="65">
        <f t="shared" si="1"/>
        <v>43143</v>
      </c>
      <c r="Z13" s="14" t="s">
        <v>178</v>
      </c>
    </row>
    <row r="14" spans="1:27" x14ac:dyDescent="0.25">
      <c r="G14" s="56"/>
      <c r="J14" s="56"/>
      <c r="N14" s="56"/>
      <c r="S14" s="65">
        <f t="shared" si="1"/>
        <v>43144</v>
      </c>
      <c r="Z14" s="14" t="s">
        <v>179</v>
      </c>
    </row>
    <row r="15" spans="1:27" x14ac:dyDescent="0.25">
      <c r="G15" s="56"/>
      <c r="J15" s="56"/>
      <c r="N15" s="56"/>
      <c r="S15" s="65">
        <f t="shared" si="1"/>
        <v>43145</v>
      </c>
      <c r="Z15" s="14" t="s">
        <v>136</v>
      </c>
    </row>
    <row r="16" spans="1:27" x14ac:dyDescent="0.25">
      <c r="G16" s="56"/>
      <c r="J16" s="56"/>
      <c r="N16" s="56"/>
      <c r="S16" s="65">
        <f t="shared" si="1"/>
        <v>43146</v>
      </c>
      <c r="Z16" s="14" t="s">
        <v>180</v>
      </c>
    </row>
    <row r="17" spans="1:26" x14ac:dyDescent="0.25">
      <c r="F17" t="s">
        <v>53</v>
      </c>
      <c r="S17" s="65">
        <f t="shared" si="1"/>
        <v>43147</v>
      </c>
      <c r="Z17" s="15" t="s">
        <v>181</v>
      </c>
    </row>
    <row r="18" spans="1:26" x14ac:dyDescent="0.25">
      <c r="F18" t="s">
        <v>131</v>
      </c>
      <c r="G18" t="s">
        <v>132</v>
      </c>
      <c r="H18" t="s">
        <v>133</v>
      </c>
      <c r="I18" t="s">
        <v>128</v>
      </c>
      <c r="J18" t="s">
        <v>102</v>
      </c>
      <c r="S18" s="65">
        <f t="shared" si="1"/>
        <v>43148</v>
      </c>
    </row>
    <row r="19" spans="1:26" x14ac:dyDescent="0.25">
      <c r="A19" t="s">
        <v>5</v>
      </c>
      <c r="B19">
        <v>3000</v>
      </c>
      <c r="F19" s="56">
        <v>0.32</v>
      </c>
      <c r="G19" s="56">
        <v>0.24</v>
      </c>
      <c r="H19" s="56">
        <v>0.16</v>
      </c>
      <c r="I19" s="56">
        <v>0.12</v>
      </c>
      <c r="J19" s="56">
        <v>0.16</v>
      </c>
      <c r="S19" s="65">
        <f t="shared" si="1"/>
        <v>43149</v>
      </c>
    </row>
    <row r="20" spans="1:26" x14ac:dyDescent="0.25">
      <c r="A20" t="s">
        <v>3</v>
      </c>
      <c r="B20">
        <f>B19*16%</f>
        <v>480</v>
      </c>
      <c r="S20" s="65">
        <f t="shared" si="1"/>
        <v>43150</v>
      </c>
    </row>
    <row r="21" spans="1:26" x14ac:dyDescent="0.25">
      <c r="A21" t="s">
        <v>4</v>
      </c>
      <c r="B21">
        <f>B19*60%</f>
        <v>1800</v>
      </c>
      <c r="F21" t="s">
        <v>54</v>
      </c>
      <c r="S21" s="65">
        <f t="shared" si="1"/>
        <v>43151</v>
      </c>
    </row>
    <row r="22" spans="1:26" x14ac:dyDescent="0.25">
      <c r="A22" t="s">
        <v>1</v>
      </c>
      <c r="B22">
        <f>(B19-B20-B21)*0.5</f>
        <v>360</v>
      </c>
      <c r="F22" t="s">
        <v>103</v>
      </c>
      <c r="G22" t="s">
        <v>129</v>
      </c>
      <c r="H22" t="s">
        <v>130</v>
      </c>
      <c r="I22" t="s">
        <v>104</v>
      </c>
      <c r="J22" t="s">
        <v>102</v>
      </c>
      <c r="S22" s="65">
        <f t="shared" si="1"/>
        <v>43152</v>
      </c>
    </row>
    <row r="23" spans="1:26" x14ac:dyDescent="0.25">
      <c r="A23" t="s">
        <v>2</v>
      </c>
      <c r="B23">
        <f>B22</f>
        <v>360</v>
      </c>
      <c r="F23" s="56">
        <v>0.39</v>
      </c>
      <c r="G23" s="56">
        <v>0.19</v>
      </c>
      <c r="H23" s="56">
        <v>0.18</v>
      </c>
      <c r="I23" s="56">
        <v>0.08</v>
      </c>
      <c r="J23" s="56">
        <v>0.16</v>
      </c>
    </row>
    <row r="25" spans="1:26" x14ac:dyDescent="0.25">
      <c r="F25" t="s">
        <v>155</v>
      </c>
    </row>
    <row r="26" spans="1:26" x14ac:dyDescent="0.25">
      <c r="F26" t="s">
        <v>156</v>
      </c>
      <c r="G26" t="s">
        <v>157</v>
      </c>
      <c r="H26" t="s">
        <v>158</v>
      </c>
      <c r="I26" t="s">
        <v>159</v>
      </c>
      <c r="J26" t="s">
        <v>160</v>
      </c>
      <c r="K26" t="s">
        <v>161</v>
      </c>
    </row>
    <row r="27" spans="1:26" x14ac:dyDescent="0.25">
      <c r="F27" s="56">
        <v>0.01</v>
      </c>
      <c r="G27" s="56">
        <v>0.01</v>
      </c>
      <c r="H27" s="56">
        <v>0.51</v>
      </c>
      <c r="I27" s="56">
        <v>0.32</v>
      </c>
      <c r="J27" s="56">
        <v>0.1</v>
      </c>
      <c r="K27" s="56">
        <v>0.05</v>
      </c>
    </row>
    <row r="29" spans="1:26" x14ac:dyDescent="0.25">
      <c r="F29" t="s">
        <v>55</v>
      </c>
    </row>
    <row r="30" spans="1:26" x14ac:dyDescent="0.25">
      <c r="F30" t="s">
        <v>56</v>
      </c>
      <c r="G30" t="s">
        <v>57</v>
      </c>
      <c r="H30" t="s">
        <v>3</v>
      </c>
      <c r="I30" t="s">
        <v>4</v>
      </c>
      <c r="J30" t="s">
        <v>37</v>
      </c>
      <c r="K30" t="s">
        <v>31</v>
      </c>
    </row>
    <row r="31" spans="1:26" x14ac:dyDescent="0.25">
      <c r="F31" t="s">
        <v>58</v>
      </c>
      <c r="G31">
        <v>92</v>
      </c>
    </row>
    <row r="32" spans="1:26" x14ac:dyDescent="0.25">
      <c r="F32" t="s">
        <v>59</v>
      </c>
    </row>
    <row r="33" spans="1:17" x14ac:dyDescent="0.25">
      <c r="F33" t="s">
        <v>60</v>
      </c>
    </row>
    <row r="34" spans="1:17" x14ac:dyDescent="0.25">
      <c r="F34" t="s">
        <v>61</v>
      </c>
    </row>
    <row r="35" spans="1:17" x14ac:dyDescent="0.25">
      <c r="F35" t="s">
        <v>62</v>
      </c>
    </row>
    <row r="36" spans="1:17" x14ac:dyDescent="0.25">
      <c r="F36" t="s">
        <v>63</v>
      </c>
    </row>
    <row r="37" spans="1:17" x14ac:dyDescent="0.25">
      <c r="F37" t="s">
        <v>64</v>
      </c>
    </row>
    <row r="38" spans="1:17" x14ac:dyDescent="0.25">
      <c r="F38" t="s">
        <v>65</v>
      </c>
    </row>
    <row r="39" spans="1:17" x14ac:dyDescent="0.25">
      <c r="F39" t="s">
        <v>66</v>
      </c>
    </row>
    <row r="40" spans="1:17" x14ac:dyDescent="0.25">
      <c r="F40" t="s">
        <v>67</v>
      </c>
    </row>
    <row r="41" spans="1:17" x14ac:dyDescent="0.25">
      <c r="F41" t="s">
        <v>68</v>
      </c>
    </row>
    <row r="42" spans="1:17" x14ac:dyDescent="0.25">
      <c r="F42" t="s">
        <v>69</v>
      </c>
    </row>
    <row r="43" spans="1:17" x14ac:dyDescent="0.25">
      <c r="F43" t="s">
        <v>70</v>
      </c>
    </row>
    <row r="44" spans="1:17" x14ac:dyDescent="0.25">
      <c r="F44" t="s">
        <v>71</v>
      </c>
    </row>
    <row r="46" spans="1:17" x14ac:dyDescent="0.25">
      <c r="A46" t="s">
        <v>27</v>
      </c>
    </row>
    <row r="47" spans="1:17" x14ac:dyDescent="0.25">
      <c r="F47" t="s">
        <v>144</v>
      </c>
    </row>
    <row r="48" spans="1:17" x14ac:dyDescent="0.25">
      <c r="F48" t="s">
        <v>43</v>
      </c>
      <c r="G48" t="s">
        <v>42</v>
      </c>
      <c r="H48" t="s">
        <v>116</v>
      </c>
      <c r="I48" t="s">
        <v>117</v>
      </c>
      <c r="J48" t="s">
        <v>118</v>
      </c>
      <c r="K48" t="s">
        <v>48</v>
      </c>
      <c r="L48" t="s">
        <v>3</v>
      </c>
      <c r="M48" t="s">
        <v>4</v>
      </c>
      <c r="N48" t="s">
        <v>41</v>
      </c>
      <c r="O48" t="s">
        <v>39</v>
      </c>
      <c r="P48" t="s">
        <v>40</v>
      </c>
      <c r="Q48" t="s">
        <v>120</v>
      </c>
    </row>
    <row r="49" spans="5:17" x14ac:dyDescent="0.25">
      <c r="E49" s="65">
        <v>42774</v>
      </c>
      <c r="F49" s="7">
        <f>SUM(G49:K49)</f>
        <v>68000</v>
      </c>
      <c r="G49" s="7">
        <v>33000</v>
      </c>
      <c r="H49" s="7">
        <v>16000</v>
      </c>
      <c r="I49" s="7">
        <v>10000</v>
      </c>
      <c r="J49" s="7">
        <v>6000</v>
      </c>
      <c r="K49" s="7">
        <v>3000</v>
      </c>
      <c r="L49">
        <v>0.36</v>
      </c>
      <c r="M49">
        <v>0.3</v>
      </c>
      <c r="N49">
        <v>0.16666666666666666</v>
      </c>
      <c r="O49">
        <v>8.666666666666667E-2</v>
      </c>
      <c r="P49">
        <v>0.06</v>
      </c>
      <c r="Q49">
        <v>2.6666666666666668E-2</v>
      </c>
    </row>
    <row r="50" spans="5:17" x14ac:dyDescent="0.25">
      <c r="E50" s="65">
        <f>E49+1</f>
        <v>42775</v>
      </c>
      <c r="F50" s="88">
        <f>F49+1123</f>
        <v>69123</v>
      </c>
      <c r="G50" s="7">
        <f>ROUND($F50*49%,0)</f>
        <v>33870</v>
      </c>
      <c r="H50" s="7">
        <f>ROUND($F50*24%,0)</f>
        <v>16590</v>
      </c>
      <c r="I50" s="7">
        <f>ROUND($F50*15%,0)</f>
        <v>10368</v>
      </c>
      <c r="J50" s="7">
        <f>ROUND($F50*8%,0)</f>
        <v>5530</v>
      </c>
      <c r="K50" s="7">
        <f>ROUND($F50*4%,0)</f>
        <v>2765</v>
      </c>
      <c r="L50" s="3"/>
      <c r="M50" s="3"/>
      <c r="N50" s="3"/>
      <c r="O50" s="3"/>
      <c r="P50" s="3"/>
      <c r="Q50" s="3"/>
    </row>
    <row r="51" spans="5:17" x14ac:dyDescent="0.25">
      <c r="E51" s="65">
        <f t="shared" ref="E51:E73" si="2">E50+1</f>
        <v>42776</v>
      </c>
      <c r="F51">
        <v>64000</v>
      </c>
      <c r="G51" s="7">
        <f>ROUND(F51*47%,0)</f>
        <v>30080</v>
      </c>
      <c r="H51" s="7">
        <f t="shared" ref="H51:H73" si="3">ROUND($F51*24%,0)</f>
        <v>15360</v>
      </c>
      <c r="I51" s="7">
        <f t="shared" ref="I51:I73" si="4">ROUND($F51*15%,0)</f>
        <v>9600</v>
      </c>
      <c r="J51" s="7">
        <f t="shared" ref="J51:J73" si="5">ROUND($F51*9%,0)</f>
        <v>5760</v>
      </c>
      <c r="K51" s="7">
        <f t="shared" ref="K51:K73" si="6">ROUND($F51*4%,0)</f>
        <v>2560</v>
      </c>
    </row>
    <row r="52" spans="5:17" x14ac:dyDescent="0.25">
      <c r="E52" s="65">
        <f t="shared" si="2"/>
        <v>42777</v>
      </c>
      <c r="F52">
        <v>22000</v>
      </c>
      <c r="G52" s="7">
        <f>ROUND(F52*45%,0)</f>
        <v>9900</v>
      </c>
      <c r="H52" s="7">
        <f t="shared" si="3"/>
        <v>5280</v>
      </c>
      <c r="I52" s="7">
        <f t="shared" si="4"/>
        <v>3300</v>
      </c>
      <c r="J52" s="7">
        <f t="shared" si="5"/>
        <v>1980</v>
      </c>
      <c r="K52" s="7">
        <f t="shared" si="6"/>
        <v>880</v>
      </c>
    </row>
    <row r="53" spans="5:17" x14ac:dyDescent="0.25">
      <c r="E53" s="65">
        <f t="shared" si="2"/>
        <v>42778</v>
      </c>
      <c r="F53">
        <v>59000</v>
      </c>
      <c r="G53" s="7">
        <f>ROUND(F53*44%,0)</f>
        <v>25960</v>
      </c>
      <c r="H53" s="7">
        <f t="shared" si="3"/>
        <v>14160</v>
      </c>
      <c r="I53" s="7">
        <f t="shared" si="4"/>
        <v>8850</v>
      </c>
      <c r="J53" s="7">
        <f t="shared" si="5"/>
        <v>5310</v>
      </c>
      <c r="K53" s="7">
        <f t="shared" si="6"/>
        <v>2360</v>
      </c>
    </row>
    <row r="54" spans="5:17" x14ac:dyDescent="0.25">
      <c r="E54" s="65">
        <f t="shared" si="2"/>
        <v>42779</v>
      </c>
      <c r="F54">
        <v>61000</v>
      </c>
      <c r="G54" s="7">
        <f>ROUND(F54*46%,0)</f>
        <v>28060</v>
      </c>
      <c r="H54" s="7">
        <f t="shared" si="3"/>
        <v>14640</v>
      </c>
      <c r="I54" s="7">
        <f t="shared" si="4"/>
        <v>9150</v>
      </c>
      <c r="J54" s="7">
        <f t="shared" si="5"/>
        <v>5490</v>
      </c>
      <c r="K54" s="7">
        <f t="shared" si="6"/>
        <v>2440</v>
      </c>
    </row>
    <row r="55" spans="5:17" x14ac:dyDescent="0.25">
      <c r="E55" s="65">
        <f t="shared" si="2"/>
        <v>42780</v>
      </c>
      <c r="F55">
        <v>63000</v>
      </c>
      <c r="G55" s="7">
        <f>ROUND(F55*47%,0)</f>
        <v>29610</v>
      </c>
      <c r="H55" s="7">
        <f t="shared" si="3"/>
        <v>15120</v>
      </c>
      <c r="I55" s="7">
        <f t="shared" si="4"/>
        <v>9450</v>
      </c>
      <c r="J55" s="7">
        <f t="shared" si="5"/>
        <v>5670</v>
      </c>
      <c r="K55" s="7">
        <f t="shared" si="6"/>
        <v>2520</v>
      </c>
    </row>
    <row r="56" spans="5:17" x14ac:dyDescent="0.25">
      <c r="E56" s="65">
        <f t="shared" si="2"/>
        <v>42781</v>
      </c>
      <c r="F56">
        <v>65000</v>
      </c>
      <c r="G56" s="7">
        <f>ROUND(F56*48%,0)</f>
        <v>31200</v>
      </c>
      <c r="H56" s="7">
        <f t="shared" si="3"/>
        <v>15600</v>
      </c>
      <c r="I56" s="7">
        <f t="shared" si="4"/>
        <v>9750</v>
      </c>
      <c r="J56" s="7">
        <f t="shared" si="5"/>
        <v>5850</v>
      </c>
      <c r="K56" s="7">
        <f t="shared" si="6"/>
        <v>2600</v>
      </c>
    </row>
    <row r="57" spans="5:17" x14ac:dyDescent="0.25">
      <c r="E57" s="65">
        <f t="shared" si="2"/>
        <v>42782</v>
      </c>
      <c r="F57">
        <v>67000</v>
      </c>
      <c r="G57" s="7">
        <f>ROUND(F57*50%,0)</f>
        <v>33500</v>
      </c>
      <c r="H57" s="7">
        <f t="shared" si="3"/>
        <v>16080</v>
      </c>
      <c r="I57" s="7">
        <f t="shared" si="4"/>
        <v>10050</v>
      </c>
      <c r="J57" s="7">
        <f t="shared" si="5"/>
        <v>6030</v>
      </c>
      <c r="K57" s="7">
        <f t="shared" si="6"/>
        <v>2680</v>
      </c>
    </row>
    <row r="58" spans="5:17" x14ac:dyDescent="0.25">
      <c r="E58" s="65">
        <f t="shared" si="2"/>
        <v>42783</v>
      </c>
      <c r="F58">
        <v>63000</v>
      </c>
      <c r="G58" s="7">
        <f>ROUND(F58*51%,0)</f>
        <v>32130</v>
      </c>
      <c r="H58" s="7">
        <f t="shared" si="3"/>
        <v>15120</v>
      </c>
      <c r="I58" s="7">
        <f t="shared" si="4"/>
        <v>9450</v>
      </c>
      <c r="J58" s="7">
        <f t="shared" si="5"/>
        <v>5670</v>
      </c>
      <c r="K58" s="7">
        <f t="shared" si="6"/>
        <v>2520</v>
      </c>
    </row>
    <row r="59" spans="5:17" x14ac:dyDescent="0.25">
      <c r="E59" s="65">
        <f t="shared" si="2"/>
        <v>42784</v>
      </c>
      <c r="F59">
        <v>21000</v>
      </c>
      <c r="G59" s="7">
        <f>ROUND(F59*52%,0)</f>
        <v>10920</v>
      </c>
      <c r="H59" s="7">
        <f t="shared" si="3"/>
        <v>5040</v>
      </c>
      <c r="I59" s="7">
        <f t="shared" si="4"/>
        <v>3150</v>
      </c>
      <c r="J59" s="7">
        <f t="shared" si="5"/>
        <v>1890</v>
      </c>
      <c r="K59" s="7">
        <f t="shared" si="6"/>
        <v>840</v>
      </c>
    </row>
    <row r="60" spans="5:17" x14ac:dyDescent="0.25">
      <c r="E60" s="65">
        <f t="shared" si="2"/>
        <v>42785</v>
      </c>
      <c r="F60">
        <v>59000</v>
      </c>
      <c r="G60" s="7">
        <f>ROUND(F60*50%,0)</f>
        <v>29500</v>
      </c>
      <c r="H60" s="7">
        <f t="shared" si="3"/>
        <v>14160</v>
      </c>
      <c r="I60" s="7">
        <f t="shared" si="4"/>
        <v>8850</v>
      </c>
      <c r="J60" s="7">
        <f t="shared" si="5"/>
        <v>5310</v>
      </c>
      <c r="K60" s="7">
        <f t="shared" si="6"/>
        <v>2360</v>
      </c>
    </row>
    <row r="61" spans="5:17" x14ac:dyDescent="0.25">
      <c r="E61" s="65">
        <f t="shared" si="2"/>
        <v>42786</v>
      </c>
      <c r="F61">
        <v>61000</v>
      </c>
      <c r="G61" s="7">
        <f>ROUND(F61*48%,0)</f>
        <v>29280</v>
      </c>
      <c r="H61" s="7">
        <f t="shared" si="3"/>
        <v>14640</v>
      </c>
      <c r="I61" s="7">
        <f t="shared" si="4"/>
        <v>9150</v>
      </c>
      <c r="J61" s="7">
        <f t="shared" si="5"/>
        <v>5490</v>
      </c>
      <c r="K61" s="7">
        <f t="shared" si="6"/>
        <v>2440</v>
      </c>
    </row>
    <row r="62" spans="5:17" x14ac:dyDescent="0.25">
      <c r="E62" s="65">
        <f t="shared" si="2"/>
        <v>42787</v>
      </c>
      <c r="F62">
        <v>63000</v>
      </c>
      <c r="G62" s="7">
        <f>ROUND(F62*47%,0)</f>
        <v>29610</v>
      </c>
      <c r="H62" s="7">
        <f t="shared" si="3"/>
        <v>15120</v>
      </c>
      <c r="I62" s="7">
        <f t="shared" si="4"/>
        <v>9450</v>
      </c>
      <c r="J62" s="7">
        <f t="shared" si="5"/>
        <v>5670</v>
      </c>
      <c r="K62" s="7">
        <f t="shared" si="6"/>
        <v>2520</v>
      </c>
    </row>
    <row r="63" spans="5:17" x14ac:dyDescent="0.25">
      <c r="E63" s="65">
        <f t="shared" si="2"/>
        <v>42788</v>
      </c>
      <c r="F63">
        <v>65000</v>
      </c>
      <c r="G63" s="7">
        <f>ROUND(F63*47%,0)</f>
        <v>30550</v>
      </c>
      <c r="H63" s="7">
        <f t="shared" si="3"/>
        <v>15600</v>
      </c>
      <c r="I63" s="7">
        <f t="shared" si="4"/>
        <v>9750</v>
      </c>
      <c r="J63" s="7">
        <f t="shared" si="5"/>
        <v>5850</v>
      </c>
      <c r="K63" s="7">
        <f t="shared" si="6"/>
        <v>2600</v>
      </c>
    </row>
    <row r="64" spans="5:17" x14ac:dyDescent="0.25">
      <c r="E64" s="65">
        <f t="shared" si="2"/>
        <v>42789</v>
      </c>
      <c r="F64">
        <v>67000</v>
      </c>
      <c r="G64" s="7">
        <f>ROUND(F64*48%,0)</f>
        <v>32160</v>
      </c>
      <c r="H64" s="7">
        <f t="shared" si="3"/>
        <v>16080</v>
      </c>
      <c r="I64" s="7">
        <f t="shared" si="4"/>
        <v>10050</v>
      </c>
      <c r="J64" s="7">
        <f t="shared" si="5"/>
        <v>6030</v>
      </c>
      <c r="K64" s="7">
        <f t="shared" si="6"/>
        <v>2680</v>
      </c>
    </row>
    <row r="65" spans="5:11" x14ac:dyDescent="0.25">
      <c r="E65" s="65">
        <f t="shared" si="2"/>
        <v>42790</v>
      </c>
      <c r="F65">
        <v>63000</v>
      </c>
      <c r="G65" s="7">
        <f t="shared" ref="G65:G73" si="7">ROUND(F65*49%,0)</f>
        <v>30870</v>
      </c>
      <c r="H65" s="7">
        <f t="shared" si="3"/>
        <v>15120</v>
      </c>
      <c r="I65" s="7">
        <f t="shared" si="4"/>
        <v>9450</v>
      </c>
      <c r="J65" s="7">
        <f t="shared" si="5"/>
        <v>5670</v>
      </c>
      <c r="K65" s="7">
        <f t="shared" si="6"/>
        <v>2520</v>
      </c>
    </row>
    <row r="66" spans="5:11" x14ac:dyDescent="0.25">
      <c r="E66" s="65">
        <f t="shared" si="2"/>
        <v>42791</v>
      </c>
      <c r="F66">
        <v>21000</v>
      </c>
      <c r="G66" s="7">
        <f>ROUND(F66*53%,0)</f>
        <v>11130</v>
      </c>
      <c r="H66" s="7">
        <f t="shared" si="3"/>
        <v>5040</v>
      </c>
      <c r="I66" s="7">
        <f t="shared" si="4"/>
        <v>3150</v>
      </c>
      <c r="J66" s="7">
        <f t="shared" si="5"/>
        <v>1890</v>
      </c>
      <c r="K66" s="7">
        <f t="shared" si="6"/>
        <v>840</v>
      </c>
    </row>
    <row r="67" spans="5:11" x14ac:dyDescent="0.25">
      <c r="E67" s="65">
        <f t="shared" si="2"/>
        <v>42792</v>
      </c>
      <c r="F67">
        <v>59000</v>
      </c>
      <c r="G67" s="7">
        <f>ROUND(F67*52%,0)</f>
        <v>30680</v>
      </c>
      <c r="H67" s="7">
        <f t="shared" si="3"/>
        <v>14160</v>
      </c>
      <c r="I67" s="7">
        <f t="shared" si="4"/>
        <v>8850</v>
      </c>
      <c r="J67" s="7">
        <f t="shared" si="5"/>
        <v>5310</v>
      </c>
      <c r="K67" s="7">
        <f t="shared" si="6"/>
        <v>2360</v>
      </c>
    </row>
    <row r="68" spans="5:11" x14ac:dyDescent="0.25">
      <c r="E68" s="65">
        <f t="shared" si="2"/>
        <v>42793</v>
      </c>
      <c r="F68">
        <v>61000</v>
      </c>
      <c r="G68" s="7">
        <f>ROUND(F68*53%,0)</f>
        <v>32330</v>
      </c>
      <c r="H68" s="7">
        <f t="shared" si="3"/>
        <v>14640</v>
      </c>
      <c r="I68" s="7">
        <f t="shared" si="4"/>
        <v>9150</v>
      </c>
      <c r="J68" s="7">
        <f t="shared" si="5"/>
        <v>5490</v>
      </c>
      <c r="K68" s="7">
        <f t="shared" si="6"/>
        <v>2440</v>
      </c>
    </row>
    <row r="69" spans="5:11" x14ac:dyDescent="0.25">
      <c r="E69" s="65">
        <f t="shared" si="2"/>
        <v>42794</v>
      </c>
      <c r="F69">
        <v>63000</v>
      </c>
      <c r="G69" s="7">
        <f>ROUND(F69*54%,0)</f>
        <v>34020</v>
      </c>
      <c r="H69" s="7">
        <f t="shared" si="3"/>
        <v>15120</v>
      </c>
      <c r="I69" s="7">
        <f t="shared" si="4"/>
        <v>9450</v>
      </c>
      <c r="J69" s="7">
        <f t="shared" si="5"/>
        <v>5670</v>
      </c>
      <c r="K69" s="7">
        <f t="shared" si="6"/>
        <v>2520</v>
      </c>
    </row>
    <row r="70" spans="5:11" x14ac:dyDescent="0.25">
      <c r="E70" s="65">
        <f t="shared" si="2"/>
        <v>42795</v>
      </c>
      <c r="F70">
        <v>65000</v>
      </c>
      <c r="G70" s="7">
        <f>ROUND(F70*53%,0)</f>
        <v>34450</v>
      </c>
      <c r="H70" s="7">
        <f t="shared" si="3"/>
        <v>15600</v>
      </c>
      <c r="I70" s="7">
        <f t="shared" si="4"/>
        <v>9750</v>
      </c>
      <c r="J70" s="7">
        <f t="shared" si="5"/>
        <v>5850</v>
      </c>
      <c r="K70" s="7">
        <f t="shared" si="6"/>
        <v>2600</v>
      </c>
    </row>
    <row r="71" spans="5:11" x14ac:dyDescent="0.25">
      <c r="E71" s="65">
        <f t="shared" si="2"/>
        <v>42796</v>
      </c>
      <c r="F71">
        <v>67000</v>
      </c>
      <c r="G71" s="7">
        <f>ROUND(F71*53%,0)</f>
        <v>35510</v>
      </c>
      <c r="H71" s="7">
        <f t="shared" si="3"/>
        <v>16080</v>
      </c>
      <c r="I71" s="7">
        <f t="shared" si="4"/>
        <v>10050</v>
      </c>
      <c r="J71" s="7">
        <f t="shared" si="5"/>
        <v>6030</v>
      </c>
      <c r="K71" s="7">
        <f t="shared" si="6"/>
        <v>2680</v>
      </c>
    </row>
    <row r="72" spans="5:11" x14ac:dyDescent="0.25">
      <c r="E72" s="65">
        <f t="shared" si="2"/>
        <v>42797</v>
      </c>
      <c r="F72">
        <v>63000</v>
      </c>
      <c r="G72" s="7">
        <f>ROUND(F72*51%,0)</f>
        <v>32130</v>
      </c>
      <c r="H72" s="7">
        <f t="shared" si="3"/>
        <v>15120</v>
      </c>
      <c r="I72" s="7">
        <f t="shared" si="4"/>
        <v>9450</v>
      </c>
      <c r="J72" s="7">
        <f t="shared" si="5"/>
        <v>5670</v>
      </c>
      <c r="K72" s="7">
        <f t="shared" si="6"/>
        <v>2520</v>
      </c>
    </row>
    <row r="73" spans="5:11" x14ac:dyDescent="0.25">
      <c r="E73" s="65">
        <f t="shared" si="2"/>
        <v>42798</v>
      </c>
      <c r="F73">
        <v>21000</v>
      </c>
      <c r="G73" s="7">
        <f t="shared" si="7"/>
        <v>10290</v>
      </c>
      <c r="H73" s="7">
        <f t="shared" si="3"/>
        <v>5040</v>
      </c>
      <c r="I73" s="7">
        <f t="shared" si="4"/>
        <v>3150</v>
      </c>
      <c r="J73" s="7">
        <f t="shared" si="5"/>
        <v>1890</v>
      </c>
      <c r="K73" s="7">
        <f t="shared" si="6"/>
        <v>840</v>
      </c>
    </row>
  </sheetData>
  <sortState ref="F13:J13">
    <sortCondition descending="1" ref="F13"/>
  </sortState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O30" sqref="O30"/>
    </sheetView>
  </sheetViews>
  <sheetFormatPr defaultRowHeight="15" x14ac:dyDescent="0.25"/>
  <sheetData>
    <row r="1" spans="1:1" x14ac:dyDescent="0.25">
      <c r="A1" t="s">
        <v>0</v>
      </c>
    </row>
    <row r="17" spans="1:20" x14ac:dyDescent="0.25">
      <c r="A17" s="2" t="s">
        <v>34</v>
      </c>
      <c r="B17" s="2"/>
      <c r="C17" s="2"/>
    </row>
    <row r="18" spans="1:20" x14ac:dyDescent="0.25">
      <c r="A18" t="s">
        <v>35</v>
      </c>
    </row>
    <row r="19" spans="1:20" x14ac:dyDescent="0.25">
      <c r="A19" t="s">
        <v>36</v>
      </c>
    </row>
    <row r="20" spans="1:20" x14ac:dyDescent="0.25">
      <c r="A20" t="s">
        <v>37</v>
      </c>
    </row>
    <row r="21" spans="1:20" x14ac:dyDescent="0.25">
      <c r="A21" t="s">
        <v>38</v>
      </c>
    </row>
    <row r="23" spans="1:20" x14ac:dyDescent="0.25">
      <c r="A23" s="1" t="s">
        <v>9</v>
      </c>
    </row>
    <row r="24" spans="1:20" x14ac:dyDescent="0.25">
      <c r="A24" t="s">
        <v>10</v>
      </c>
    </row>
    <row r="25" spans="1:20" x14ac:dyDescent="0.25">
      <c r="A25" t="s">
        <v>26</v>
      </c>
    </row>
    <row r="26" spans="1:20" x14ac:dyDescent="0.25">
      <c r="A26" t="s">
        <v>11</v>
      </c>
      <c r="B26" t="s">
        <v>12</v>
      </c>
      <c r="C26" s="100" t="s">
        <v>20</v>
      </c>
      <c r="D26" s="100"/>
      <c r="E26" s="100"/>
      <c r="F26" s="100"/>
      <c r="G26" s="100"/>
      <c r="H26" s="100"/>
      <c r="O26" s="100" t="s">
        <v>22</v>
      </c>
      <c r="P26" s="100"/>
      <c r="Q26" s="100"/>
      <c r="R26" s="100"/>
      <c r="S26" s="100"/>
      <c r="T26" s="100"/>
    </row>
    <row r="27" spans="1:20" x14ac:dyDescent="0.25">
      <c r="C27" t="s">
        <v>14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  <c r="I27" t="s">
        <v>21</v>
      </c>
      <c r="J27" t="s">
        <v>28</v>
      </c>
      <c r="K27" t="s">
        <v>29</v>
      </c>
      <c r="L27" t="s">
        <v>30</v>
      </c>
      <c r="M27" t="s">
        <v>31</v>
      </c>
      <c r="N27" t="s">
        <v>32</v>
      </c>
      <c r="O27" t="s">
        <v>33</v>
      </c>
    </row>
    <row r="28" spans="1:20" x14ac:dyDescent="0.25">
      <c r="A28" t="s">
        <v>13</v>
      </c>
      <c r="C28">
        <v>10</v>
      </c>
    </row>
    <row r="29" spans="1:20" x14ac:dyDescent="0.25">
      <c r="A29" t="s">
        <v>23</v>
      </c>
      <c r="C29">
        <v>5</v>
      </c>
    </row>
    <row r="30" spans="1:20" x14ac:dyDescent="0.25">
      <c r="A30" t="s">
        <v>24</v>
      </c>
      <c r="C30">
        <v>9</v>
      </c>
    </row>
    <row r="31" spans="1:20" x14ac:dyDescent="0.25">
      <c r="A31" t="s">
        <v>19</v>
      </c>
      <c r="C31">
        <f>SUM(C28:C30)</f>
        <v>24</v>
      </c>
    </row>
    <row r="32" spans="1:20" x14ac:dyDescent="0.25">
      <c r="A32" t="s">
        <v>25</v>
      </c>
      <c r="C32">
        <v>3</v>
      </c>
    </row>
  </sheetData>
  <mergeCells count="2">
    <mergeCell ref="C26:H26"/>
    <mergeCell ref="O26:T2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D1" workbookViewId="0">
      <selection activeCell="W8" sqref="W8"/>
    </sheetView>
  </sheetViews>
  <sheetFormatPr defaultRowHeight="15" x14ac:dyDescent="0.25"/>
  <cols>
    <col min="1" max="1" width="10.7109375" style="65" bestFit="1" customWidth="1"/>
    <col min="2" max="2" width="9.140625" customWidth="1"/>
    <col min="4" max="4" width="12.85546875" bestFit="1" customWidth="1"/>
    <col min="5" max="5" width="9.140625" customWidth="1"/>
  </cols>
  <sheetData>
    <row r="1" spans="1:13" x14ac:dyDescent="0.25">
      <c r="A1" s="101" t="s">
        <v>148</v>
      </c>
      <c r="B1" s="90" t="s">
        <v>149</v>
      </c>
      <c r="C1" s="90" t="s">
        <v>150</v>
      </c>
      <c r="D1" s="90" t="s">
        <v>151</v>
      </c>
      <c r="E1" t="s">
        <v>152</v>
      </c>
      <c r="F1" t="s">
        <v>153</v>
      </c>
      <c r="G1" t="s">
        <v>154</v>
      </c>
    </row>
    <row r="2" spans="1:13" x14ac:dyDescent="0.25">
      <c r="A2" s="65">
        <v>43073</v>
      </c>
      <c r="B2">
        <v>2509</v>
      </c>
      <c r="C2">
        <v>2356</v>
      </c>
      <c r="D2">
        <v>4865</v>
      </c>
      <c r="E2" s="91">
        <v>80448</v>
      </c>
      <c r="F2" s="92">
        <f>C2/E2</f>
        <v>2.9285998408910104E-2</v>
      </c>
      <c r="G2" s="93">
        <f>AVERAGE(F2:F13)</f>
        <v>2.9366871393866515E-2</v>
      </c>
    </row>
    <row r="3" spans="1:13" x14ac:dyDescent="0.25">
      <c r="A3" s="65">
        <v>43074</v>
      </c>
      <c r="B3">
        <v>2198</v>
      </c>
      <c r="C3">
        <v>2208</v>
      </c>
      <c r="D3">
        <v>4406</v>
      </c>
      <c r="E3" s="91">
        <v>79447</v>
      </c>
      <c r="F3" s="92">
        <f>C3/E3</f>
        <v>2.779211298098103E-2</v>
      </c>
      <c r="G3" s="93">
        <v>2.9366871393866501E-2</v>
      </c>
      <c r="M3">
        <f>55+17</f>
        <v>72</v>
      </c>
    </row>
    <row r="4" spans="1:13" x14ac:dyDescent="0.25">
      <c r="A4" s="65">
        <v>43075</v>
      </c>
      <c r="B4">
        <v>2196</v>
      </c>
      <c r="C4">
        <v>2042</v>
      </c>
      <c r="D4">
        <v>4238</v>
      </c>
      <c r="E4" s="91">
        <v>78961</v>
      </c>
      <c r="F4" s="92">
        <f>C4/E4</f>
        <v>2.5860868023454615E-2</v>
      </c>
      <c r="G4" s="93">
        <v>2.9366871393866501E-2</v>
      </c>
    </row>
    <row r="5" spans="1:13" x14ac:dyDescent="0.25">
      <c r="A5" s="65">
        <v>43076</v>
      </c>
      <c r="B5">
        <v>2269</v>
      </c>
      <c r="C5">
        <v>2134</v>
      </c>
      <c r="D5">
        <v>4403</v>
      </c>
      <c r="E5" s="91">
        <v>78966</v>
      </c>
      <c r="F5" s="92">
        <f>C5/E5</f>
        <v>2.7024288934478131E-2</v>
      </c>
      <c r="G5" s="93">
        <v>2.9366871393866501E-2</v>
      </c>
    </row>
    <row r="6" spans="1:13" x14ac:dyDescent="0.25">
      <c r="A6" s="65">
        <v>43077</v>
      </c>
      <c r="B6">
        <v>1962</v>
      </c>
      <c r="C6">
        <v>1846</v>
      </c>
      <c r="D6">
        <v>3808</v>
      </c>
      <c r="E6" s="91">
        <v>67650</v>
      </c>
      <c r="F6" s="92">
        <f>C6/E6</f>
        <v>2.728750923872875E-2</v>
      </c>
      <c r="G6" s="93">
        <v>2.9366871393866501E-2</v>
      </c>
    </row>
    <row r="7" spans="1:13" x14ac:dyDescent="0.25">
      <c r="A7" s="65">
        <v>43080</v>
      </c>
      <c r="B7">
        <v>2255</v>
      </c>
      <c r="C7">
        <v>2304</v>
      </c>
      <c r="D7">
        <v>4559</v>
      </c>
      <c r="E7" s="91">
        <v>80761</v>
      </c>
      <c r="F7" s="92">
        <f>C7/E7</f>
        <v>2.8528621488094499E-2</v>
      </c>
      <c r="G7" s="93">
        <v>2.9366871393866501E-2</v>
      </c>
    </row>
    <row r="8" spans="1:13" x14ac:dyDescent="0.25">
      <c r="A8" s="65">
        <v>43081</v>
      </c>
      <c r="B8">
        <v>2108</v>
      </c>
      <c r="C8">
        <v>2325</v>
      </c>
      <c r="D8">
        <v>4433</v>
      </c>
      <c r="E8" s="91">
        <v>80761</v>
      </c>
      <c r="F8" s="92">
        <f>C8/E8</f>
        <v>2.8788647986032864E-2</v>
      </c>
      <c r="G8" s="93">
        <v>2.9366871393866501E-2</v>
      </c>
    </row>
    <row r="9" spans="1:13" x14ac:dyDescent="0.25">
      <c r="A9" s="65">
        <v>43082</v>
      </c>
      <c r="B9">
        <v>2372</v>
      </c>
      <c r="C9">
        <v>2142</v>
      </c>
      <c r="D9">
        <v>4514</v>
      </c>
      <c r="E9" s="91">
        <v>81153</v>
      </c>
      <c r="F9" s="92">
        <f>C9/E9</f>
        <v>2.6394588000443607E-2</v>
      </c>
      <c r="G9" s="93">
        <v>2.9366871393866501E-2</v>
      </c>
    </row>
    <row r="10" spans="1:13" x14ac:dyDescent="0.25">
      <c r="A10" s="65">
        <v>43083</v>
      </c>
      <c r="B10">
        <v>2208</v>
      </c>
      <c r="C10">
        <v>2227</v>
      </c>
      <c r="D10">
        <v>4435</v>
      </c>
      <c r="E10" s="91">
        <v>78043</v>
      </c>
      <c r="F10" s="92">
        <f>C10/E10</f>
        <v>2.8535550914239587E-2</v>
      </c>
      <c r="G10" s="93">
        <v>2.9366871393866501E-2</v>
      </c>
    </row>
    <row r="11" spans="1:13" x14ac:dyDescent="0.25">
      <c r="A11" s="65">
        <v>43084</v>
      </c>
      <c r="B11">
        <v>2015</v>
      </c>
      <c r="C11">
        <v>2314</v>
      </c>
      <c r="D11">
        <v>4329</v>
      </c>
      <c r="E11" s="91">
        <v>70622</v>
      </c>
      <c r="F11" s="92">
        <f>C11/E11</f>
        <v>3.2765993599728128E-2</v>
      </c>
      <c r="G11" s="93">
        <v>2.9366871393866501E-2</v>
      </c>
    </row>
    <row r="12" spans="1:13" x14ac:dyDescent="0.25">
      <c r="A12" s="65">
        <v>43087</v>
      </c>
      <c r="B12">
        <v>2173</v>
      </c>
      <c r="C12">
        <v>2363</v>
      </c>
      <c r="D12">
        <v>4536</v>
      </c>
      <c r="E12" s="91">
        <v>77152</v>
      </c>
      <c r="F12" s="92">
        <f>C12/E12</f>
        <v>3.062785151389465E-2</v>
      </c>
      <c r="G12" s="93">
        <v>2.9366871393866501E-2</v>
      </c>
    </row>
    <row r="13" spans="1:13" x14ac:dyDescent="0.25">
      <c r="A13" s="65">
        <v>43088</v>
      </c>
      <c r="B13">
        <v>1988</v>
      </c>
      <c r="C13">
        <v>3028</v>
      </c>
      <c r="D13">
        <v>5016</v>
      </c>
      <c r="E13" s="91">
        <v>76638</v>
      </c>
      <c r="F13" s="92">
        <f>C13/E13</f>
        <v>3.951042563741225E-2</v>
      </c>
      <c r="G13" s="93">
        <v>2.9366871393866501E-2</v>
      </c>
    </row>
    <row r="14" spans="1:13" x14ac:dyDescent="0.25">
      <c r="A14" s="65">
        <v>43089</v>
      </c>
      <c r="B14">
        <v>2070</v>
      </c>
      <c r="C14">
        <v>4169</v>
      </c>
      <c r="D14">
        <v>6239</v>
      </c>
      <c r="E14" s="91">
        <v>75941</v>
      </c>
      <c r="F14" s="92">
        <f>C14/E14</f>
        <v>5.48978812499177E-2</v>
      </c>
      <c r="G14" s="93">
        <v>2.9366871393866501E-2</v>
      </c>
    </row>
    <row r="15" spans="1:13" x14ac:dyDescent="0.25">
      <c r="A15" s="65">
        <v>43090</v>
      </c>
      <c r="B15">
        <v>2102</v>
      </c>
      <c r="C15">
        <v>4065</v>
      </c>
      <c r="D15">
        <v>6167</v>
      </c>
      <c r="E15" s="91">
        <v>74692</v>
      </c>
      <c r="F15" s="92">
        <f>C15/E15</f>
        <v>5.4423499169924491E-2</v>
      </c>
      <c r="G15" s="93">
        <v>2.9366871393866501E-2</v>
      </c>
    </row>
    <row r="16" spans="1:13" x14ac:dyDescent="0.25">
      <c r="A16" s="65">
        <v>43091</v>
      </c>
      <c r="B16">
        <v>1989</v>
      </c>
      <c r="C16">
        <v>3418</v>
      </c>
      <c r="D16">
        <v>5407</v>
      </c>
      <c r="E16" s="91">
        <v>64975</v>
      </c>
      <c r="F16" s="92">
        <f>C16/E16</f>
        <v>5.2604848018468639E-2</v>
      </c>
      <c r="G16" s="93">
        <v>2.9366871393866501E-2</v>
      </c>
    </row>
    <row r="17" spans="1:8" x14ac:dyDescent="0.25">
      <c r="A17" s="65">
        <v>43095</v>
      </c>
      <c r="B17">
        <v>2177</v>
      </c>
      <c r="C17">
        <v>4126</v>
      </c>
      <c r="D17">
        <v>6303</v>
      </c>
      <c r="E17" s="91">
        <v>72552</v>
      </c>
      <c r="F17" s="92">
        <f>C17/E17</f>
        <v>5.6869555629066051E-2</v>
      </c>
      <c r="G17" s="93">
        <v>2.9366871393866501E-2</v>
      </c>
    </row>
    <row r="18" spans="1:8" x14ac:dyDescent="0.25">
      <c r="A18" s="65">
        <v>43096</v>
      </c>
      <c r="B18">
        <v>1873</v>
      </c>
      <c r="C18">
        <v>6090</v>
      </c>
      <c r="D18">
        <v>7963</v>
      </c>
      <c r="E18" s="91">
        <v>78138</v>
      </c>
      <c r="F18" s="92">
        <f>C18/E18</f>
        <v>7.7939030945250704E-2</v>
      </c>
      <c r="G18" s="93">
        <v>2.9366871393866501E-2</v>
      </c>
    </row>
    <row r="19" spans="1:8" x14ac:dyDescent="0.25">
      <c r="A19" s="65">
        <v>43097</v>
      </c>
      <c r="B19">
        <v>2011</v>
      </c>
      <c r="C19">
        <v>4658</v>
      </c>
      <c r="D19">
        <v>6669</v>
      </c>
      <c r="E19" s="91">
        <v>72583</v>
      </c>
      <c r="F19" s="92">
        <f>C19/E19</f>
        <v>6.4174806772935813E-2</v>
      </c>
      <c r="G19" s="93">
        <v>2.9366871393866501E-2</v>
      </c>
    </row>
    <row r="20" spans="1:8" x14ac:dyDescent="0.25">
      <c r="A20" s="65">
        <v>43098</v>
      </c>
      <c r="B20">
        <v>1777</v>
      </c>
      <c r="C20">
        <v>3580</v>
      </c>
      <c r="D20">
        <f>SUM(B20:C20)</f>
        <v>5357</v>
      </c>
      <c r="E20" s="91">
        <v>58226</v>
      </c>
      <c r="F20" s="92">
        <f>C20/E20</f>
        <v>6.1484560162126882E-2</v>
      </c>
      <c r="G20" s="93">
        <v>2.9366871393866501E-2</v>
      </c>
    </row>
    <row r="21" spans="1:8" x14ac:dyDescent="0.25">
      <c r="A21" s="101">
        <v>43102</v>
      </c>
      <c r="B21" s="90">
        <v>1844</v>
      </c>
      <c r="C21" s="90">
        <v>3840</v>
      </c>
      <c r="D21">
        <f>SUM(B21:C21)</f>
        <v>5684</v>
      </c>
      <c r="E21" s="91">
        <v>70179</v>
      </c>
      <c r="F21" s="92">
        <f>C21/E21</f>
        <v>5.471722310092763E-2</v>
      </c>
      <c r="G21" s="93">
        <v>2.9366871393866501E-2</v>
      </c>
    </row>
    <row r="22" spans="1:8" x14ac:dyDescent="0.25">
      <c r="A22" s="101">
        <v>43103</v>
      </c>
      <c r="B22" s="94">
        <v>2163</v>
      </c>
      <c r="C22" s="94">
        <v>4604</v>
      </c>
      <c r="D22">
        <f>SUM(B22:C22)</f>
        <v>6767</v>
      </c>
      <c r="E22" s="91">
        <v>79221</v>
      </c>
      <c r="F22" s="92">
        <f>C22/E22</f>
        <v>5.8115903611416164E-2</v>
      </c>
      <c r="G22" s="93">
        <v>2.9366871393866501E-2</v>
      </c>
    </row>
    <row r="23" spans="1:8" x14ac:dyDescent="0.25">
      <c r="A23" s="101">
        <v>43104</v>
      </c>
      <c r="B23" s="95">
        <v>2213</v>
      </c>
      <c r="C23" s="95">
        <v>3982</v>
      </c>
      <c r="D23">
        <f>SUM(B23:C23)</f>
        <v>6195</v>
      </c>
      <c r="E23" s="91">
        <v>78820</v>
      </c>
      <c r="F23" s="92">
        <f>C23/E23</f>
        <v>5.0520172545039328E-2</v>
      </c>
      <c r="G23" s="93">
        <v>2.9366871393866501E-2</v>
      </c>
    </row>
    <row r="24" spans="1:8" x14ac:dyDescent="0.25">
      <c r="A24" s="101">
        <v>43105</v>
      </c>
      <c r="B24" s="95">
        <v>2085</v>
      </c>
      <c r="C24" s="95">
        <v>3574</v>
      </c>
      <c r="D24">
        <f>SUM(B24:C24)</f>
        <v>5659</v>
      </c>
      <c r="E24" s="91">
        <v>78410</v>
      </c>
      <c r="F24" s="92">
        <f>C24/E24</f>
        <v>4.5580920800918252E-2</v>
      </c>
      <c r="G24" s="93">
        <v>2.9366871393866501E-2</v>
      </c>
    </row>
    <row r="25" spans="1:8" x14ac:dyDescent="0.25">
      <c r="A25" s="101">
        <v>43108</v>
      </c>
      <c r="B25" s="96">
        <v>2159</v>
      </c>
      <c r="C25" s="96">
        <v>3666</v>
      </c>
      <c r="D25">
        <f>SUM(B25:C25)</f>
        <v>5825</v>
      </c>
      <c r="E25" s="96">
        <v>81487</v>
      </c>
      <c r="F25" s="92">
        <f>C25/E25</f>
        <v>4.4988771215040434E-2</v>
      </c>
      <c r="G25" s="93">
        <v>2.9366871393866501E-2</v>
      </c>
    </row>
    <row r="26" spans="1:8" x14ac:dyDescent="0.25">
      <c r="A26" s="97">
        <v>43109</v>
      </c>
      <c r="B26" s="95">
        <v>2135</v>
      </c>
      <c r="C26" s="95">
        <v>3438</v>
      </c>
      <c r="D26">
        <f>SUM(B26:C26)</f>
        <v>5573</v>
      </c>
      <c r="E26" s="95">
        <v>81158</v>
      </c>
      <c r="F26" s="92">
        <f>C26/E26</f>
        <v>4.2361812760294736E-2</v>
      </c>
      <c r="G26" s="93">
        <v>2.9366871393866501E-2</v>
      </c>
    </row>
    <row r="27" spans="1:8" x14ac:dyDescent="0.25">
      <c r="A27" s="97">
        <v>43110</v>
      </c>
      <c r="B27" s="95">
        <v>2290</v>
      </c>
      <c r="C27" s="95">
        <v>3749</v>
      </c>
      <c r="D27">
        <f>SUM(B27:C27)</f>
        <v>6039</v>
      </c>
      <c r="E27" s="95">
        <v>82809</v>
      </c>
      <c r="F27" s="92">
        <f>C27/E27</f>
        <v>4.5272856815080489E-2</v>
      </c>
      <c r="G27" s="93">
        <v>2.9366871393866501E-2</v>
      </c>
    </row>
    <row r="28" spans="1:8" x14ac:dyDescent="0.25">
      <c r="A28" s="97">
        <v>43111</v>
      </c>
      <c r="B28" s="95">
        <v>2158</v>
      </c>
      <c r="C28" s="95">
        <v>3179</v>
      </c>
      <c r="D28">
        <f>SUM(B28:C28)</f>
        <v>5337</v>
      </c>
      <c r="E28" s="95">
        <v>76524</v>
      </c>
      <c r="F28" s="92">
        <f>C28/E28</f>
        <v>4.1542522607286601E-2</v>
      </c>
      <c r="G28" s="93">
        <v>2.9366871393866501E-2</v>
      </c>
    </row>
    <row r="29" spans="1:8" x14ac:dyDescent="0.25">
      <c r="A29" s="97">
        <v>43112</v>
      </c>
      <c r="B29" s="95">
        <v>2107</v>
      </c>
      <c r="C29" s="95">
        <v>3611</v>
      </c>
      <c r="D29">
        <f>SUM(B29:C29)</f>
        <v>5718</v>
      </c>
      <c r="E29" s="95">
        <v>76962</v>
      </c>
      <c r="F29" s="92">
        <f>C29/E29</f>
        <v>4.6919258855019359E-2</v>
      </c>
      <c r="G29" s="93">
        <v>2.9366871393866501E-2</v>
      </c>
    </row>
    <row r="30" spans="1:8" x14ac:dyDescent="0.25">
      <c r="A30" s="97">
        <v>43115</v>
      </c>
      <c r="B30" s="95">
        <v>2269</v>
      </c>
      <c r="C30" s="95">
        <v>3700</v>
      </c>
      <c r="D30">
        <f>SUM(B30:C30)</f>
        <v>5969</v>
      </c>
      <c r="E30" s="95">
        <v>81654</v>
      </c>
      <c r="F30" s="92">
        <f>C30/E30</f>
        <v>4.5313150611115197E-2</v>
      </c>
      <c r="G30" s="93">
        <v>2.9366871393866501E-2</v>
      </c>
    </row>
    <row r="31" spans="1:8" x14ac:dyDescent="0.25">
      <c r="A31" s="97">
        <v>43116</v>
      </c>
      <c r="B31" s="95">
        <v>2239</v>
      </c>
      <c r="C31" s="95">
        <v>3074</v>
      </c>
      <c r="D31">
        <f>SUM(B31:C31)</f>
        <v>5313</v>
      </c>
      <c r="E31" s="95">
        <v>85097</v>
      </c>
      <c r="F31" s="92">
        <f>C31/E31</f>
        <v>3.6123482613958188E-2</v>
      </c>
      <c r="G31" s="93">
        <v>2.9366871393866501E-2</v>
      </c>
    </row>
    <row r="32" spans="1:8" x14ac:dyDescent="0.25">
      <c r="A32" s="97">
        <v>43117</v>
      </c>
      <c r="B32" s="95">
        <v>2510</v>
      </c>
      <c r="C32" s="95">
        <v>3538</v>
      </c>
      <c r="D32">
        <f>SUM(B32:C32)</f>
        <v>6048</v>
      </c>
      <c r="E32" s="95">
        <v>83606</v>
      </c>
      <c r="F32" s="92">
        <f>C32/E32</f>
        <v>4.2317537018874245E-2</v>
      </c>
      <c r="G32" s="93">
        <v>2.9366871393866501E-2</v>
      </c>
      <c r="H32" s="98"/>
    </row>
    <row r="33" spans="1:8" x14ac:dyDescent="0.25">
      <c r="A33" s="97">
        <v>43118</v>
      </c>
      <c r="B33" s="95">
        <v>2421</v>
      </c>
      <c r="C33" s="95">
        <v>3500</v>
      </c>
      <c r="D33">
        <f>SUM(B33:C33)</f>
        <v>5921</v>
      </c>
      <c r="E33" s="95">
        <v>82710</v>
      </c>
      <c r="F33" s="92">
        <f>C33/E33</f>
        <v>4.2316527626647324E-2</v>
      </c>
      <c r="G33" s="93">
        <v>2.9366871393866501E-2</v>
      </c>
      <c r="H33" s="91"/>
    </row>
    <row r="34" spans="1:8" x14ac:dyDescent="0.25">
      <c r="A34" s="97">
        <v>43119</v>
      </c>
      <c r="B34" s="95">
        <v>2041</v>
      </c>
      <c r="C34" s="95">
        <v>3153</v>
      </c>
      <c r="D34">
        <f>SUM(B34:C34)</f>
        <v>5194</v>
      </c>
      <c r="E34" s="95">
        <v>79518</v>
      </c>
      <c r="F34" s="92">
        <f>C34/E34</f>
        <v>3.9651399683090623E-2</v>
      </c>
      <c r="G34" s="93">
        <v>2.9366871393866501E-2</v>
      </c>
      <c r="H34" s="91"/>
    </row>
    <row r="35" spans="1:8" x14ac:dyDescent="0.25">
      <c r="A35" s="97">
        <v>43122</v>
      </c>
      <c r="B35" s="96">
        <v>2093</v>
      </c>
      <c r="C35" s="96">
        <v>3996</v>
      </c>
      <c r="D35">
        <f>SUM(B35:C35)</f>
        <v>6089</v>
      </c>
      <c r="E35" s="95">
        <v>84450</v>
      </c>
      <c r="F35" s="92">
        <f>C35/E35</f>
        <v>4.7317939609236234E-2</v>
      </c>
      <c r="G35" s="93">
        <v>2.9366871393866501E-2</v>
      </c>
      <c r="H35" s="91"/>
    </row>
    <row r="36" spans="1:8" x14ac:dyDescent="0.25">
      <c r="A36" s="97">
        <v>43123</v>
      </c>
      <c r="B36" s="96">
        <v>1996</v>
      </c>
      <c r="C36" s="96">
        <v>3867</v>
      </c>
      <c r="D36">
        <f>SUM(B36:C36)</f>
        <v>5863</v>
      </c>
      <c r="E36">
        <v>84407</v>
      </c>
      <c r="F36" s="92">
        <f>C36/E36</f>
        <v>4.5813735827597235E-2</v>
      </c>
      <c r="G36" s="93">
        <v>2.9366871393866501E-2</v>
      </c>
      <c r="H36" s="91"/>
    </row>
    <row r="37" spans="1:8" x14ac:dyDescent="0.25">
      <c r="G37" s="91"/>
      <c r="H37" s="91"/>
    </row>
    <row r="38" spans="1:8" x14ac:dyDescent="0.25">
      <c r="G38" s="91"/>
      <c r="H38" s="91"/>
    </row>
    <row r="39" spans="1:8" x14ac:dyDescent="0.25">
      <c r="G39" s="91"/>
      <c r="H39" s="91"/>
    </row>
    <row r="40" spans="1:8" x14ac:dyDescent="0.25">
      <c r="G40" s="91"/>
      <c r="H40" s="91"/>
    </row>
    <row r="41" spans="1:8" x14ac:dyDescent="0.25">
      <c r="G41" s="91"/>
      <c r="H41" s="91"/>
    </row>
    <row r="42" spans="1:8" x14ac:dyDescent="0.25">
      <c r="G42" s="91"/>
      <c r="H42" s="91"/>
    </row>
    <row r="43" spans="1:8" x14ac:dyDescent="0.25">
      <c r="G43" s="91"/>
      <c r="H43" s="91"/>
    </row>
    <row r="44" spans="1:8" x14ac:dyDescent="0.25">
      <c r="G44" s="91"/>
      <c r="H44" s="91"/>
    </row>
    <row r="45" spans="1:8" x14ac:dyDescent="0.25">
      <c r="G45" s="91"/>
      <c r="H45" s="91"/>
    </row>
    <row r="46" spans="1:8" x14ac:dyDescent="0.25">
      <c r="G46" s="91"/>
      <c r="H46" s="91"/>
    </row>
    <row r="47" spans="1:8" x14ac:dyDescent="0.25">
      <c r="G47" s="91"/>
      <c r="H47" s="91"/>
    </row>
    <row r="48" spans="1:8" x14ac:dyDescent="0.25">
      <c r="G48" s="91"/>
      <c r="H48" s="91"/>
    </row>
    <row r="49" spans="7:8" x14ac:dyDescent="0.25">
      <c r="G49" s="91"/>
      <c r="H49" s="91"/>
    </row>
    <row r="50" spans="7:8" x14ac:dyDescent="0.25">
      <c r="G50" s="91"/>
      <c r="H50" s="91"/>
    </row>
    <row r="51" spans="7:8" x14ac:dyDescent="0.25">
      <c r="G51" s="91"/>
      <c r="H51" s="91"/>
    </row>
    <row r="52" spans="7:8" x14ac:dyDescent="0.25">
      <c r="G52" s="91"/>
      <c r="H52" s="91"/>
    </row>
    <row r="53" spans="7:8" x14ac:dyDescent="0.25">
      <c r="G53" s="91"/>
      <c r="H53" s="91"/>
    </row>
    <row r="54" spans="7:8" x14ac:dyDescent="0.25">
      <c r="G54" s="91"/>
      <c r="H54" s="91"/>
    </row>
    <row r="55" spans="7:8" x14ac:dyDescent="0.25">
      <c r="G55" s="91"/>
      <c r="H55" s="91"/>
    </row>
    <row r="56" spans="7:8" x14ac:dyDescent="0.25">
      <c r="G56" s="91"/>
      <c r="H56" s="91"/>
    </row>
    <row r="57" spans="7:8" x14ac:dyDescent="0.25">
      <c r="G57" s="91"/>
      <c r="H57" s="91"/>
    </row>
    <row r="58" spans="7:8" x14ac:dyDescent="0.25">
      <c r="G58" s="91"/>
      <c r="H58" s="91"/>
    </row>
    <row r="59" spans="7:8" x14ac:dyDescent="0.25">
      <c r="G59" s="91"/>
      <c r="H59" s="91"/>
    </row>
    <row r="60" spans="7:8" x14ac:dyDescent="0.25">
      <c r="G60" s="91"/>
      <c r="H60" s="91"/>
    </row>
    <row r="61" spans="7:8" x14ac:dyDescent="0.25">
      <c r="G61" s="91"/>
      <c r="H61" s="91"/>
    </row>
    <row r="62" spans="7:8" x14ac:dyDescent="0.25">
      <c r="G62" s="9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aux</vt:lpstr>
      <vt:lpstr>tela</vt:lpstr>
      <vt:lpstr>MEDIA E VOL DERIVAÇÃO POR RR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dcterms:created xsi:type="dcterms:W3CDTF">2018-02-01T18:20:11Z</dcterms:created>
  <dcterms:modified xsi:type="dcterms:W3CDTF">2018-02-08T20:41:35Z</dcterms:modified>
</cp:coreProperties>
</file>