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ayout Calculation" sheetId="2" r:id="rId5"/>
    <sheet state="visible" name="Hub Code" sheetId="3" r:id="rId6"/>
    <sheet state="visible" name="Terms and condition" sheetId="4" r:id="rId7"/>
    <sheet state="visible" name="Extra KM Rate" sheetId="5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1">
      <text>
        <t xml:space="preserve">The date always should be in accurate format.
eg:-M/D/YYYY:-2/12/2023</t>
      </text>
    </comment>
  </commentList>
</comments>
</file>

<file path=xl/sharedStrings.xml><?xml version="1.0" encoding="utf-8"?>
<sst xmlns="http://schemas.openxmlformats.org/spreadsheetml/2006/main" count="1264" uniqueCount="143">
  <si>
    <t>Sr. No.</t>
  </si>
  <si>
    <t>DATE</t>
  </si>
  <si>
    <t>HUB NAME</t>
  </si>
  <si>
    <t>HUB CODE
(FCPL)</t>
  </si>
  <si>
    <t>VENDOR NAME</t>
  </si>
  <si>
    <t>VEHICLE NUMBER</t>
  </si>
  <si>
    <t>VEHICLE TYPE</t>
  </si>
  <si>
    <t>FUEL TYPE</t>
  </si>
  <si>
    <t>SHIFT TYPE</t>
  </si>
  <si>
    <t>BEFORE DELIVERY IN TIME</t>
  </si>
  <si>
    <t>BEFORE DELIVERY OUT TIME</t>
  </si>
  <si>
    <t>AFTER DELIVERY IN TIME</t>
  </si>
  <si>
    <t>AFTER DELIVERY OUT TIME</t>
  </si>
  <si>
    <t>TOTAL READING</t>
  </si>
  <si>
    <t>INDORE</t>
  </si>
  <si>
    <t>SLK8</t>
  </si>
  <si>
    <t>ALPHABETZ SERVICES</t>
  </si>
  <si>
    <t>MP09LR7355</t>
  </si>
  <si>
    <t>ACE</t>
  </si>
  <si>
    <t>DIESEL</t>
  </si>
  <si>
    <t>MP54L0316</t>
  </si>
  <si>
    <t>MP09ZY2923</t>
  </si>
  <si>
    <t>MP09ZZ6272</t>
  </si>
  <si>
    <t>MP09LP8407</t>
  </si>
  <si>
    <t>MP09ZV0375</t>
  </si>
  <si>
    <t>MP04LD5601</t>
  </si>
  <si>
    <t>MP07L8679</t>
  </si>
  <si>
    <t>cc1</t>
  </si>
  <si>
    <t>Vehicle Cost/Day (Based on KM)</t>
  </si>
  <si>
    <t>Total Days Travelled</t>
  </si>
  <si>
    <t>Total Extra KM</t>
  </si>
  <si>
    <t>Total Extra KM Payout</t>
  </si>
  <si>
    <t xml:space="preserve">Incentive </t>
  </si>
  <si>
    <t xml:space="preserve">MCD Toll </t>
  </si>
  <si>
    <t>late reporting vehicle amount</t>
  </si>
  <si>
    <t xml:space="preserve">Overtime Cost </t>
  </si>
  <si>
    <t>Total Payable Amount</t>
  </si>
  <si>
    <t>FCPL CODE</t>
  </si>
  <si>
    <t>NAME</t>
  </si>
  <si>
    <t>AHMEDABAD</t>
  </si>
  <si>
    <t>SLL5</t>
  </si>
  <si>
    <t>MB-Aslali Ahmedabad</t>
  </si>
  <si>
    <t>A P Logistics</t>
  </si>
  <si>
    <t>CHENNAI VIR</t>
  </si>
  <si>
    <t>SL79</t>
  </si>
  <si>
    <t>MB Virumbakkam</t>
  </si>
  <si>
    <t>CHENNAI CHIT</t>
  </si>
  <si>
    <t>SLUA</t>
  </si>
  <si>
    <t>MB Chitalapakkam</t>
  </si>
  <si>
    <t>Catbus infolabs Pvt Ltd ( blowhorn)</t>
  </si>
  <si>
    <t>NOIDA 116</t>
  </si>
  <si>
    <t>SLAO</t>
  </si>
  <si>
    <t>MB -Gautam Buddha Nagar 2</t>
  </si>
  <si>
    <t>Cogos Technologies Pvt Ltd</t>
  </si>
  <si>
    <t>NOIDA 68</t>
  </si>
  <si>
    <t>SLAP</t>
  </si>
  <si>
    <t>MB-Gautam Buddha Nagar 1</t>
  </si>
  <si>
    <t>Desai Transport Service</t>
  </si>
  <si>
    <t>GURGAON</t>
  </si>
  <si>
    <t>SLAR</t>
  </si>
  <si>
    <t>MB-Gurgaon</t>
  </si>
  <si>
    <t>DIPTAB VENTURES PRIVATE LIMITED - Let's Transport</t>
  </si>
  <si>
    <t>HYDERABAD</t>
  </si>
  <si>
    <t>SLAS</t>
  </si>
  <si>
    <t>MB-Hyderabad</t>
  </si>
  <si>
    <t>HYPERWINGS TECHNOLOGIES PVT LTD-SHIPTO</t>
  </si>
  <si>
    <t>BANGALORE</t>
  </si>
  <si>
    <t>SLAN</t>
  </si>
  <si>
    <t>MB-Bengaluru</t>
  </si>
  <si>
    <t>Intelligent Retail Pvt Ltd (RIPPLR)</t>
  </si>
  <si>
    <t>JAIPUR</t>
  </si>
  <si>
    <t>SL80</t>
  </si>
  <si>
    <t>MB-Jaipur</t>
  </si>
  <si>
    <t>JN Enterprises</t>
  </si>
  <si>
    <t>MB-Indore</t>
  </si>
  <si>
    <t>K Y Transport Service</t>
  </si>
  <si>
    <t>VASHI</t>
  </si>
  <si>
    <t>SLT5</t>
  </si>
  <si>
    <t>Vashi, Turbe</t>
  </si>
  <si>
    <t xml:space="preserve">KCM Supply Chain Solution Pvt. Ltd. </t>
  </si>
  <si>
    <t>HINJEWADI</t>
  </si>
  <si>
    <t>SLK1</t>
  </si>
  <si>
    <t>Hinjewadi , Pune</t>
  </si>
  <si>
    <t>Large Logic Private Limited</t>
  </si>
  <si>
    <t>NOIDA 63</t>
  </si>
  <si>
    <t>SLW1</t>
  </si>
  <si>
    <t>LRC Transport Company</t>
  </si>
  <si>
    <t>CHENNAI FNV</t>
  </si>
  <si>
    <t>SLL7</t>
  </si>
  <si>
    <t>Mehta Excel Private Limited</t>
  </si>
  <si>
    <t>Bannerghatta</t>
  </si>
  <si>
    <t>SL5N</t>
  </si>
  <si>
    <t>Peel Works Private Limited</t>
  </si>
  <si>
    <t>PR TECHNO PVT LTD</t>
  </si>
  <si>
    <t>Rao Transport Service</t>
  </si>
  <si>
    <t>Reliable Logistic &amp; Supports</t>
  </si>
  <si>
    <t>S.S. ASSOCIATES</t>
  </si>
  <si>
    <t>SEVEN LOGISTICS</t>
  </si>
  <si>
    <t>Shadowfax Technologies Private Limited</t>
  </si>
  <si>
    <t>Shree Balaji Transport</t>
  </si>
  <si>
    <t>Siddesh Transport</t>
  </si>
  <si>
    <t>SMART SHIP INNOVATIVE SOLUTIONS PVT LTD - Logicart</t>
  </si>
  <si>
    <t>SVG Express Pvt. Ltd.</t>
  </si>
  <si>
    <t>TAC Logistics</t>
  </si>
  <si>
    <t>TROCKO LOGI PRIVATE LIMITED</t>
  </si>
  <si>
    <t>JMJ ENTERPRISES</t>
  </si>
  <si>
    <t>Z Roadways</t>
  </si>
  <si>
    <t>Zipzap Logistics Pvt ltd-WIZZARD</t>
  </si>
  <si>
    <t>Optimizing Resources Pvt Ltd</t>
  </si>
  <si>
    <t xml:space="preserve">Rajesh Hiring </t>
  </si>
  <si>
    <t>Grab a Grub Services Pvt Ltd</t>
  </si>
  <si>
    <t>Whistle drive</t>
  </si>
  <si>
    <t>3CAS Logistics (EV)</t>
  </si>
  <si>
    <t>Morya Transport</t>
  </si>
  <si>
    <t>Other Terms and conditions.</t>
  </si>
  <si>
    <t>Hub Name</t>
  </si>
  <si>
    <t>State Vehicle Rate</t>
  </si>
  <si>
    <t>Type</t>
  </si>
  <si>
    <t>Shift</t>
  </si>
  <si>
    <t>Rate</t>
  </si>
  <si>
    <t>Incentives, penalties and other charges applicable in all locations</t>
  </si>
  <si>
    <t>indore</t>
  </si>
  <si>
    <t>Tata Ace or EQ (1000 km/4 hrs) 25000</t>
  </si>
  <si>
    <t>ace</t>
  </si>
  <si>
    <t xml:space="preserve">• Penalty for Late Coming - Rs. 150(if vehicle reach after 4 am) </t>
  </si>
  <si>
    <t>Ace or EQ (2000 km/6 hrs) 34000</t>
  </si>
  <si>
    <t>• Overtime post shift ending time - Rs 150 (if vehicle  arrive after 8 am) Hours does not consider</t>
  </si>
  <si>
    <t>Bolero PU or EQ (1000 km/4 hrs) 27000</t>
  </si>
  <si>
    <t>bolero</t>
  </si>
  <si>
    <t>• Monthly incentive for all days deployment - Rs. 1000/vehicle</t>
  </si>
  <si>
    <t>BoleroPUorEQ(2000km/6hrs)37500</t>
  </si>
  <si>
    <t>• There would be separate pay-out for tolls, parking charges at site/customer’s place (excluding</t>
  </si>
  <si>
    <t>QSCPL’s locations), state tax, green tax and other cantonment charges (wherever applicable) etc.</t>
  </si>
  <si>
    <t>as per actual bill submission (subject to Milk Basket Team approval).</t>
  </si>
  <si>
    <t>• Variable rates will be applicable if the fixed km limit is crossed on monthly basis. Variable per km</t>
  </si>
  <si>
    <t>will be as mentioned below:</t>
  </si>
  <si>
    <t>Tata Ace or equivalent: Rs 8/km</t>
  </si>
  <si>
    <t>Bolero PU or equivalent: Rs 10/km</t>
  </si>
  <si>
    <t>10Ft or equivalent: Rs 12/km</t>
  </si>
  <si>
    <t>14Ft or Equivalent: Rs 14/km</t>
  </si>
  <si>
    <t>17Ft or Equivalent: Rs 16/km</t>
  </si>
  <si>
    <t>19Ft/20Ft/22Ft or Equivalent: Rs 18/km.</t>
  </si>
  <si>
    <t>Vehicle type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</si>
</sst>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:ss am/pm"/>
  </numFmts>
  <fonts count="15">
    <font>
      <sz val="10.0"/>
      <color rgb="FF000000"/>
      <name val="Arial"/>
      <scheme val="minor"/>
    </font>
    <font>
      <b/>
      <sz val="11.0"/>
      <color rgb="FF434343"/>
      <name val="Calibri"/>
    </font>
    <font>
      <sz val="11.0"/>
      <color theme="1"/>
      <name val="Arial"/>
    </font>
    <font>
      <sz val="11.0"/>
      <color theme="1"/>
      <name val="Calibri"/>
    </font>
    <font>
      <color theme="1"/>
      <name val="Arial"/>
    </font>
    <font>
      <sz val="11.0"/>
      <color rgb="FF000000"/>
      <name val="Calibri"/>
    </font>
    <font>
      <sz val="9.0"/>
      <color rgb="FF7E3794"/>
      <name val="Google Sans Mono"/>
    </font>
    <font>
      <sz val="9.0"/>
      <color theme="1"/>
      <name val="Google Sans Mono"/>
    </font>
    <font>
      <b/>
      <sz val="11.0"/>
      <color rgb="FF000000"/>
      <name val="Google Sans Mono"/>
    </font>
    <font>
      <b/>
      <color rgb="FF000000"/>
      <name val="Google Sans Mono"/>
    </font>
    <font>
      <b/>
      <sz val="9.0"/>
      <color rgb="FF000000"/>
      <name val="Google Sans Mono"/>
    </font>
    <font>
      <color theme="1"/>
      <name val="Arial"/>
      <scheme val="minor"/>
    </font>
    <font>
      <sz val="9.0"/>
      <color rgb="FF000000"/>
      <name val="&quot;Google Sans Mono&quot;"/>
    </font>
    <font>
      <b/>
      <sz val="11.0"/>
      <color theme="1"/>
      <name val="Calibri"/>
    </font>
    <font>
      <b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EAD1DC"/>
        <bgColor rgb="FFEAD1DC"/>
      </patternFill>
    </fill>
    <fill>
      <patternFill patternType="solid">
        <fgColor rgb="FF00FFFF"/>
        <bgColor rgb="FF00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textRotation="0" vertical="center" wrapText="1"/>
    </xf>
    <xf borderId="1" fillId="2" fontId="1" numFmtId="164" xfId="0" applyAlignment="1" applyBorder="1" applyFont="1" applyNumberFormat="1">
      <alignment horizontal="center" shrinkToFit="0" textRotation="0" vertical="center" wrapText="1"/>
    </xf>
    <xf borderId="1" fillId="0" fontId="2" numFmtId="0" xfId="0" applyAlignment="1" applyBorder="1" applyFont="1">
      <alignment horizontal="center" vertical="bottom"/>
    </xf>
    <xf borderId="1" fillId="3" fontId="3" numFmtId="14" xfId="0" applyAlignment="1" applyBorder="1" applyFill="1" applyFont="1" applyNumberFormat="1">
      <alignment horizontal="center" vertical="bottom"/>
    </xf>
    <xf borderId="1" fillId="0" fontId="4" numFmtId="0" xfId="0" applyAlignment="1" applyBorder="1" applyFont="1">
      <alignment horizontal="center" vertical="bottom"/>
    </xf>
    <xf borderId="1" fillId="3" fontId="5" numFmtId="0" xfId="0" applyAlignment="1" applyBorder="1" applyFont="1">
      <alignment horizontal="center" vertical="bottom"/>
    </xf>
    <xf borderId="2" fillId="3" fontId="5" numFmtId="0" xfId="0" applyAlignment="1" applyBorder="1" applyFont="1">
      <alignment horizontal="center" vertical="bottom"/>
    </xf>
    <xf borderId="1" fillId="0" fontId="3" numFmtId="164" xfId="0" applyAlignment="1" applyBorder="1" applyFont="1" applyNumberFormat="1">
      <alignment horizontal="center" vertical="bottom"/>
    </xf>
    <xf borderId="2" fillId="0" fontId="3" numFmtId="164" xfId="0" applyAlignment="1" applyBorder="1" applyFont="1" applyNumberFormat="1">
      <alignment horizontal="center" vertical="bottom"/>
    </xf>
    <xf borderId="1" fillId="3" fontId="6" numFmtId="0" xfId="0" applyAlignment="1" applyBorder="1" applyFont="1">
      <alignment horizontal="center" vertical="bottom"/>
    </xf>
    <xf borderId="3" fillId="3" fontId="5" numFmtId="0" xfId="0" applyAlignment="1" applyBorder="1" applyFont="1">
      <alignment horizontal="center" vertical="bottom"/>
    </xf>
    <xf borderId="1" fillId="4" fontId="2" numFmtId="0" xfId="0" applyAlignment="1" applyBorder="1" applyFill="1" applyFont="1">
      <alignment horizontal="center" vertical="bottom"/>
    </xf>
    <xf borderId="1" fillId="4" fontId="3" numFmtId="14" xfId="0" applyAlignment="1" applyBorder="1" applyFont="1" applyNumberFormat="1">
      <alignment horizontal="center" vertical="bottom"/>
    </xf>
    <xf borderId="1" fillId="4" fontId="4" numFmtId="0" xfId="0" applyAlignment="1" applyBorder="1" applyFont="1">
      <alignment horizontal="center" vertical="bottom"/>
    </xf>
    <xf borderId="1" fillId="4" fontId="3" numFmtId="164" xfId="0" applyAlignment="1" applyBorder="1" applyFont="1" applyNumberFormat="1">
      <alignment horizontal="center" vertical="bottom"/>
    </xf>
    <xf borderId="2" fillId="4" fontId="3" numFmtId="164" xfId="0" applyAlignment="1" applyBorder="1" applyFont="1" applyNumberFormat="1">
      <alignment horizontal="center" vertical="bottom"/>
    </xf>
    <xf borderId="1" fillId="4" fontId="7" numFmtId="0" xfId="0" applyAlignment="1" applyBorder="1" applyFont="1">
      <alignment horizontal="center" vertical="bottom"/>
    </xf>
    <xf borderId="1" fillId="4" fontId="6" numFmtId="0" xfId="0" applyAlignment="1" applyBorder="1" applyFont="1">
      <alignment horizontal="center" vertical="bottom"/>
    </xf>
    <xf borderId="1" fillId="5" fontId="8" numFmtId="0" xfId="0" applyAlignment="1" applyBorder="1" applyFill="1" applyFont="1">
      <alignment horizontal="center" vertical="bottom"/>
    </xf>
    <xf borderId="1" fillId="5" fontId="8" numFmtId="14" xfId="0" applyAlignment="1" applyBorder="1" applyFont="1" applyNumberFormat="1">
      <alignment horizontal="center" vertical="bottom"/>
    </xf>
    <xf borderId="1" fillId="5" fontId="9" numFmtId="0" xfId="0" applyAlignment="1" applyBorder="1" applyFont="1">
      <alignment horizontal="center" vertical="bottom"/>
    </xf>
    <xf borderId="1" fillId="5" fontId="8" numFmtId="164" xfId="0" applyAlignment="1" applyBorder="1" applyFont="1" applyNumberFormat="1">
      <alignment horizontal="center" vertical="bottom"/>
    </xf>
    <xf borderId="1" fillId="5" fontId="10" numFmtId="0" xfId="0" applyAlignment="1" applyBorder="1" applyFont="1">
      <alignment horizontal="center" vertical="bottom"/>
    </xf>
    <xf borderId="1" fillId="6" fontId="10" numFmtId="0" xfId="0" applyAlignment="1" applyBorder="1" applyFill="1" applyFont="1">
      <alignment horizontal="center" readingOrder="0" shrinkToFit="0" vertical="bottom" wrapText="1"/>
    </xf>
    <xf borderId="1" fillId="5" fontId="10" numFmtId="0" xfId="0" applyAlignment="1" applyBorder="1" applyFont="1">
      <alignment horizontal="left" readingOrder="0" shrinkToFit="0" vertical="bottom" wrapText="1"/>
    </xf>
    <xf borderId="1" fillId="6" fontId="10" numFmtId="0" xfId="0" applyAlignment="1" applyBorder="1" applyFont="1">
      <alignment horizontal="left" readingOrder="0" shrinkToFit="0" vertical="bottom" wrapText="1"/>
    </xf>
    <xf borderId="1" fillId="0" fontId="11" numFmtId="0" xfId="0" applyBorder="1" applyFont="1"/>
    <xf borderId="1" fillId="0" fontId="11" numFmtId="0" xfId="0" applyAlignment="1" applyBorder="1" applyFont="1">
      <alignment readingOrder="0"/>
    </xf>
    <xf borderId="1" fillId="0" fontId="11" numFmtId="0" xfId="0" applyBorder="1" applyFont="1"/>
    <xf borderId="1" fillId="3" fontId="12" numFmtId="0" xfId="0" applyBorder="1" applyFont="1"/>
    <xf borderId="1" fillId="0" fontId="11" numFmtId="14" xfId="0" applyBorder="1" applyFont="1" applyNumberFormat="1"/>
    <xf borderId="1" fillId="0" fontId="11" numFmtId="164" xfId="0" applyBorder="1" applyFont="1" applyNumberFormat="1"/>
    <xf borderId="0" fillId="0" fontId="11" numFmtId="0" xfId="0" applyFont="1"/>
    <xf borderId="0" fillId="0" fontId="11" numFmtId="164" xfId="0" applyFont="1" applyNumberFormat="1"/>
    <xf borderId="1" fillId="0" fontId="13" numFmtId="0" xfId="0" applyAlignment="1" applyBorder="1" applyFont="1">
      <alignment horizontal="center" vertical="bottom"/>
    </xf>
    <xf borderId="1" fillId="0" fontId="3" numFmtId="0" xfId="0" applyAlignment="1" applyBorder="1" applyFont="1">
      <alignment horizontal="center" vertical="bottom"/>
    </xf>
    <xf borderId="1" fillId="0" fontId="3" numFmtId="0" xfId="0" applyAlignment="1" applyBorder="1" applyFont="1">
      <alignment horizontal="center"/>
    </xf>
    <xf borderId="1" fillId="0" fontId="3" numFmtId="14" xfId="0" applyAlignment="1" applyBorder="1" applyFont="1" applyNumberFormat="1">
      <alignment horizontal="center" vertical="bottom"/>
    </xf>
    <xf borderId="1" fillId="0" fontId="4" numFmtId="0" xfId="0" applyAlignment="1" applyBorder="1" applyFont="1">
      <alignment vertical="bottom"/>
    </xf>
    <xf borderId="0" fillId="0" fontId="14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1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7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</row>
    <row r="2">
      <c r="A2" s="3">
        <v>1.0</v>
      </c>
      <c r="B2" s="4">
        <v>45566.0</v>
      </c>
      <c r="C2" s="3" t="s">
        <v>14</v>
      </c>
      <c r="D2" s="5" t="s">
        <v>15</v>
      </c>
      <c r="E2" s="6" t="s">
        <v>16</v>
      </c>
      <c r="F2" s="6" t="s">
        <v>17</v>
      </c>
      <c r="G2" s="6" t="s">
        <v>18</v>
      </c>
      <c r="H2" s="7" t="s">
        <v>19</v>
      </c>
      <c r="I2" s="7">
        <v>4.0</v>
      </c>
      <c r="J2" s="8">
        <v>0.12569444444444444</v>
      </c>
      <c r="K2" s="9">
        <v>0.13333333333333333</v>
      </c>
      <c r="L2" s="8">
        <v>0.3090277777777778</v>
      </c>
      <c r="M2" s="9">
        <v>0.3125</v>
      </c>
      <c r="N2" s="10">
        <v>48.0</v>
      </c>
    </row>
    <row r="3">
      <c r="A3" s="3">
        <f t="shared" ref="A3:A7" si="1">A2+1</f>
        <v>2</v>
      </c>
      <c r="B3" s="4">
        <v>45566.0</v>
      </c>
      <c r="C3" s="3" t="s">
        <v>14</v>
      </c>
      <c r="D3" s="5" t="s">
        <v>15</v>
      </c>
      <c r="E3" s="6" t="s">
        <v>16</v>
      </c>
      <c r="F3" s="11" t="s">
        <v>20</v>
      </c>
      <c r="G3" s="6" t="s">
        <v>18</v>
      </c>
      <c r="H3" s="7" t="s">
        <v>19</v>
      </c>
      <c r="I3" s="7">
        <v>4.0</v>
      </c>
      <c r="J3" s="8">
        <v>0.12638888888888888</v>
      </c>
      <c r="K3" s="9">
        <v>0.13472222222222222</v>
      </c>
      <c r="L3" s="8">
        <v>0.3263888888888889</v>
      </c>
      <c r="M3" s="9">
        <v>0.32916666666666666</v>
      </c>
      <c r="N3" s="10">
        <v>46.0</v>
      </c>
    </row>
    <row r="4">
      <c r="A4" s="3">
        <f t="shared" si="1"/>
        <v>3</v>
      </c>
      <c r="B4" s="4">
        <v>45566.0</v>
      </c>
      <c r="C4" s="3" t="s">
        <v>14</v>
      </c>
      <c r="D4" s="5" t="s">
        <v>15</v>
      </c>
      <c r="E4" s="6" t="s">
        <v>16</v>
      </c>
      <c r="F4" s="6" t="s">
        <v>21</v>
      </c>
      <c r="G4" s="6" t="s">
        <v>18</v>
      </c>
      <c r="H4" s="7" t="s">
        <v>19</v>
      </c>
      <c r="I4" s="7">
        <v>4.0</v>
      </c>
      <c r="J4" s="8">
        <v>0.1284722222222222</v>
      </c>
      <c r="K4" s="9">
        <v>0.13680555555555557</v>
      </c>
      <c r="L4" s="8">
        <v>0.2986111111111111</v>
      </c>
      <c r="M4" s="9">
        <v>0.3055555555555556</v>
      </c>
      <c r="N4" s="10">
        <v>31.0</v>
      </c>
    </row>
    <row r="5">
      <c r="A5" s="3">
        <f t="shared" si="1"/>
        <v>4</v>
      </c>
      <c r="B5" s="4">
        <v>45566.0</v>
      </c>
      <c r="C5" s="3" t="s">
        <v>14</v>
      </c>
      <c r="D5" s="5" t="s">
        <v>15</v>
      </c>
      <c r="E5" s="6" t="s">
        <v>16</v>
      </c>
      <c r="F5" s="6" t="s">
        <v>22</v>
      </c>
      <c r="G5" s="6" t="s">
        <v>18</v>
      </c>
      <c r="H5" s="7" t="s">
        <v>19</v>
      </c>
      <c r="I5" s="7">
        <v>4.0</v>
      </c>
      <c r="J5" s="8">
        <v>0.13194444444444445</v>
      </c>
      <c r="K5" s="9">
        <v>0.13819444444444445</v>
      </c>
      <c r="L5" s="8">
        <v>0.3055555555555556</v>
      </c>
      <c r="M5" s="9">
        <v>0.3125</v>
      </c>
      <c r="N5" s="10">
        <v>45.0</v>
      </c>
    </row>
    <row r="6">
      <c r="A6" s="3">
        <f t="shared" si="1"/>
        <v>5</v>
      </c>
      <c r="B6" s="4">
        <v>45566.0</v>
      </c>
      <c r="C6" s="3" t="s">
        <v>14</v>
      </c>
      <c r="D6" s="5" t="s">
        <v>15</v>
      </c>
      <c r="E6" s="6" t="s">
        <v>16</v>
      </c>
      <c r="F6" s="6" t="s">
        <v>23</v>
      </c>
      <c r="G6" s="6" t="s">
        <v>18</v>
      </c>
      <c r="H6" s="7" t="s">
        <v>19</v>
      </c>
      <c r="I6" s="7">
        <v>4.0</v>
      </c>
      <c r="J6" s="8">
        <v>0.1326388888888889</v>
      </c>
      <c r="K6" s="9">
        <v>0.14305555555555555</v>
      </c>
      <c r="L6" s="8">
        <v>0.3020833333333333</v>
      </c>
      <c r="M6" s="9">
        <v>0.3090277777777778</v>
      </c>
      <c r="N6" s="10">
        <v>35.0</v>
      </c>
    </row>
    <row r="7">
      <c r="A7" s="3">
        <f t="shared" si="1"/>
        <v>6</v>
      </c>
      <c r="B7" s="4">
        <v>45566.0</v>
      </c>
      <c r="C7" s="3" t="s">
        <v>14</v>
      </c>
      <c r="D7" s="5" t="s">
        <v>15</v>
      </c>
      <c r="E7" s="6" t="s">
        <v>16</v>
      </c>
      <c r="F7" s="6" t="s">
        <v>24</v>
      </c>
      <c r="G7" s="6" t="s">
        <v>18</v>
      </c>
      <c r="H7" s="7" t="s">
        <v>19</v>
      </c>
      <c r="I7" s="7">
        <v>4.0</v>
      </c>
      <c r="J7" s="8">
        <v>0.13333333333333333</v>
      </c>
      <c r="K7" s="9">
        <v>0.14583333333333334</v>
      </c>
      <c r="L7" s="8">
        <v>0.3055555555555556</v>
      </c>
      <c r="M7" s="9">
        <v>0.3125</v>
      </c>
      <c r="N7" s="10">
        <v>31.0</v>
      </c>
    </row>
    <row r="8">
      <c r="A8" s="3">
        <v>1.0</v>
      </c>
      <c r="B8" s="4">
        <v>45567.0</v>
      </c>
      <c r="C8" s="3" t="s">
        <v>14</v>
      </c>
      <c r="D8" s="5" t="s">
        <v>15</v>
      </c>
      <c r="E8" s="6" t="s">
        <v>16</v>
      </c>
      <c r="F8" s="11" t="s">
        <v>17</v>
      </c>
      <c r="G8" s="6" t="s">
        <v>18</v>
      </c>
      <c r="H8" s="7" t="s">
        <v>19</v>
      </c>
      <c r="I8" s="7">
        <v>4.0</v>
      </c>
      <c r="J8" s="8">
        <v>0.12569444444444444</v>
      </c>
      <c r="K8" s="9">
        <v>0.13194444444444445</v>
      </c>
      <c r="L8" s="8">
        <v>0.30069444444444443</v>
      </c>
      <c r="M8" s="9">
        <v>0.30416666666666664</v>
      </c>
      <c r="N8" s="10">
        <v>47.0</v>
      </c>
    </row>
    <row r="9">
      <c r="A9" s="3">
        <f t="shared" ref="A9:A187" si="2">A8+1</f>
        <v>2</v>
      </c>
      <c r="B9" s="4">
        <v>45567.0</v>
      </c>
      <c r="C9" s="3" t="s">
        <v>14</v>
      </c>
      <c r="D9" s="5" t="s">
        <v>15</v>
      </c>
      <c r="E9" s="6" t="s">
        <v>16</v>
      </c>
      <c r="F9" s="6" t="s">
        <v>25</v>
      </c>
      <c r="G9" s="6" t="s">
        <v>18</v>
      </c>
      <c r="H9" s="7" t="s">
        <v>19</v>
      </c>
      <c r="I9" s="7">
        <v>4.0</v>
      </c>
      <c r="J9" s="8">
        <v>0.12638888888888888</v>
      </c>
      <c r="K9" s="9">
        <v>0.13333333333333333</v>
      </c>
      <c r="L9" s="8">
        <v>0.2986111111111111</v>
      </c>
      <c r="M9" s="9">
        <v>0.3020833333333333</v>
      </c>
      <c r="N9" s="10">
        <v>49.0</v>
      </c>
    </row>
    <row r="10">
      <c r="A10" s="3">
        <f t="shared" si="2"/>
        <v>3</v>
      </c>
      <c r="B10" s="4">
        <v>45567.0</v>
      </c>
      <c r="C10" s="3" t="s">
        <v>14</v>
      </c>
      <c r="D10" s="5" t="s">
        <v>15</v>
      </c>
      <c r="E10" s="6" t="s">
        <v>16</v>
      </c>
      <c r="F10" s="6" t="s">
        <v>20</v>
      </c>
      <c r="G10" s="6" t="s">
        <v>18</v>
      </c>
      <c r="H10" s="7" t="s">
        <v>19</v>
      </c>
      <c r="I10" s="7">
        <v>4.0</v>
      </c>
      <c r="J10" s="8">
        <v>0.1284722222222222</v>
      </c>
      <c r="K10" s="9">
        <v>0.13541666666666666</v>
      </c>
      <c r="L10" s="8">
        <v>0.3055555555555556</v>
      </c>
      <c r="M10" s="9">
        <v>0.3090277777777778</v>
      </c>
      <c r="N10" s="10">
        <v>46.0</v>
      </c>
    </row>
    <row r="11">
      <c r="A11" s="3">
        <f t="shared" si="2"/>
        <v>4</v>
      </c>
      <c r="B11" s="4">
        <v>45567.0</v>
      </c>
      <c r="C11" s="3" t="s">
        <v>14</v>
      </c>
      <c r="D11" s="5" t="s">
        <v>15</v>
      </c>
      <c r="E11" s="6" t="s">
        <v>16</v>
      </c>
      <c r="F11" s="6" t="s">
        <v>21</v>
      </c>
      <c r="G11" s="6" t="s">
        <v>18</v>
      </c>
      <c r="H11" s="7" t="s">
        <v>19</v>
      </c>
      <c r="I11" s="7">
        <v>4.0</v>
      </c>
      <c r="J11" s="8">
        <v>0.12916666666666668</v>
      </c>
      <c r="K11" s="9">
        <v>0.13680555555555557</v>
      </c>
      <c r="L11" s="8">
        <v>0.3263888888888889</v>
      </c>
      <c r="M11" s="9">
        <v>0.33194444444444443</v>
      </c>
      <c r="N11" s="10">
        <v>34.0</v>
      </c>
    </row>
    <row r="12">
      <c r="A12" s="3">
        <f t="shared" si="2"/>
        <v>5</v>
      </c>
      <c r="B12" s="4">
        <v>45567.0</v>
      </c>
      <c r="C12" s="3" t="s">
        <v>14</v>
      </c>
      <c r="D12" s="5" t="s">
        <v>15</v>
      </c>
      <c r="E12" s="6" t="s">
        <v>16</v>
      </c>
      <c r="F12" s="6" t="s">
        <v>22</v>
      </c>
      <c r="G12" s="6" t="s">
        <v>18</v>
      </c>
      <c r="H12" s="7" t="s">
        <v>19</v>
      </c>
      <c r="I12" s="7">
        <v>4.0</v>
      </c>
      <c r="J12" s="8">
        <v>0.13055555555555556</v>
      </c>
      <c r="K12" s="9">
        <v>0.14305555555555555</v>
      </c>
      <c r="L12" s="8">
        <v>0.2916666666666667</v>
      </c>
      <c r="M12" s="9">
        <v>0.2951388888888889</v>
      </c>
      <c r="N12" s="10">
        <v>32.0</v>
      </c>
    </row>
    <row r="13">
      <c r="A13" s="3">
        <f t="shared" si="2"/>
        <v>6</v>
      </c>
      <c r="B13" s="4">
        <v>45567.0</v>
      </c>
      <c r="C13" s="3" t="s">
        <v>14</v>
      </c>
      <c r="D13" s="5" t="s">
        <v>15</v>
      </c>
      <c r="E13" s="6" t="s">
        <v>16</v>
      </c>
      <c r="F13" s="6" t="s">
        <v>23</v>
      </c>
      <c r="G13" s="6" t="s">
        <v>18</v>
      </c>
      <c r="H13" s="7" t="s">
        <v>19</v>
      </c>
      <c r="I13" s="7">
        <v>4.0</v>
      </c>
      <c r="J13" s="8">
        <v>0.13194444444444445</v>
      </c>
      <c r="K13" s="9">
        <v>0.14583333333333334</v>
      </c>
      <c r="L13" s="8">
        <v>0.2847222222222222</v>
      </c>
      <c r="M13" s="9">
        <v>0.3298611111111111</v>
      </c>
      <c r="N13" s="10">
        <v>35.0</v>
      </c>
    </row>
    <row r="14">
      <c r="A14" s="3">
        <f t="shared" si="2"/>
        <v>7</v>
      </c>
      <c r="B14" s="4">
        <v>45568.0</v>
      </c>
      <c r="C14" s="3" t="s">
        <v>14</v>
      </c>
      <c r="D14" s="5" t="s">
        <v>15</v>
      </c>
      <c r="E14" s="6" t="s">
        <v>16</v>
      </c>
      <c r="F14" s="6" t="s">
        <v>17</v>
      </c>
      <c r="G14" s="6" t="s">
        <v>18</v>
      </c>
      <c r="H14" s="7" t="s">
        <v>19</v>
      </c>
      <c r="I14" s="7">
        <v>4.0</v>
      </c>
      <c r="J14" s="8">
        <v>0.125</v>
      </c>
      <c r="K14" s="9">
        <v>0.1326388888888889</v>
      </c>
      <c r="L14" s="8">
        <v>0.2916666666666667</v>
      </c>
      <c r="M14" s="9">
        <v>0.2986111111111111</v>
      </c>
      <c r="N14" s="10">
        <v>52.0</v>
      </c>
    </row>
    <row r="15">
      <c r="A15" s="3">
        <f t="shared" si="2"/>
        <v>8</v>
      </c>
      <c r="B15" s="4">
        <v>45568.0</v>
      </c>
      <c r="C15" s="3" t="s">
        <v>14</v>
      </c>
      <c r="D15" s="5" t="s">
        <v>15</v>
      </c>
      <c r="E15" s="6" t="s">
        <v>16</v>
      </c>
      <c r="F15" s="11" t="s">
        <v>20</v>
      </c>
      <c r="G15" s="6" t="s">
        <v>18</v>
      </c>
      <c r="H15" s="7" t="s">
        <v>19</v>
      </c>
      <c r="I15" s="7">
        <v>4.0</v>
      </c>
      <c r="J15" s="8">
        <v>0.12777777777777777</v>
      </c>
      <c r="K15" s="9">
        <v>0.13472222222222222</v>
      </c>
      <c r="L15" s="8">
        <v>0.2986111111111111</v>
      </c>
      <c r="M15" s="9">
        <v>0.3020833333333333</v>
      </c>
      <c r="N15" s="10">
        <v>45.0</v>
      </c>
    </row>
    <row r="16">
      <c r="A16" s="3">
        <f t="shared" si="2"/>
        <v>9</v>
      </c>
      <c r="B16" s="4">
        <v>45568.0</v>
      </c>
      <c r="C16" s="3" t="s">
        <v>14</v>
      </c>
      <c r="D16" s="5" t="s">
        <v>15</v>
      </c>
      <c r="E16" s="6" t="s">
        <v>16</v>
      </c>
      <c r="F16" s="6" t="s">
        <v>21</v>
      </c>
      <c r="G16" s="6" t="s">
        <v>18</v>
      </c>
      <c r="H16" s="7" t="s">
        <v>19</v>
      </c>
      <c r="I16" s="7">
        <v>4.0</v>
      </c>
      <c r="J16" s="8">
        <v>0.1284722222222222</v>
      </c>
      <c r="K16" s="9">
        <v>0.13541666666666666</v>
      </c>
      <c r="L16" s="8">
        <v>0.3055555555555556</v>
      </c>
      <c r="M16" s="9">
        <v>0.3090277777777778</v>
      </c>
      <c r="N16" s="10">
        <v>31.0</v>
      </c>
    </row>
    <row r="17">
      <c r="A17" s="3">
        <f t="shared" si="2"/>
        <v>10</v>
      </c>
      <c r="B17" s="4">
        <v>45568.0</v>
      </c>
      <c r="C17" s="3" t="s">
        <v>14</v>
      </c>
      <c r="D17" s="5" t="s">
        <v>15</v>
      </c>
      <c r="E17" s="6" t="s">
        <v>16</v>
      </c>
      <c r="F17" s="6" t="s">
        <v>22</v>
      </c>
      <c r="G17" s="6" t="s">
        <v>18</v>
      </c>
      <c r="H17" s="7" t="s">
        <v>19</v>
      </c>
      <c r="I17" s="7">
        <v>4.0</v>
      </c>
      <c r="J17" s="8">
        <v>0.13125</v>
      </c>
      <c r="K17" s="9">
        <v>0.1388888888888889</v>
      </c>
      <c r="L17" s="8">
        <v>0.30416666666666664</v>
      </c>
      <c r="M17" s="9">
        <v>0.3076388888888889</v>
      </c>
      <c r="N17" s="10">
        <v>46.0</v>
      </c>
    </row>
    <row r="18">
      <c r="A18" s="3">
        <f t="shared" si="2"/>
        <v>11</v>
      </c>
      <c r="B18" s="4">
        <v>45568.0</v>
      </c>
      <c r="C18" s="3" t="s">
        <v>14</v>
      </c>
      <c r="D18" s="5" t="s">
        <v>15</v>
      </c>
      <c r="E18" s="6" t="s">
        <v>16</v>
      </c>
      <c r="F18" s="6" t="s">
        <v>23</v>
      </c>
      <c r="G18" s="6" t="s">
        <v>18</v>
      </c>
      <c r="H18" s="7" t="s">
        <v>19</v>
      </c>
      <c r="I18" s="7">
        <v>4.0</v>
      </c>
      <c r="J18" s="8">
        <v>0.13194444444444445</v>
      </c>
      <c r="K18" s="9">
        <v>0.14166666666666666</v>
      </c>
      <c r="L18" s="8">
        <v>0.3125</v>
      </c>
      <c r="M18" s="9">
        <v>0.3159722222222222</v>
      </c>
      <c r="N18" s="10">
        <v>35.0</v>
      </c>
    </row>
    <row r="19">
      <c r="A19" s="3">
        <f t="shared" si="2"/>
        <v>12</v>
      </c>
      <c r="B19" s="4">
        <v>45568.0</v>
      </c>
      <c r="C19" s="3" t="s">
        <v>14</v>
      </c>
      <c r="D19" s="5" t="s">
        <v>15</v>
      </c>
      <c r="E19" s="6" t="s">
        <v>16</v>
      </c>
      <c r="F19" s="6" t="s">
        <v>24</v>
      </c>
      <c r="G19" s="6" t="s">
        <v>18</v>
      </c>
      <c r="H19" s="7" t="s">
        <v>19</v>
      </c>
      <c r="I19" s="7">
        <v>4.0</v>
      </c>
      <c r="J19" s="8">
        <v>0.13472222222222222</v>
      </c>
      <c r="K19" s="9">
        <v>0.1451388888888889</v>
      </c>
      <c r="L19" s="8">
        <v>0.3055555555555556</v>
      </c>
      <c r="M19" s="9">
        <v>0.3090277777777778</v>
      </c>
      <c r="N19" s="10">
        <v>33.0</v>
      </c>
    </row>
    <row r="20">
      <c r="A20" s="3">
        <f t="shared" si="2"/>
        <v>13</v>
      </c>
      <c r="B20" s="4">
        <v>45569.0</v>
      </c>
      <c r="C20" s="3" t="s">
        <v>14</v>
      </c>
      <c r="D20" s="5" t="s">
        <v>15</v>
      </c>
      <c r="E20" s="6" t="s">
        <v>16</v>
      </c>
      <c r="F20" s="6" t="s">
        <v>20</v>
      </c>
      <c r="G20" s="6" t="s">
        <v>18</v>
      </c>
      <c r="H20" s="7" t="s">
        <v>19</v>
      </c>
      <c r="I20" s="7">
        <v>4.0</v>
      </c>
      <c r="J20" s="8">
        <v>0.125</v>
      </c>
      <c r="K20" s="9">
        <v>0.1326388888888889</v>
      </c>
      <c r="L20" s="8">
        <v>0.3236111111111111</v>
      </c>
      <c r="M20" s="9">
        <v>0.3263888888888889</v>
      </c>
      <c r="N20" s="10">
        <v>44.0</v>
      </c>
    </row>
    <row r="21">
      <c r="A21" s="3">
        <f t="shared" si="2"/>
        <v>14</v>
      </c>
      <c r="B21" s="4">
        <v>45569.0</v>
      </c>
      <c r="C21" s="3" t="s">
        <v>14</v>
      </c>
      <c r="D21" s="5" t="s">
        <v>15</v>
      </c>
      <c r="E21" s="6" t="s">
        <v>16</v>
      </c>
      <c r="F21" s="11" t="s">
        <v>17</v>
      </c>
      <c r="G21" s="6" t="s">
        <v>18</v>
      </c>
      <c r="H21" s="7" t="s">
        <v>19</v>
      </c>
      <c r="I21" s="7">
        <v>4.0</v>
      </c>
      <c r="J21" s="8">
        <v>0.12569444444444444</v>
      </c>
      <c r="K21" s="9">
        <v>0.13472222222222222</v>
      </c>
      <c r="L21" s="8">
        <v>0.2951388888888889</v>
      </c>
      <c r="M21" s="9">
        <v>0.2986111111111111</v>
      </c>
      <c r="N21" s="10">
        <v>49.0</v>
      </c>
    </row>
    <row r="22">
      <c r="A22" s="3">
        <f t="shared" si="2"/>
        <v>15</v>
      </c>
      <c r="B22" s="4">
        <v>45569.0</v>
      </c>
      <c r="C22" s="3" t="s">
        <v>14</v>
      </c>
      <c r="D22" s="5" t="s">
        <v>15</v>
      </c>
      <c r="E22" s="6" t="s">
        <v>16</v>
      </c>
      <c r="F22" s="6" t="s">
        <v>21</v>
      </c>
      <c r="G22" s="6" t="s">
        <v>18</v>
      </c>
      <c r="H22" s="7" t="s">
        <v>19</v>
      </c>
      <c r="I22" s="7">
        <v>4.0</v>
      </c>
      <c r="J22" s="8">
        <v>0.12777777777777777</v>
      </c>
      <c r="K22" s="9">
        <v>0.1375</v>
      </c>
      <c r="L22" s="8">
        <v>0.2972222222222222</v>
      </c>
      <c r="M22" s="9">
        <v>0.3020833333333333</v>
      </c>
      <c r="N22" s="10">
        <v>31.0</v>
      </c>
    </row>
    <row r="23">
      <c r="A23" s="3">
        <f t="shared" si="2"/>
        <v>16</v>
      </c>
      <c r="B23" s="4">
        <v>45569.0</v>
      </c>
      <c r="C23" s="3" t="s">
        <v>14</v>
      </c>
      <c r="D23" s="5" t="s">
        <v>15</v>
      </c>
      <c r="E23" s="6" t="s">
        <v>16</v>
      </c>
      <c r="F23" s="6" t="s">
        <v>22</v>
      </c>
      <c r="G23" s="6" t="s">
        <v>18</v>
      </c>
      <c r="H23" s="7" t="s">
        <v>19</v>
      </c>
      <c r="I23" s="7">
        <v>4.0</v>
      </c>
      <c r="J23" s="8">
        <v>0.1284722222222222</v>
      </c>
      <c r="K23" s="9">
        <v>0.1388888888888889</v>
      </c>
      <c r="L23" s="8">
        <v>0.2951388888888889</v>
      </c>
      <c r="M23" s="9">
        <v>0.3</v>
      </c>
      <c r="N23" s="10">
        <v>45.0</v>
      </c>
    </row>
    <row r="24">
      <c r="A24" s="3">
        <f t="shared" si="2"/>
        <v>17</v>
      </c>
      <c r="B24" s="4">
        <v>45569.0</v>
      </c>
      <c r="C24" s="3" t="s">
        <v>14</v>
      </c>
      <c r="D24" s="5" t="s">
        <v>15</v>
      </c>
      <c r="E24" s="6" t="s">
        <v>16</v>
      </c>
      <c r="F24" s="6" t="s">
        <v>23</v>
      </c>
      <c r="G24" s="6" t="s">
        <v>18</v>
      </c>
      <c r="H24" s="7" t="s">
        <v>19</v>
      </c>
      <c r="I24" s="7">
        <v>4.0</v>
      </c>
      <c r="J24" s="8">
        <v>0.12916666666666668</v>
      </c>
      <c r="K24" s="9">
        <v>0.13958333333333334</v>
      </c>
      <c r="L24" s="8">
        <v>0.2916666666666667</v>
      </c>
      <c r="M24" s="9">
        <v>0.29791666666666666</v>
      </c>
      <c r="N24" s="10">
        <v>30.0</v>
      </c>
    </row>
    <row r="25">
      <c r="A25" s="3">
        <f t="shared" si="2"/>
        <v>18</v>
      </c>
      <c r="B25" s="4">
        <v>45569.0</v>
      </c>
      <c r="C25" s="3" t="s">
        <v>14</v>
      </c>
      <c r="D25" s="5" t="s">
        <v>15</v>
      </c>
      <c r="E25" s="6" t="s">
        <v>16</v>
      </c>
      <c r="F25" s="6" t="s">
        <v>24</v>
      </c>
      <c r="G25" s="6" t="s">
        <v>18</v>
      </c>
      <c r="H25" s="7" t="s">
        <v>19</v>
      </c>
      <c r="I25" s="7">
        <v>4.0</v>
      </c>
      <c r="J25" s="8">
        <v>0.13125</v>
      </c>
      <c r="K25" s="9">
        <v>0.14375</v>
      </c>
      <c r="L25" s="8">
        <v>0.3020833333333333</v>
      </c>
      <c r="M25" s="9">
        <v>0.30625</v>
      </c>
      <c r="N25" s="10">
        <v>31.0</v>
      </c>
    </row>
    <row r="26">
      <c r="A26" s="3">
        <f t="shared" si="2"/>
        <v>19</v>
      </c>
      <c r="B26" s="4">
        <v>45570.0</v>
      </c>
      <c r="C26" s="3" t="s">
        <v>14</v>
      </c>
      <c r="D26" s="5" t="s">
        <v>15</v>
      </c>
      <c r="E26" s="6" t="s">
        <v>16</v>
      </c>
      <c r="F26" s="6" t="s">
        <v>20</v>
      </c>
      <c r="G26" s="6" t="s">
        <v>18</v>
      </c>
      <c r="H26" s="7" t="s">
        <v>19</v>
      </c>
      <c r="I26" s="7">
        <v>4.0</v>
      </c>
      <c r="J26" s="8">
        <v>0.125</v>
      </c>
      <c r="K26" s="9">
        <v>0.13194444444444445</v>
      </c>
      <c r="L26" s="8">
        <v>0.3263888888888889</v>
      </c>
      <c r="M26" s="9">
        <v>0.3298611111111111</v>
      </c>
      <c r="N26" s="10">
        <v>44.0</v>
      </c>
    </row>
    <row r="27">
      <c r="A27" s="3">
        <f t="shared" si="2"/>
        <v>20</v>
      </c>
      <c r="B27" s="4">
        <v>45570.0</v>
      </c>
      <c r="C27" s="3" t="s">
        <v>14</v>
      </c>
      <c r="D27" s="5" t="s">
        <v>15</v>
      </c>
      <c r="E27" s="6" t="s">
        <v>16</v>
      </c>
      <c r="F27" s="11" t="s">
        <v>17</v>
      </c>
      <c r="G27" s="6" t="s">
        <v>18</v>
      </c>
      <c r="H27" s="7" t="s">
        <v>19</v>
      </c>
      <c r="I27" s="7">
        <v>4.0</v>
      </c>
      <c r="J27" s="8">
        <v>0.12569444444444444</v>
      </c>
      <c r="K27" s="9">
        <v>0.13333333333333333</v>
      </c>
      <c r="L27" s="8">
        <v>0.3055555555555556</v>
      </c>
      <c r="M27" s="9">
        <v>0.3090277777777778</v>
      </c>
      <c r="N27" s="10">
        <v>51.0</v>
      </c>
    </row>
    <row r="28">
      <c r="A28" s="3">
        <f t="shared" si="2"/>
        <v>21</v>
      </c>
      <c r="B28" s="4">
        <v>45570.0</v>
      </c>
      <c r="C28" s="3" t="s">
        <v>14</v>
      </c>
      <c r="D28" s="5" t="s">
        <v>15</v>
      </c>
      <c r="E28" s="6" t="s">
        <v>16</v>
      </c>
      <c r="F28" s="6" t="s">
        <v>22</v>
      </c>
      <c r="G28" s="6" t="s">
        <v>18</v>
      </c>
      <c r="H28" s="7" t="s">
        <v>19</v>
      </c>
      <c r="I28" s="7">
        <v>4.0</v>
      </c>
      <c r="J28" s="8">
        <v>0.12638888888888888</v>
      </c>
      <c r="K28" s="9">
        <v>0.13541666666666666</v>
      </c>
      <c r="L28" s="8">
        <v>0.2916666666666667</v>
      </c>
      <c r="M28" s="9">
        <v>0.2951388888888889</v>
      </c>
      <c r="N28" s="10">
        <v>48.0</v>
      </c>
    </row>
    <row r="29">
      <c r="A29" s="3">
        <f t="shared" si="2"/>
        <v>22</v>
      </c>
      <c r="B29" s="4">
        <v>45570.0</v>
      </c>
      <c r="C29" s="3" t="s">
        <v>14</v>
      </c>
      <c r="D29" s="5" t="s">
        <v>15</v>
      </c>
      <c r="E29" s="6" t="s">
        <v>16</v>
      </c>
      <c r="F29" s="6" t="s">
        <v>21</v>
      </c>
      <c r="G29" s="6" t="s">
        <v>18</v>
      </c>
      <c r="H29" s="7" t="s">
        <v>19</v>
      </c>
      <c r="I29" s="7">
        <v>4.0</v>
      </c>
      <c r="J29" s="8">
        <v>0.12777777777777777</v>
      </c>
      <c r="K29" s="9">
        <v>0.1375</v>
      </c>
      <c r="L29" s="8">
        <v>0.3090277777777778</v>
      </c>
      <c r="M29" s="9">
        <v>0.3125</v>
      </c>
      <c r="N29" s="10">
        <v>31.0</v>
      </c>
    </row>
    <row r="30">
      <c r="A30" s="3">
        <f t="shared" si="2"/>
        <v>23</v>
      </c>
      <c r="B30" s="4">
        <v>45570.0</v>
      </c>
      <c r="C30" s="3" t="s">
        <v>14</v>
      </c>
      <c r="D30" s="5" t="s">
        <v>15</v>
      </c>
      <c r="E30" s="6" t="s">
        <v>16</v>
      </c>
      <c r="F30" s="6" t="s">
        <v>23</v>
      </c>
      <c r="G30" s="6" t="s">
        <v>18</v>
      </c>
      <c r="H30" s="7" t="s">
        <v>19</v>
      </c>
      <c r="I30" s="7">
        <v>4.0</v>
      </c>
      <c r="J30" s="8">
        <v>0.12916666666666668</v>
      </c>
      <c r="K30" s="9">
        <v>0.14027777777777778</v>
      </c>
      <c r="L30" s="8">
        <v>0.2951388888888889</v>
      </c>
      <c r="M30" s="9">
        <v>0.2986111111111111</v>
      </c>
      <c r="N30" s="10">
        <v>30.0</v>
      </c>
    </row>
    <row r="31">
      <c r="A31" s="3">
        <f t="shared" si="2"/>
        <v>24</v>
      </c>
      <c r="B31" s="4">
        <v>45570.0</v>
      </c>
      <c r="C31" s="3" t="s">
        <v>14</v>
      </c>
      <c r="D31" s="5" t="s">
        <v>15</v>
      </c>
      <c r="E31" s="6" t="s">
        <v>16</v>
      </c>
      <c r="F31" s="6" t="s">
        <v>24</v>
      </c>
      <c r="G31" s="6" t="s">
        <v>18</v>
      </c>
      <c r="H31" s="7" t="s">
        <v>19</v>
      </c>
      <c r="I31" s="7">
        <v>4.0</v>
      </c>
      <c r="J31" s="8">
        <v>0.13055555555555556</v>
      </c>
      <c r="K31" s="9">
        <v>0.14583333333333334</v>
      </c>
      <c r="L31" s="8">
        <v>0.3055555555555556</v>
      </c>
      <c r="M31" s="9">
        <v>0.3090277777777778</v>
      </c>
      <c r="N31" s="10">
        <v>31.0</v>
      </c>
    </row>
    <row r="32">
      <c r="A32" s="3">
        <f t="shared" si="2"/>
        <v>25</v>
      </c>
      <c r="B32" s="4">
        <v>45571.0</v>
      </c>
      <c r="C32" s="3" t="s">
        <v>14</v>
      </c>
      <c r="D32" s="5" t="s">
        <v>15</v>
      </c>
      <c r="E32" s="6" t="s">
        <v>16</v>
      </c>
      <c r="F32" s="11" t="s">
        <v>17</v>
      </c>
      <c r="G32" s="6" t="s">
        <v>18</v>
      </c>
      <c r="H32" s="7" t="s">
        <v>19</v>
      </c>
      <c r="I32" s="7">
        <v>4.0</v>
      </c>
      <c r="J32" s="8">
        <v>0.125</v>
      </c>
      <c r="K32" s="9">
        <v>0.13541666666666666</v>
      </c>
      <c r="L32" s="8">
        <v>0.2916666666666667</v>
      </c>
      <c r="M32" s="9">
        <v>0.2951388888888889</v>
      </c>
      <c r="N32" s="10">
        <v>48.0</v>
      </c>
    </row>
    <row r="33">
      <c r="A33" s="3">
        <f t="shared" si="2"/>
        <v>26</v>
      </c>
      <c r="B33" s="4">
        <v>45571.0</v>
      </c>
      <c r="C33" s="3" t="s">
        <v>14</v>
      </c>
      <c r="D33" s="5" t="s">
        <v>15</v>
      </c>
      <c r="E33" s="6" t="s">
        <v>16</v>
      </c>
      <c r="F33" s="6" t="s">
        <v>20</v>
      </c>
      <c r="G33" s="6" t="s">
        <v>18</v>
      </c>
      <c r="H33" s="7" t="s">
        <v>19</v>
      </c>
      <c r="I33" s="7">
        <v>4.0</v>
      </c>
      <c r="J33" s="8">
        <v>0.12569444444444444</v>
      </c>
      <c r="K33" s="9">
        <v>0.13680555555555557</v>
      </c>
      <c r="L33" s="8">
        <v>0.29375</v>
      </c>
      <c r="M33" s="9">
        <v>0.3</v>
      </c>
      <c r="N33" s="10">
        <v>52.0</v>
      </c>
    </row>
    <row r="34">
      <c r="A34" s="3">
        <f t="shared" si="2"/>
        <v>27</v>
      </c>
      <c r="B34" s="4">
        <v>45571.0</v>
      </c>
      <c r="C34" s="3" t="s">
        <v>14</v>
      </c>
      <c r="D34" s="5" t="s">
        <v>15</v>
      </c>
      <c r="E34" s="6" t="s">
        <v>16</v>
      </c>
      <c r="F34" s="6" t="s">
        <v>23</v>
      </c>
      <c r="G34" s="6" t="s">
        <v>18</v>
      </c>
      <c r="H34" s="7" t="s">
        <v>19</v>
      </c>
      <c r="I34" s="7">
        <v>4.0</v>
      </c>
      <c r="J34" s="8">
        <v>0.12638888888888888</v>
      </c>
      <c r="K34" s="9">
        <v>0.1375</v>
      </c>
      <c r="L34" s="8">
        <v>0.3034722222222222</v>
      </c>
      <c r="M34" s="9">
        <v>0.3125</v>
      </c>
      <c r="N34" s="10">
        <v>36.0</v>
      </c>
    </row>
    <row r="35">
      <c r="A35" s="3">
        <f t="shared" si="2"/>
        <v>28</v>
      </c>
      <c r="B35" s="4">
        <v>45571.0</v>
      </c>
      <c r="C35" s="3" t="s">
        <v>14</v>
      </c>
      <c r="D35" s="5" t="s">
        <v>15</v>
      </c>
      <c r="E35" s="6" t="s">
        <v>16</v>
      </c>
      <c r="F35" s="6" t="s">
        <v>26</v>
      </c>
      <c r="G35" s="6" t="s">
        <v>18</v>
      </c>
      <c r="H35" s="7" t="s">
        <v>19</v>
      </c>
      <c r="I35" s="7">
        <v>4.0</v>
      </c>
      <c r="J35" s="8">
        <v>0.12777777777777777</v>
      </c>
      <c r="K35" s="9">
        <v>0.1388888888888889</v>
      </c>
      <c r="L35" s="8">
        <v>0.2986111111111111</v>
      </c>
      <c r="M35" s="9">
        <v>0.30416666666666664</v>
      </c>
      <c r="N35" s="10">
        <v>31.0</v>
      </c>
    </row>
    <row r="36">
      <c r="A36" s="3">
        <f t="shared" si="2"/>
        <v>29</v>
      </c>
      <c r="B36" s="4">
        <v>45571.0</v>
      </c>
      <c r="C36" s="3" t="s">
        <v>14</v>
      </c>
      <c r="D36" s="5" t="s">
        <v>15</v>
      </c>
      <c r="E36" s="6" t="s">
        <v>16</v>
      </c>
      <c r="F36" s="6" t="s">
        <v>21</v>
      </c>
      <c r="G36" s="6" t="s">
        <v>18</v>
      </c>
      <c r="H36" s="7" t="s">
        <v>19</v>
      </c>
      <c r="I36" s="7">
        <v>4.0</v>
      </c>
      <c r="J36" s="8">
        <v>0.12916666666666668</v>
      </c>
      <c r="K36" s="9">
        <v>0.1423611111111111</v>
      </c>
      <c r="L36" s="8">
        <v>0.2951388888888889</v>
      </c>
      <c r="M36" s="9">
        <v>0.2986111111111111</v>
      </c>
      <c r="N36" s="10">
        <v>42.0</v>
      </c>
    </row>
    <row r="37">
      <c r="A37" s="3">
        <f t="shared" si="2"/>
        <v>30</v>
      </c>
      <c r="B37" s="4">
        <v>45571.0</v>
      </c>
      <c r="C37" s="3" t="s">
        <v>14</v>
      </c>
      <c r="D37" s="5" t="s">
        <v>15</v>
      </c>
      <c r="E37" s="6" t="s">
        <v>16</v>
      </c>
      <c r="F37" s="6" t="s">
        <v>24</v>
      </c>
      <c r="G37" s="6" t="s">
        <v>18</v>
      </c>
      <c r="H37" s="7" t="s">
        <v>19</v>
      </c>
      <c r="I37" s="7">
        <v>4.0</v>
      </c>
      <c r="J37" s="8">
        <v>0.13333333333333333</v>
      </c>
      <c r="K37" s="9">
        <v>0.14583333333333334</v>
      </c>
      <c r="L37" s="8">
        <v>0.2951388888888889</v>
      </c>
      <c r="M37" s="9">
        <v>0.3020833333333333</v>
      </c>
      <c r="N37" s="10">
        <v>31.0</v>
      </c>
    </row>
    <row r="38">
      <c r="A38" s="3">
        <f t="shared" si="2"/>
        <v>31</v>
      </c>
      <c r="B38" s="4">
        <v>45572.0</v>
      </c>
      <c r="C38" s="3" t="s">
        <v>14</v>
      </c>
      <c r="D38" s="5" t="s">
        <v>15</v>
      </c>
      <c r="E38" s="6" t="s">
        <v>16</v>
      </c>
      <c r="F38" s="11" t="s">
        <v>17</v>
      </c>
      <c r="G38" s="6" t="s">
        <v>18</v>
      </c>
      <c r="H38" s="7" t="s">
        <v>19</v>
      </c>
      <c r="I38" s="7">
        <v>4.0</v>
      </c>
      <c r="J38" s="8">
        <v>0.12569444444444444</v>
      </c>
      <c r="K38" s="9">
        <v>0.13333333333333333</v>
      </c>
      <c r="L38" s="8">
        <v>0.2986111111111111</v>
      </c>
      <c r="M38" s="9">
        <v>0.3111111111111111</v>
      </c>
      <c r="N38" s="10">
        <v>51.0</v>
      </c>
    </row>
    <row r="39">
      <c r="A39" s="12">
        <f t="shared" si="2"/>
        <v>32</v>
      </c>
      <c r="B39" s="13">
        <v>45572.0</v>
      </c>
      <c r="C39" s="12" t="s">
        <v>14</v>
      </c>
      <c r="D39" s="14" t="s">
        <v>15</v>
      </c>
      <c r="E39" s="6" t="s">
        <v>16</v>
      </c>
      <c r="F39" s="6" t="s">
        <v>20</v>
      </c>
      <c r="G39" s="6" t="s">
        <v>18</v>
      </c>
      <c r="H39" s="7" t="s">
        <v>19</v>
      </c>
      <c r="I39" s="7">
        <v>4.0</v>
      </c>
      <c r="J39" s="15">
        <v>0.12638888888888888</v>
      </c>
      <c r="K39" s="16">
        <v>0.13472222222222222</v>
      </c>
      <c r="L39" s="15">
        <v>0.3402777777777778</v>
      </c>
      <c r="M39" s="16">
        <v>0.34305555555555556</v>
      </c>
      <c r="N39" s="17">
        <v>52.0</v>
      </c>
    </row>
    <row r="40">
      <c r="A40" s="3">
        <f t="shared" si="2"/>
        <v>33</v>
      </c>
      <c r="B40" s="4">
        <v>45572.0</v>
      </c>
      <c r="C40" s="3" t="s">
        <v>14</v>
      </c>
      <c r="D40" s="5" t="s">
        <v>15</v>
      </c>
      <c r="E40" s="6" t="s">
        <v>16</v>
      </c>
      <c r="F40" s="6" t="s">
        <v>23</v>
      </c>
      <c r="G40" s="6" t="s">
        <v>18</v>
      </c>
      <c r="H40" s="7" t="s">
        <v>19</v>
      </c>
      <c r="I40" s="7">
        <v>4.0</v>
      </c>
      <c r="J40" s="8">
        <v>0.12638888888888888</v>
      </c>
      <c r="K40" s="9">
        <v>0.13541666666666666</v>
      </c>
      <c r="L40" s="8">
        <v>0.2916666666666667</v>
      </c>
      <c r="M40" s="9">
        <v>0.2986111111111111</v>
      </c>
      <c r="N40" s="10">
        <v>36.0</v>
      </c>
    </row>
    <row r="41">
      <c r="A41" s="3">
        <f t="shared" si="2"/>
        <v>34</v>
      </c>
      <c r="B41" s="4">
        <v>45572.0</v>
      </c>
      <c r="C41" s="3" t="s">
        <v>14</v>
      </c>
      <c r="D41" s="5" t="s">
        <v>15</v>
      </c>
      <c r="E41" s="6" t="s">
        <v>16</v>
      </c>
      <c r="F41" s="6" t="s">
        <v>22</v>
      </c>
      <c r="G41" s="6" t="s">
        <v>18</v>
      </c>
      <c r="H41" s="7" t="s">
        <v>19</v>
      </c>
      <c r="I41" s="7">
        <v>4.0</v>
      </c>
      <c r="J41" s="8">
        <v>0.12777777777777777</v>
      </c>
      <c r="K41" s="9">
        <v>0.1361111111111111</v>
      </c>
      <c r="L41" s="8">
        <v>0.3194444444444444</v>
      </c>
      <c r="M41" s="9">
        <v>0.3229166666666667</v>
      </c>
      <c r="N41" s="10">
        <v>47.0</v>
      </c>
    </row>
    <row r="42">
      <c r="A42" s="3">
        <f t="shared" si="2"/>
        <v>35</v>
      </c>
      <c r="B42" s="4">
        <v>45572.0</v>
      </c>
      <c r="C42" s="3" t="s">
        <v>14</v>
      </c>
      <c r="D42" s="5" t="s">
        <v>15</v>
      </c>
      <c r="E42" s="6" t="s">
        <v>16</v>
      </c>
      <c r="F42" s="6" t="s">
        <v>21</v>
      </c>
      <c r="G42" s="6" t="s">
        <v>18</v>
      </c>
      <c r="H42" s="7" t="s">
        <v>19</v>
      </c>
      <c r="I42" s="7">
        <v>4.0</v>
      </c>
      <c r="J42" s="8">
        <v>0.12916666666666668</v>
      </c>
      <c r="K42" s="9">
        <v>0.1375</v>
      </c>
      <c r="L42" s="8">
        <v>0.3125</v>
      </c>
      <c r="M42" s="9">
        <v>0.3159722222222222</v>
      </c>
      <c r="N42" s="10">
        <v>32.0</v>
      </c>
    </row>
    <row r="43">
      <c r="A43" s="3">
        <f t="shared" si="2"/>
        <v>36</v>
      </c>
      <c r="B43" s="4">
        <v>45572.0</v>
      </c>
      <c r="C43" s="3" t="s">
        <v>14</v>
      </c>
      <c r="D43" s="5" t="s">
        <v>15</v>
      </c>
      <c r="E43" s="6" t="s">
        <v>16</v>
      </c>
      <c r="F43" s="6" t="s">
        <v>24</v>
      </c>
      <c r="G43" s="6" t="s">
        <v>18</v>
      </c>
      <c r="H43" s="7" t="s">
        <v>19</v>
      </c>
      <c r="I43" s="7">
        <v>4.0</v>
      </c>
      <c r="J43" s="8">
        <v>0.13125</v>
      </c>
      <c r="K43" s="9">
        <v>0.14305555555555555</v>
      </c>
      <c r="L43" s="8">
        <v>0.2986111111111111</v>
      </c>
      <c r="M43" s="9">
        <v>0.3020833333333333</v>
      </c>
      <c r="N43" s="10">
        <v>31.0</v>
      </c>
    </row>
    <row r="44">
      <c r="A44" s="3">
        <f t="shared" si="2"/>
        <v>37</v>
      </c>
      <c r="B44" s="4">
        <v>45573.0</v>
      </c>
      <c r="C44" s="3" t="s">
        <v>14</v>
      </c>
      <c r="D44" s="5" t="s">
        <v>15</v>
      </c>
      <c r="E44" s="6" t="s">
        <v>16</v>
      </c>
      <c r="F44" s="11" t="s">
        <v>17</v>
      </c>
      <c r="G44" s="6" t="s">
        <v>18</v>
      </c>
      <c r="H44" s="7" t="s">
        <v>19</v>
      </c>
      <c r="I44" s="7">
        <v>4.0</v>
      </c>
      <c r="J44" s="8">
        <v>0.125</v>
      </c>
      <c r="K44" s="9">
        <v>0.12916666666666668</v>
      </c>
      <c r="L44" s="8">
        <v>0.2986111111111111</v>
      </c>
      <c r="M44" s="9">
        <v>0.3020833333333333</v>
      </c>
      <c r="N44" s="10">
        <v>47.0</v>
      </c>
    </row>
    <row r="45">
      <c r="A45" s="3">
        <f t="shared" si="2"/>
        <v>38</v>
      </c>
      <c r="B45" s="4">
        <v>45573.0</v>
      </c>
      <c r="C45" s="3" t="s">
        <v>14</v>
      </c>
      <c r="D45" s="5" t="s">
        <v>15</v>
      </c>
      <c r="E45" s="6" t="s">
        <v>16</v>
      </c>
      <c r="F45" s="6" t="s">
        <v>20</v>
      </c>
      <c r="G45" s="6" t="s">
        <v>18</v>
      </c>
      <c r="H45" s="7" t="s">
        <v>19</v>
      </c>
      <c r="I45" s="7">
        <v>4.0</v>
      </c>
      <c r="J45" s="8">
        <v>0.125</v>
      </c>
      <c r="K45" s="9">
        <v>0.13194444444444445</v>
      </c>
      <c r="L45" s="8">
        <v>0.3194444444444444</v>
      </c>
      <c r="M45" s="9">
        <v>0.3229166666666667</v>
      </c>
      <c r="N45" s="10">
        <v>44.0</v>
      </c>
    </row>
    <row r="46">
      <c r="A46" s="3">
        <f t="shared" si="2"/>
        <v>39</v>
      </c>
      <c r="B46" s="4">
        <v>45573.0</v>
      </c>
      <c r="C46" s="3" t="s">
        <v>14</v>
      </c>
      <c r="D46" s="5" t="s">
        <v>15</v>
      </c>
      <c r="E46" s="6" t="s">
        <v>16</v>
      </c>
      <c r="F46" s="6" t="s">
        <v>23</v>
      </c>
      <c r="G46" s="6" t="s">
        <v>18</v>
      </c>
      <c r="H46" s="7" t="s">
        <v>19</v>
      </c>
      <c r="I46" s="7">
        <v>4.0</v>
      </c>
      <c r="J46" s="8">
        <v>0.125</v>
      </c>
      <c r="K46" s="9">
        <v>0.13541666666666666</v>
      </c>
      <c r="L46" s="8">
        <v>0.2847222222222222</v>
      </c>
      <c r="M46" s="9">
        <v>0.2881944444444444</v>
      </c>
      <c r="N46" s="10">
        <v>35.0</v>
      </c>
    </row>
    <row r="47">
      <c r="A47" s="3">
        <f t="shared" si="2"/>
        <v>40</v>
      </c>
      <c r="B47" s="4">
        <v>45573.0</v>
      </c>
      <c r="C47" s="3" t="s">
        <v>14</v>
      </c>
      <c r="D47" s="5" t="s">
        <v>15</v>
      </c>
      <c r="E47" s="6" t="s">
        <v>16</v>
      </c>
      <c r="F47" s="6" t="s">
        <v>21</v>
      </c>
      <c r="G47" s="6" t="s">
        <v>18</v>
      </c>
      <c r="H47" s="7" t="s">
        <v>19</v>
      </c>
      <c r="I47" s="7">
        <v>4.0</v>
      </c>
      <c r="J47" s="8">
        <v>0.12569444444444444</v>
      </c>
      <c r="K47" s="9">
        <v>0.13680555555555557</v>
      </c>
      <c r="L47" s="8">
        <v>0.3125</v>
      </c>
      <c r="M47" s="9">
        <v>0.3159722222222222</v>
      </c>
      <c r="N47" s="10">
        <v>31.0</v>
      </c>
    </row>
    <row r="48">
      <c r="A48" s="3">
        <f t="shared" si="2"/>
        <v>41</v>
      </c>
      <c r="B48" s="4">
        <v>45573.0</v>
      </c>
      <c r="C48" s="3" t="s">
        <v>14</v>
      </c>
      <c r="D48" s="5" t="s">
        <v>15</v>
      </c>
      <c r="E48" s="6" t="s">
        <v>16</v>
      </c>
      <c r="F48" s="6" t="s">
        <v>22</v>
      </c>
      <c r="G48" s="6" t="s">
        <v>18</v>
      </c>
      <c r="H48" s="7" t="s">
        <v>19</v>
      </c>
      <c r="I48" s="7">
        <v>4.0</v>
      </c>
      <c r="J48" s="8">
        <v>0.12777777777777777</v>
      </c>
      <c r="K48" s="9">
        <v>0.1388888888888889</v>
      </c>
      <c r="L48" s="8">
        <v>0.3020833333333333</v>
      </c>
      <c r="M48" s="9">
        <v>0.3055555555555556</v>
      </c>
      <c r="N48" s="10">
        <v>45.0</v>
      </c>
    </row>
    <row r="49">
      <c r="A49" s="3">
        <f t="shared" si="2"/>
        <v>42</v>
      </c>
      <c r="B49" s="4">
        <v>45573.0</v>
      </c>
      <c r="C49" s="3" t="s">
        <v>14</v>
      </c>
      <c r="D49" s="5" t="s">
        <v>15</v>
      </c>
      <c r="E49" s="6" t="s">
        <v>16</v>
      </c>
      <c r="F49" s="6" t="s">
        <v>24</v>
      </c>
      <c r="G49" s="6" t="s">
        <v>18</v>
      </c>
      <c r="H49" s="7" t="s">
        <v>19</v>
      </c>
      <c r="I49" s="7">
        <v>4.0</v>
      </c>
      <c r="J49" s="8">
        <v>0.13541666666666666</v>
      </c>
      <c r="K49" s="9">
        <v>0.14375</v>
      </c>
      <c r="L49" s="8">
        <v>0.3055555555555556</v>
      </c>
      <c r="M49" s="9">
        <v>0.3090277777777778</v>
      </c>
      <c r="N49" s="10">
        <v>31.0</v>
      </c>
    </row>
    <row r="50">
      <c r="A50" s="3">
        <f t="shared" si="2"/>
        <v>43</v>
      </c>
      <c r="B50" s="4">
        <v>45574.0</v>
      </c>
      <c r="C50" s="3" t="s">
        <v>14</v>
      </c>
      <c r="D50" s="5" t="s">
        <v>15</v>
      </c>
      <c r="E50" s="6" t="s">
        <v>16</v>
      </c>
      <c r="F50" s="6" t="s">
        <v>17</v>
      </c>
      <c r="G50" s="6" t="s">
        <v>18</v>
      </c>
      <c r="H50" s="7" t="s">
        <v>19</v>
      </c>
      <c r="I50" s="7">
        <v>4.0</v>
      </c>
      <c r="J50" s="8">
        <v>0.125</v>
      </c>
      <c r="K50" s="9">
        <v>0.13194444444444445</v>
      </c>
      <c r="L50" s="8">
        <v>0.3159722222222222</v>
      </c>
      <c r="M50" s="9">
        <v>0.3194444444444444</v>
      </c>
      <c r="N50" s="10">
        <v>53.0</v>
      </c>
    </row>
    <row r="51">
      <c r="A51" s="3">
        <f t="shared" si="2"/>
        <v>44</v>
      </c>
      <c r="B51" s="4">
        <v>45574.0</v>
      </c>
      <c r="C51" s="3" t="s">
        <v>14</v>
      </c>
      <c r="D51" s="5" t="s">
        <v>15</v>
      </c>
      <c r="E51" s="6" t="s">
        <v>16</v>
      </c>
      <c r="F51" s="11" t="s">
        <v>20</v>
      </c>
      <c r="G51" s="6" t="s">
        <v>18</v>
      </c>
      <c r="H51" s="7" t="s">
        <v>19</v>
      </c>
      <c r="I51" s="7">
        <v>4.0</v>
      </c>
      <c r="J51" s="8">
        <v>0.12569444444444444</v>
      </c>
      <c r="K51" s="9">
        <v>0.13333333333333333</v>
      </c>
      <c r="L51" s="8">
        <v>0.3125</v>
      </c>
      <c r="M51" s="8">
        <v>0.3159722222222222</v>
      </c>
      <c r="N51" s="10">
        <v>44.0</v>
      </c>
    </row>
    <row r="52">
      <c r="A52" s="3">
        <f t="shared" si="2"/>
        <v>45</v>
      </c>
      <c r="B52" s="4">
        <v>45574.0</v>
      </c>
      <c r="C52" s="3" t="s">
        <v>14</v>
      </c>
      <c r="D52" s="5" t="s">
        <v>15</v>
      </c>
      <c r="E52" s="6" t="s">
        <v>16</v>
      </c>
      <c r="F52" s="6" t="s">
        <v>21</v>
      </c>
      <c r="G52" s="6" t="s">
        <v>18</v>
      </c>
      <c r="H52" s="7" t="s">
        <v>19</v>
      </c>
      <c r="I52" s="7">
        <v>4.0</v>
      </c>
      <c r="J52" s="8">
        <v>0.12777777777777777</v>
      </c>
      <c r="K52" s="9">
        <v>0.13472222222222222</v>
      </c>
      <c r="L52" s="8">
        <v>0.3125</v>
      </c>
      <c r="M52" s="8">
        <v>0.31666666666666665</v>
      </c>
      <c r="N52" s="10">
        <v>34.0</v>
      </c>
    </row>
    <row r="53">
      <c r="A53" s="3">
        <f t="shared" si="2"/>
        <v>46</v>
      </c>
      <c r="B53" s="4">
        <v>45574.0</v>
      </c>
      <c r="C53" s="3" t="s">
        <v>14</v>
      </c>
      <c r="D53" s="5" t="s">
        <v>15</v>
      </c>
      <c r="E53" s="6" t="s">
        <v>16</v>
      </c>
      <c r="F53" s="6" t="s">
        <v>24</v>
      </c>
      <c r="G53" s="6" t="s">
        <v>18</v>
      </c>
      <c r="H53" s="7" t="s">
        <v>19</v>
      </c>
      <c r="I53" s="7">
        <v>4.0</v>
      </c>
      <c r="J53" s="8">
        <v>0.12777777777777777</v>
      </c>
      <c r="K53" s="9">
        <v>0.13541666666666666</v>
      </c>
      <c r="L53" s="8">
        <v>0.3125</v>
      </c>
      <c r="M53" s="9">
        <v>0.3173611111111111</v>
      </c>
      <c r="N53" s="10">
        <v>31.0</v>
      </c>
    </row>
    <row r="54">
      <c r="A54" s="3">
        <f t="shared" si="2"/>
        <v>47</v>
      </c>
      <c r="B54" s="4">
        <v>45574.0</v>
      </c>
      <c r="C54" s="3" t="s">
        <v>14</v>
      </c>
      <c r="D54" s="5" t="s">
        <v>15</v>
      </c>
      <c r="E54" s="6" t="s">
        <v>16</v>
      </c>
      <c r="F54" s="6" t="s">
        <v>23</v>
      </c>
      <c r="G54" s="6" t="s">
        <v>18</v>
      </c>
      <c r="H54" s="7" t="s">
        <v>19</v>
      </c>
      <c r="I54" s="7">
        <v>4.0</v>
      </c>
      <c r="J54" s="8">
        <v>0.1284722222222222</v>
      </c>
      <c r="K54" s="9">
        <v>0.1361111111111111</v>
      </c>
      <c r="L54" s="8">
        <v>0.3020833333333333</v>
      </c>
      <c r="M54" s="9">
        <v>0.3055555555555556</v>
      </c>
      <c r="N54" s="10">
        <v>35.0</v>
      </c>
    </row>
    <row r="55">
      <c r="A55" s="3">
        <f t="shared" si="2"/>
        <v>48</v>
      </c>
      <c r="B55" s="4">
        <v>45574.0</v>
      </c>
      <c r="C55" s="3" t="s">
        <v>14</v>
      </c>
      <c r="D55" s="5" t="s">
        <v>15</v>
      </c>
      <c r="E55" s="6" t="s">
        <v>16</v>
      </c>
      <c r="F55" s="6" t="s">
        <v>22</v>
      </c>
      <c r="G55" s="6" t="s">
        <v>18</v>
      </c>
      <c r="H55" s="7" t="s">
        <v>19</v>
      </c>
      <c r="I55" s="7">
        <v>4.0</v>
      </c>
      <c r="J55" s="8">
        <v>0.13194444444444445</v>
      </c>
      <c r="K55" s="9">
        <v>0.14444444444444443</v>
      </c>
      <c r="L55" s="8">
        <v>0.3020833333333333</v>
      </c>
      <c r="M55" s="9">
        <v>0.3055555555555556</v>
      </c>
      <c r="N55" s="10">
        <v>46.0</v>
      </c>
    </row>
    <row r="56">
      <c r="A56" s="3">
        <f t="shared" si="2"/>
        <v>49</v>
      </c>
      <c r="B56" s="4">
        <v>45575.0</v>
      </c>
      <c r="C56" s="3" t="s">
        <v>14</v>
      </c>
      <c r="D56" s="5" t="s">
        <v>15</v>
      </c>
      <c r="E56" s="6" t="s">
        <v>16</v>
      </c>
      <c r="F56" s="11" t="s">
        <v>17</v>
      </c>
      <c r="G56" s="6" t="s">
        <v>18</v>
      </c>
      <c r="H56" s="7" t="s">
        <v>19</v>
      </c>
      <c r="I56" s="7">
        <v>4.0</v>
      </c>
      <c r="J56" s="8">
        <v>0.125</v>
      </c>
      <c r="K56" s="9">
        <v>0.13194444444444445</v>
      </c>
      <c r="L56" s="8">
        <v>0.3138888888888889</v>
      </c>
      <c r="M56" s="9">
        <v>0.31666666666666665</v>
      </c>
      <c r="N56" s="10">
        <v>46.0</v>
      </c>
    </row>
    <row r="57">
      <c r="A57" s="12">
        <f t="shared" si="2"/>
        <v>50</v>
      </c>
      <c r="B57" s="13">
        <v>45575.0</v>
      </c>
      <c r="C57" s="12" t="s">
        <v>14</v>
      </c>
      <c r="D57" s="14" t="s">
        <v>15</v>
      </c>
      <c r="E57" s="6" t="s">
        <v>16</v>
      </c>
      <c r="F57" s="6" t="s">
        <v>20</v>
      </c>
      <c r="G57" s="6" t="s">
        <v>18</v>
      </c>
      <c r="H57" s="7" t="s">
        <v>19</v>
      </c>
      <c r="I57" s="7">
        <v>4.0</v>
      </c>
      <c r="J57" s="15">
        <v>0.125</v>
      </c>
      <c r="K57" s="16">
        <v>0.1375</v>
      </c>
      <c r="L57" s="15">
        <v>0.34375</v>
      </c>
      <c r="M57" s="16">
        <v>0.3472222222222222</v>
      </c>
      <c r="N57" s="18">
        <v>45.0</v>
      </c>
    </row>
    <row r="58">
      <c r="A58" s="3">
        <f t="shared" si="2"/>
        <v>51</v>
      </c>
      <c r="B58" s="4">
        <v>45575.0</v>
      </c>
      <c r="C58" s="3" t="s">
        <v>14</v>
      </c>
      <c r="D58" s="5" t="s">
        <v>15</v>
      </c>
      <c r="E58" s="6" t="s">
        <v>16</v>
      </c>
      <c r="F58" s="6" t="s">
        <v>22</v>
      </c>
      <c r="G58" s="6" t="s">
        <v>18</v>
      </c>
      <c r="H58" s="7" t="s">
        <v>19</v>
      </c>
      <c r="I58" s="7">
        <v>4.0</v>
      </c>
      <c r="J58" s="8">
        <v>0.12708333333333333</v>
      </c>
      <c r="K58" s="9">
        <v>0.14375</v>
      </c>
      <c r="L58" s="8">
        <v>0.3104166666666667</v>
      </c>
      <c r="M58" s="9">
        <v>0.3138888888888889</v>
      </c>
      <c r="N58" s="10">
        <v>41.0</v>
      </c>
    </row>
    <row r="59">
      <c r="A59" s="3">
        <f t="shared" si="2"/>
        <v>52</v>
      </c>
      <c r="B59" s="4">
        <v>45575.0</v>
      </c>
      <c r="C59" s="3" t="s">
        <v>14</v>
      </c>
      <c r="D59" s="5" t="s">
        <v>15</v>
      </c>
      <c r="E59" s="6" t="s">
        <v>16</v>
      </c>
      <c r="F59" s="6" t="s">
        <v>23</v>
      </c>
      <c r="G59" s="6" t="s">
        <v>18</v>
      </c>
      <c r="H59" s="7" t="s">
        <v>19</v>
      </c>
      <c r="I59" s="7">
        <v>4.0</v>
      </c>
      <c r="J59" s="8">
        <v>0.12708333333333333</v>
      </c>
      <c r="K59" s="9">
        <v>0.13472222222222222</v>
      </c>
      <c r="L59" s="8">
        <v>0.2881944444444444</v>
      </c>
      <c r="M59" s="9">
        <v>0.2916666666666667</v>
      </c>
      <c r="N59" s="10">
        <v>35.0</v>
      </c>
    </row>
    <row r="60">
      <c r="A60" s="3">
        <f t="shared" si="2"/>
        <v>53</v>
      </c>
      <c r="B60" s="4">
        <v>45575.0</v>
      </c>
      <c r="C60" s="3" t="s">
        <v>14</v>
      </c>
      <c r="D60" s="5" t="s">
        <v>15</v>
      </c>
      <c r="E60" s="6" t="s">
        <v>16</v>
      </c>
      <c r="F60" s="6" t="s">
        <v>21</v>
      </c>
      <c r="G60" s="6" t="s">
        <v>18</v>
      </c>
      <c r="H60" s="7" t="s">
        <v>19</v>
      </c>
      <c r="I60" s="7">
        <v>4.0</v>
      </c>
      <c r="J60" s="8">
        <v>0.1284722222222222</v>
      </c>
      <c r="K60" s="9">
        <v>0.1388888888888889</v>
      </c>
      <c r="L60" s="8">
        <v>0.3263888888888889</v>
      </c>
      <c r="M60" s="9">
        <v>0.3298611111111111</v>
      </c>
      <c r="N60" s="10">
        <v>31.0</v>
      </c>
    </row>
    <row r="61">
      <c r="A61" s="3">
        <f t="shared" si="2"/>
        <v>54</v>
      </c>
      <c r="B61" s="4">
        <v>45575.0</v>
      </c>
      <c r="C61" s="3" t="s">
        <v>14</v>
      </c>
      <c r="D61" s="5" t="s">
        <v>15</v>
      </c>
      <c r="E61" s="6" t="s">
        <v>16</v>
      </c>
      <c r="F61" s="6" t="s">
        <v>24</v>
      </c>
      <c r="G61" s="6" t="s">
        <v>18</v>
      </c>
      <c r="H61" s="7" t="s">
        <v>19</v>
      </c>
      <c r="I61" s="7">
        <v>4.0</v>
      </c>
      <c r="J61" s="8">
        <v>0.13194444444444445</v>
      </c>
      <c r="K61" s="9">
        <v>0.14166666666666666</v>
      </c>
      <c r="L61" s="8">
        <v>0.3104166666666667</v>
      </c>
      <c r="M61" s="9">
        <v>0.3125</v>
      </c>
      <c r="N61" s="10">
        <v>30.0</v>
      </c>
    </row>
    <row r="62">
      <c r="A62" s="3">
        <f t="shared" si="2"/>
        <v>55</v>
      </c>
      <c r="B62" s="4">
        <v>45576.0</v>
      </c>
      <c r="C62" s="3" t="s">
        <v>14</v>
      </c>
      <c r="D62" s="5" t="s">
        <v>15</v>
      </c>
      <c r="E62" s="6" t="s">
        <v>16</v>
      </c>
      <c r="F62" s="6" t="s">
        <v>20</v>
      </c>
      <c r="G62" s="6" t="s">
        <v>18</v>
      </c>
      <c r="H62" s="7" t="s">
        <v>19</v>
      </c>
      <c r="I62" s="7">
        <v>4.0</v>
      </c>
      <c r="J62" s="8">
        <v>0.125</v>
      </c>
      <c r="K62" s="9">
        <v>0.13194444444444445</v>
      </c>
      <c r="L62" s="8">
        <v>0.3125</v>
      </c>
      <c r="M62" s="9">
        <v>0.3159722222222222</v>
      </c>
      <c r="N62" s="10">
        <v>44.0</v>
      </c>
    </row>
    <row r="63">
      <c r="A63" s="3">
        <f t="shared" si="2"/>
        <v>56</v>
      </c>
      <c r="B63" s="4">
        <v>45576.0</v>
      </c>
      <c r="C63" s="3" t="s">
        <v>14</v>
      </c>
      <c r="D63" s="5" t="s">
        <v>15</v>
      </c>
      <c r="E63" s="6" t="s">
        <v>16</v>
      </c>
      <c r="F63" s="11" t="s">
        <v>17</v>
      </c>
      <c r="G63" s="6" t="s">
        <v>18</v>
      </c>
      <c r="H63" s="7" t="s">
        <v>19</v>
      </c>
      <c r="I63" s="7">
        <v>4.0</v>
      </c>
      <c r="J63" s="8">
        <v>0.125</v>
      </c>
      <c r="K63" s="9">
        <v>0.13333333333333333</v>
      </c>
      <c r="L63" s="8">
        <v>0.2916666666666667</v>
      </c>
      <c r="M63" s="9">
        <v>0.2986111111111111</v>
      </c>
      <c r="N63" s="10">
        <v>46.0</v>
      </c>
    </row>
    <row r="64">
      <c r="A64" s="3">
        <f t="shared" si="2"/>
        <v>57</v>
      </c>
      <c r="B64" s="4">
        <v>45576.0</v>
      </c>
      <c r="C64" s="3" t="s">
        <v>14</v>
      </c>
      <c r="D64" s="5" t="s">
        <v>15</v>
      </c>
      <c r="E64" s="6" t="s">
        <v>16</v>
      </c>
      <c r="F64" s="6" t="s">
        <v>21</v>
      </c>
      <c r="G64" s="6" t="s">
        <v>18</v>
      </c>
      <c r="H64" s="7" t="s">
        <v>19</v>
      </c>
      <c r="I64" s="7">
        <v>4.0</v>
      </c>
      <c r="J64" s="8">
        <v>0.1284722222222222</v>
      </c>
      <c r="K64" s="9">
        <v>0.13680555555555557</v>
      </c>
      <c r="L64" s="8">
        <v>0.3368055555555556</v>
      </c>
      <c r="M64" s="9">
        <v>0.3402777777777778</v>
      </c>
      <c r="N64" s="10">
        <v>34.0</v>
      </c>
    </row>
    <row r="65">
      <c r="A65" s="3">
        <f t="shared" si="2"/>
        <v>58</v>
      </c>
      <c r="B65" s="4">
        <v>45576.0</v>
      </c>
      <c r="C65" s="3" t="s">
        <v>14</v>
      </c>
      <c r="D65" s="5" t="s">
        <v>15</v>
      </c>
      <c r="E65" s="6" t="s">
        <v>16</v>
      </c>
      <c r="F65" s="6" t="s">
        <v>23</v>
      </c>
      <c r="G65" s="6" t="s">
        <v>18</v>
      </c>
      <c r="H65" s="7" t="s">
        <v>19</v>
      </c>
      <c r="I65" s="7">
        <v>4.0</v>
      </c>
      <c r="J65" s="8">
        <v>0.12916666666666668</v>
      </c>
      <c r="K65" s="9">
        <v>0.14166666666666666</v>
      </c>
      <c r="L65" s="8">
        <v>0.3020833333333333</v>
      </c>
      <c r="M65" s="9">
        <v>0.3055555555555556</v>
      </c>
      <c r="N65" s="10">
        <v>36.0</v>
      </c>
    </row>
    <row r="66">
      <c r="A66" s="3">
        <f t="shared" si="2"/>
        <v>59</v>
      </c>
      <c r="B66" s="4">
        <v>45576.0</v>
      </c>
      <c r="C66" s="3" t="s">
        <v>14</v>
      </c>
      <c r="D66" s="5" t="s">
        <v>15</v>
      </c>
      <c r="E66" s="6" t="s">
        <v>16</v>
      </c>
      <c r="F66" s="6" t="s">
        <v>22</v>
      </c>
      <c r="G66" s="6" t="s">
        <v>18</v>
      </c>
      <c r="H66" s="7" t="s">
        <v>19</v>
      </c>
      <c r="I66" s="7">
        <v>4.0</v>
      </c>
      <c r="J66" s="8">
        <v>0.12916666666666668</v>
      </c>
      <c r="K66" s="9">
        <v>0.1423611111111111</v>
      </c>
      <c r="L66" s="8">
        <v>0.3125</v>
      </c>
      <c r="M66" s="9">
        <v>0.3194444444444444</v>
      </c>
      <c r="N66" s="10">
        <v>46.0</v>
      </c>
    </row>
    <row r="67">
      <c r="A67" s="3">
        <f t="shared" si="2"/>
        <v>60</v>
      </c>
      <c r="B67" s="4">
        <v>45576.0</v>
      </c>
      <c r="C67" s="3" t="s">
        <v>14</v>
      </c>
      <c r="D67" s="5" t="s">
        <v>15</v>
      </c>
      <c r="E67" s="6" t="s">
        <v>16</v>
      </c>
      <c r="F67" s="6" t="s">
        <v>24</v>
      </c>
      <c r="G67" s="6" t="s">
        <v>18</v>
      </c>
      <c r="H67" s="7" t="s">
        <v>19</v>
      </c>
      <c r="I67" s="7">
        <v>4.0</v>
      </c>
      <c r="J67" s="8">
        <v>0.12986111111111112</v>
      </c>
      <c r="K67" s="9">
        <v>0.1451388888888889</v>
      </c>
      <c r="L67" s="8">
        <v>0.3125</v>
      </c>
      <c r="M67" s="9">
        <v>0.3159722222222222</v>
      </c>
      <c r="N67" s="10">
        <v>31.0</v>
      </c>
    </row>
    <row r="68">
      <c r="A68" s="3">
        <f t="shared" si="2"/>
        <v>61</v>
      </c>
      <c r="B68" s="4">
        <v>45577.0</v>
      </c>
      <c r="C68" s="3" t="s">
        <v>14</v>
      </c>
      <c r="D68" s="5" t="s">
        <v>15</v>
      </c>
      <c r="E68" s="6" t="s">
        <v>16</v>
      </c>
      <c r="F68" s="11" t="s">
        <v>17</v>
      </c>
      <c r="G68" s="6" t="s">
        <v>18</v>
      </c>
      <c r="H68" s="7" t="s">
        <v>19</v>
      </c>
      <c r="I68" s="7">
        <v>4.0</v>
      </c>
      <c r="J68" s="8">
        <v>0.125</v>
      </c>
      <c r="K68" s="9">
        <v>0.13194444444444445</v>
      </c>
      <c r="L68" s="8">
        <v>0.2986111111111111</v>
      </c>
      <c r="M68" s="9">
        <v>0.30694444444444446</v>
      </c>
      <c r="N68" s="10">
        <v>51.0</v>
      </c>
    </row>
    <row r="69">
      <c r="A69" s="3">
        <f t="shared" si="2"/>
        <v>62</v>
      </c>
      <c r="B69" s="4">
        <v>45577.0</v>
      </c>
      <c r="C69" s="3" t="s">
        <v>14</v>
      </c>
      <c r="D69" s="5" t="s">
        <v>15</v>
      </c>
      <c r="E69" s="6" t="s">
        <v>16</v>
      </c>
      <c r="F69" s="6" t="s">
        <v>25</v>
      </c>
      <c r="G69" s="6" t="s">
        <v>18</v>
      </c>
      <c r="H69" s="7" t="s">
        <v>19</v>
      </c>
      <c r="I69" s="7">
        <v>4.0</v>
      </c>
      <c r="J69" s="8">
        <v>0.125</v>
      </c>
      <c r="K69" s="9">
        <v>0.13472222222222222</v>
      </c>
      <c r="L69" s="8">
        <v>0.2986111111111111</v>
      </c>
      <c r="M69" s="9">
        <v>0.3055555555555556</v>
      </c>
      <c r="N69" s="10">
        <v>49.0</v>
      </c>
    </row>
    <row r="70">
      <c r="A70" s="3">
        <f t="shared" si="2"/>
        <v>63</v>
      </c>
      <c r="B70" s="4">
        <v>45577.0</v>
      </c>
      <c r="C70" s="3" t="s">
        <v>14</v>
      </c>
      <c r="D70" s="5" t="s">
        <v>15</v>
      </c>
      <c r="E70" s="6" t="s">
        <v>16</v>
      </c>
      <c r="F70" s="6" t="s">
        <v>20</v>
      </c>
      <c r="G70" s="6" t="s">
        <v>18</v>
      </c>
      <c r="H70" s="7" t="s">
        <v>19</v>
      </c>
      <c r="I70" s="7">
        <v>4.0</v>
      </c>
      <c r="J70" s="8">
        <v>0.1284722222222222</v>
      </c>
      <c r="K70" s="9">
        <v>0.1375</v>
      </c>
      <c r="L70" s="8">
        <v>0.3125</v>
      </c>
      <c r="M70" s="9">
        <v>0.3194444444444444</v>
      </c>
      <c r="N70" s="10">
        <v>45.0</v>
      </c>
    </row>
    <row r="71">
      <c r="A71" s="3">
        <f t="shared" si="2"/>
        <v>64</v>
      </c>
      <c r="B71" s="4">
        <v>45577.0</v>
      </c>
      <c r="C71" s="3" t="s">
        <v>14</v>
      </c>
      <c r="D71" s="5" t="s">
        <v>15</v>
      </c>
      <c r="E71" s="6" t="s">
        <v>16</v>
      </c>
      <c r="F71" s="6" t="s">
        <v>21</v>
      </c>
      <c r="G71" s="6" t="s">
        <v>18</v>
      </c>
      <c r="H71" s="7" t="s">
        <v>19</v>
      </c>
      <c r="I71" s="7">
        <v>4.0</v>
      </c>
      <c r="J71" s="8">
        <v>0.1284722222222222</v>
      </c>
      <c r="K71" s="9">
        <v>0.1388888888888889</v>
      </c>
      <c r="L71" s="8">
        <v>0.3263888888888889</v>
      </c>
      <c r="M71" s="9">
        <v>0.33194444444444443</v>
      </c>
      <c r="N71" s="10">
        <v>32.0</v>
      </c>
    </row>
    <row r="72">
      <c r="A72" s="3">
        <f t="shared" si="2"/>
        <v>65</v>
      </c>
      <c r="B72" s="4">
        <v>45577.0</v>
      </c>
      <c r="C72" s="3" t="s">
        <v>14</v>
      </c>
      <c r="D72" s="5" t="s">
        <v>15</v>
      </c>
      <c r="E72" s="6" t="s">
        <v>16</v>
      </c>
      <c r="F72" s="6" t="s">
        <v>23</v>
      </c>
      <c r="G72" s="6" t="s">
        <v>18</v>
      </c>
      <c r="H72" s="7" t="s">
        <v>19</v>
      </c>
      <c r="I72" s="7">
        <v>4.0</v>
      </c>
      <c r="J72" s="8">
        <v>0.1284722222222222</v>
      </c>
      <c r="K72" s="9">
        <v>0.1423611111111111</v>
      </c>
      <c r="L72" s="8">
        <v>0.3020833333333333</v>
      </c>
      <c r="M72" s="9">
        <v>0.30972222222222223</v>
      </c>
      <c r="N72" s="10">
        <v>35.0</v>
      </c>
    </row>
    <row r="73">
      <c r="A73" s="3">
        <f t="shared" si="2"/>
        <v>66</v>
      </c>
      <c r="B73" s="4">
        <v>45577.0</v>
      </c>
      <c r="C73" s="3" t="s">
        <v>14</v>
      </c>
      <c r="D73" s="5" t="s">
        <v>15</v>
      </c>
      <c r="E73" s="6" t="s">
        <v>16</v>
      </c>
      <c r="F73" s="6" t="s">
        <v>26</v>
      </c>
      <c r="G73" s="6" t="s">
        <v>18</v>
      </c>
      <c r="H73" s="7" t="s">
        <v>19</v>
      </c>
      <c r="I73" s="7">
        <v>4.0</v>
      </c>
      <c r="J73" s="8">
        <v>0.13541666666666666</v>
      </c>
      <c r="K73" s="9">
        <v>0.14444444444444443</v>
      </c>
      <c r="L73" s="8">
        <v>0.3055555555555556</v>
      </c>
      <c r="M73" s="9">
        <v>0.3111111111111111</v>
      </c>
      <c r="N73" s="10">
        <v>32.0</v>
      </c>
    </row>
    <row r="74">
      <c r="A74" s="3">
        <f t="shared" si="2"/>
        <v>67</v>
      </c>
      <c r="B74" s="4">
        <v>45578.0</v>
      </c>
      <c r="C74" s="3" t="s">
        <v>14</v>
      </c>
      <c r="D74" s="5" t="s">
        <v>15</v>
      </c>
      <c r="E74" s="6" t="s">
        <v>16</v>
      </c>
      <c r="F74" s="6" t="s">
        <v>20</v>
      </c>
      <c r="G74" s="6" t="s">
        <v>18</v>
      </c>
      <c r="H74" s="7" t="s">
        <v>19</v>
      </c>
      <c r="I74" s="7">
        <v>4.0</v>
      </c>
      <c r="J74" s="8">
        <v>0.125</v>
      </c>
      <c r="K74" s="8">
        <v>0.13194444444444445</v>
      </c>
      <c r="L74" s="8">
        <v>0.3055555555555556</v>
      </c>
      <c r="M74" s="8">
        <v>0.3090277777777778</v>
      </c>
      <c r="N74" s="10">
        <v>44.0</v>
      </c>
    </row>
    <row r="75">
      <c r="A75" s="3">
        <f t="shared" si="2"/>
        <v>68</v>
      </c>
      <c r="B75" s="4">
        <v>45578.0</v>
      </c>
      <c r="C75" s="3" t="s">
        <v>14</v>
      </c>
      <c r="D75" s="5" t="s">
        <v>15</v>
      </c>
      <c r="E75" s="6" t="s">
        <v>16</v>
      </c>
      <c r="F75" s="6" t="s">
        <v>23</v>
      </c>
      <c r="G75" s="6" t="s">
        <v>18</v>
      </c>
      <c r="H75" s="7" t="s">
        <v>19</v>
      </c>
      <c r="I75" s="7">
        <v>4.0</v>
      </c>
      <c r="J75" s="8">
        <v>0.125</v>
      </c>
      <c r="K75" s="8">
        <v>0.13333333333333333</v>
      </c>
      <c r="L75" s="8">
        <v>0.3055555555555556</v>
      </c>
      <c r="M75" s="8">
        <v>0.3090277777777778</v>
      </c>
      <c r="N75" s="10">
        <v>36.0</v>
      </c>
    </row>
    <row r="76">
      <c r="A76" s="3">
        <f t="shared" si="2"/>
        <v>69</v>
      </c>
      <c r="B76" s="4">
        <v>45578.0</v>
      </c>
      <c r="C76" s="3" t="s">
        <v>14</v>
      </c>
      <c r="D76" s="5" t="s">
        <v>15</v>
      </c>
      <c r="E76" s="6" t="s">
        <v>16</v>
      </c>
      <c r="F76" s="6" t="s">
        <v>17</v>
      </c>
      <c r="G76" s="6" t="s">
        <v>18</v>
      </c>
      <c r="H76" s="7" t="s">
        <v>19</v>
      </c>
      <c r="I76" s="7">
        <v>4.0</v>
      </c>
      <c r="J76" s="8">
        <v>0.12638888888888888</v>
      </c>
      <c r="K76" s="8">
        <v>0.13541666666666666</v>
      </c>
      <c r="L76" s="8">
        <v>0.3125</v>
      </c>
      <c r="M76" s="8">
        <v>0.31666666666666665</v>
      </c>
      <c r="N76" s="10">
        <v>51.0</v>
      </c>
    </row>
    <row r="77">
      <c r="A77" s="3">
        <f t="shared" si="2"/>
        <v>70</v>
      </c>
      <c r="B77" s="4">
        <v>45578.0</v>
      </c>
      <c r="C77" s="3" t="s">
        <v>14</v>
      </c>
      <c r="D77" s="5" t="s">
        <v>15</v>
      </c>
      <c r="E77" s="6" t="s">
        <v>16</v>
      </c>
      <c r="F77" s="6" t="s">
        <v>21</v>
      </c>
      <c r="G77" s="6" t="s">
        <v>18</v>
      </c>
      <c r="H77" s="7" t="s">
        <v>19</v>
      </c>
      <c r="I77" s="7">
        <v>4.0</v>
      </c>
      <c r="J77" s="8">
        <v>0.1284722222222222</v>
      </c>
      <c r="K77" s="8">
        <v>0.1375</v>
      </c>
      <c r="L77" s="8">
        <v>0.29583333333333334</v>
      </c>
      <c r="M77" s="8">
        <v>0.29930555555555555</v>
      </c>
      <c r="N77" s="10">
        <v>31.0</v>
      </c>
    </row>
    <row r="78">
      <c r="A78" s="3">
        <f t="shared" si="2"/>
        <v>71</v>
      </c>
      <c r="B78" s="4">
        <v>45578.0</v>
      </c>
      <c r="C78" s="3" t="s">
        <v>14</v>
      </c>
      <c r="D78" s="5" t="s">
        <v>15</v>
      </c>
      <c r="E78" s="6" t="s">
        <v>16</v>
      </c>
      <c r="F78" s="6" t="s">
        <v>22</v>
      </c>
      <c r="G78" s="6" t="s">
        <v>18</v>
      </c>
      <c r="H78" s="7" t="s">
        <v>19</v>
      </c>
      <c r="I78" s="7">
        <v>4.0</v>
      </c>
      <c r="J78" s="8">
        <v>0.1284722222222222</v>
      </c>
      <c r="K78" s="8">
        <v>0.1388888888888889</v>
      </c>
      <c r="L78" s="8">
        <v>0.3125</v>
      </c>
      <c r="M78" s="8">
        <v>0.3159722222222222</v>
      </c>
      <c r="N78" s="10">
        <v>48.0</v>
      </c>
    </row>
    <row r="79">
      <c r="A79" s="3">
        <f t="shared" si="2"/>
        <v>72</v>
      </c>
      <c r="B79" s="4">
        <v>45578.0</v>
      </c>
      <c r="C79" s="3" t="s">
        <v>14</v>
      </c>
      <c r="D79" s="5" t="s">
        <v>15</v>
      </c>
      <c r="E79" s="6" t="s">
        <v>16</v>
      </c>
      <c r="F79" s="6" t="s">
        <v>24</v>
      </c>
      <c r="G79" s="6" t="s">
        <v>18</v>
      </c>
      <c r="H79" s="7" t="s">
        <v>19</v>
      </c>
      <c r="I79" s="7">
        <v>4.0</v>
      </c>
      <c r="J79" s="8">
        <v>0.12916666666666668</v>
      </c>
      <c r="K79" s="8">
        <v>0.14583333333333334</v>
      </c>
      <c r="L79" s="8">
        <v>0.3055555555555556</v>
      </c>
      <c r="M79" s="8">
        <v>0.3090277777777778</v>
      </c>
      <c r="N79" s="10">
        <v>30.0</v>
      </c>
    </row>
    <row r="80">
      <c r="A80" s="3">
        <f t="shared" si="2"/>
        <v>73</v>
      </c>
      <c r="B80" s="4">
        <v>45579.0</v>
      </c>
      <c r="C80" s="3" t="s">
        <v>14</v>
      </c>
      <c r="D80" s="5" t="s">
        <v>15</v>
      </c>
      <c r="E80" s="6" t="s">
        <v>16</v>
      </c>
      <c r="F80" s="6" t="s">
        <v>17</v>
      </c>
      <c r="G80" s="6" t="s">
        <v>18</v>
      </c>
      <c r="H80" s="7" t="s">
        <v>19</v>
      </c>
      <c r="I80" s="7">
        <v>4.0</v>
      </c>
      <c r="J80" s="8">
        <v>0.125</v>
      </c>
      <c r="K80" s="8">
        <v>0.13333333333333333</v>
      </c>
      <c r="L80" s="8">
        <v>0.2916666666666667</v>
      </c>
      <c r="M80" s="8">
        <v>0.2986111111111111</v>
      </c>
      <c r="N80" s="10">
        <v>47.0</v>
      </c>
    </row>
    <row r="81">
      <c r="A81" s="3">
        <f t="shared" si="2"/>
        <v>74</v>
      </c>
      <c r="B81" s="4">
        <v>45579.0</v>
      </c>
      <c r="C81" s="3" t="s">
        <v>14</v>
      </c>
      <c r="D81" s="5" t="s">
        <v>15</v>
      </c>
      <c r="E81" s="6" t="s">
        <v>16</v>
      </c>
      <c r="F81" s="6" t="s">
        <v>20</v>
      </c>
      <c r="G81" s="6" t="s">
        <v>18</v>
      </c>
      <c r="H81" s="7" t="s">
        <v>19</v>
      </c>
      <c r="I81" s="7">
        <v>4.0</v>
      </c>
      <c r="J81" s="8">
        <v>0.125</v>
      </c>
      <c r="K81" s="8">
        <v>0.13680555555555557</v>
      </c>
      <c r="L81" s="8">
        <v>0.2986111111111111</v>
      </c>
      <c r="M81" s="8">
        <v>0.30277777777777776</v>
      </c>
      <c r="N81" s="10">
        <v>44.0</v>
      </c>
    </row>
    <row r="82">
      <c r="A82" s="3">
        <f t="shared" si="2"/>
        <v>75</v>
      </c>
      <c r="B82" s="4">
        <v>45579.0</v>
      </c>
      <c r="C82" s="3" t="s">
        <v>14</v>
      </c>
      <c r="D82" s="5" t="s">
        <v>15</v>
      </c>
      <c r="E82" s="6" t="s">
        <v>16</v>
      </c>
      <c r="F82" s="6" t="s">
        <v>23</v>
      </c>
      <c r="G82" s="6" t="s">
        <v>18</v>
      </c>
      <c r="H82" s="7" t="s">
        <v>19</v>
      </c>
      <c r="I82" s="7">
        <v>4.0</v>
      </c>
      <c r="J82" s="8">
        <v>0.12638888888888888</v>
      </c>
      <c r="K82" s="8">
        <v>0.1361111111111111</v>
      </c>
      <c r="L82" s="8">
        <v>0.3</v>
      </c>
      <c r="M82" s="8">
        <v>0.3034722222222222</v>
      </c>
      <c r="N82" s="10">
        <v>35.0</v>
      </c>
    </row>
    <row r="83">
      <c r="A83" s="3">
        <f t="shared" si="2"/>
        <v>76</v>
      </c>
      <c r="B83" s="4">
        <v>45579.0</v>
      </c>
      <c r="C83" s="3" t="s">
        <v>14</v>
      </c>
      <c r="D83" s="5" t="s">
        <v>15</v>
      </c>
      <c r="E83" s="6" t="s">
        <v>16</v>
      </c>
      <c r="F83" s="6" t="s">
        <v>22</v>
      </c>
      <c r="G83" s="6" t="s">
        <v>18</v>
      </c>
      <c r="H83" s="7" t="s">
        <v>19</v>
      </c>
      <c r="I83" s="7">
        <v>4.0</v>
      </c>
      <c r="J83" s="8">
        <v>0.1284722222222222</v>
      </c>
      <c r="K83" s="8">
        <v>0.1375</v>
      </c>
      <c r="L83" s="8">
        <v>0.3229166666666667</v>
      </c>
      <c r="M83" s="8">
        <v>0.3298611111111111</v>
      </c>
      <c r="N83" s="10">
        <v>46.0</v>
      </c>
    </row>
    <row r="84">
      <c r="A84" s="3">
        <f t="shared" si="2"/>
        <v>77</v>
      </c>
      <c r="B84" s="4">
        <v>45579.0</v>
      </c>
      <c r="C84" s="3" t="s">
        <v>14</v>
      </c>
      <c r="D84" s="5" t="s">
        <v>15</v>
      </c>
      <c r="E84" s="6" t="s">
        <v>16</v>
      </c>
      <c r="F84" s="6" t="s">
        <v>21</v>
      </c>
      <c r="G84" s="6" t="s">
        <v>18</v>
      </c>
      <c r="H84" s="7" t="s">
        <v>19</v>
      </c>
      <c r="I84" s="7">
        <v>4.0</v>
      </c>
      <c r="J84" s="8">
        <v>0.12916666666666668</v>
      </c>
      <c r="K84" s="8">
        <v>0.1388888888888889</v>
      </c>
      <c r="L84" s="8">
        <v>0.3194444444444444</v>
      </c>
      <c r="M84" s="8">
        <v>0.3263888888888889</v>
      </c>
      <c r="N84" s="10">
        <v>31.0</v>
      </c>
    </row>
    <row r="85">
      <c r="A85" s="3">
        <f t="shared" si="2"/>
        <v>78</v>
      </c>
      <c r="B85" s="4">
        <v>45579.0</v>
      </c>
      <c r="C85" s="3" t="s">
        <v>14</v>
      </c>
      <c r="D85" s="5" t="s">
        <v>15</v>
      </c>
      <c r="E85" s="6" t="s">
        <v>16</v>
      </c>
      <c r="F85" s="6" t="s">
        <v>24</v>
      </c>
      <c r="G85" s="6" t="s">
        <v>18</v>
      </c>
      <c r="H85" s="7" t="s">
        <v>19</v>
      </c>
      <c r="I85" s="7">
        <v>4.0</v>
      </c>
      <c r="J85" s="8">
        <v>0.13055555555555556</v>
      </c>
      <c r="K85" s="8">
        <v>0.14444444444444443</v>
      </c>
      <c r="L85" s="8">
        <v>0.3125</v>
      </c>
      <c r="M85" s="8">
        <v>0.3159722222222222</v>
      </c>
      <c r="N85" s="10">
        <v>30.0</v>
      </c>
    </row>
    <row r="86">
      <c r="A86" s="3">
        <f t="shared" si="2"/>
        <v>79</v>
      </c>
      <c r="B86" s="4">
        <v>45580.0</v>
      </c>
      <c r="C86" s="3" t="s">
        <v>14</v>
      </c>
      <c r="D86" s="5" t="s">
        <v>15</v>
      </c>
      <c r="E86" s="6" t="s">
        <v>16</v>
      </c>
      <c r="F86" s="6" t="s">
        <v>20</v>
      </c>
      <c r="G86" s="6" t="s">
        <v>18</v>
      </c>
      <c r="H86" s="7" t="s">
        <v>19</v>
      </c>
      <c r="I86" s="7">
        <v>4.0</v>
      </c>
      <c r="J86" s="8">
        <v>0.12569444444444444</v>
      </c>
      <c r="K86" s="8">
        <v>0.13541666666666666</v>
      </c>
      <c r="L86" s="8">
        <v>0.3055555555555556</v>
      </c>
      <c r="M86" s="8">
        <v>0.3090277777777778</v>
      </c>
      <c r="N86" s="10">
        <v>49.0</v>
      </c>
    </row>
    <row r="87">
      <c r="A87" s="3">
        <f t="shared" si="2"/>
        <v>80</v>
      </c>
      <c r="B87" s="4">
        <v>45580.0</v>
      </c>
      <c r="C87" s="3" t="s">
        <v>14</v>
      </c>
      <c r="D87" s="5" t="s">
        <v>15</v>
      </c>
      <c r="E87" s="6" t="s">
        <v>16</v>
      </c>
      <c r="F87" s="6" t="s">
        <v>17</v>
      </c>
      <c r="G87" s="6" t="s">
        <v>18</v>
      </c>
      <c r="H87" s="7" t="s">
        <v>19</v>
      </c>
      <c r="I87" s="7">
        <v>4.0</v>
      </c>
      <c r="J87" s="8">
        <v>0.12569444444444444</v>
      </c>
      <c r="K87" s="8">
        <v>0.13541666666666666</v>
      </c>
      <c r="L87" s="8">
        <v>0.3125</v>
      </c>
      <c r="M87" s="8">
        <v>0.3159722222222222</v>
      </c>
      <c r="N87" s="10">
        <v>44.0</v>
      </c>
    </row>
    <row r="88">
      <c r="A88" s="3">
        <f t="shared" si="2"/>
        <v>81</v>
      </c>
      <c r="B88" s="4">
        <v>45580.0</v>
      </c>
      <c r="C88" s="3" t="s">
        <v>14</v>
      </c>
      <c r="D88" s="5" t="s">
        <v>15</v>
      </c>
      <c r="E88" s="6" t="s">
        <v>16</v>
      </c>
      <c r="F88" s="6" t="s">
        <v>21</v>
      </c>
      <c r="G88" s="6" t="s">
        <v>18</v>
      </c>
      <c r="H88" s="7" t="s">
        <v>19</v>
      </c>
      <c r="I88" s="7">
        <v>4.0</v>
      </c>
      <c r="J88" s="8">
        <v>0.12638888888888888</v>
      </c>
      <c r="K88" s="8">
        <v>0.1361111111111111</v>
      </c>
      <c r="L88" s="8">
        <v>0.3194444444444444</v>
      </c>
      <c r="M88" s="8">
        <v>0.3229166666666667</v>
      </c>
      <c r="N88" s="10">
        <v>31.0</v>
      </c>
    </row>
    <row r="89">
      <c r="A89" s="3">
        <f t="shared" si="2"/>
        <v>82</v>
      </c>
      <c r="B89" s="4">
        <v>45580.0</v>
      </c>
      <c r="C89" s="3" t="s">
        <v>14</v>
      </c>
      <c r="D89" s="5" t="s">
        <v>15</v>
      </c>
      <c r="E89" s="6" t="s">
        <v>16</v>
      </c>
      <c r="F89" s="6" t="s">
        <v>22</v>
      </c>
      <c r="G89" s="6" t="s">
        <v>18</v>
      </c>
      <c r="H89" s="7" t="s">
        <v>19</v>
      </c>
      <c r="I89" s="7">
        <v>4.0</v>
      </c>
      <c r="J89" s="8">
        <v>0.12777777777777777</v>
      </c>
      <c r="K89" s="8">
        <v>0.1388888888888889</v>
      </c>
      <c r="L89" s="8">
        <v>0.30972222222222223</v>
      </c>
      <c r="M89" s="8">
        <v>0.3138888888888889</v>
      </c>
      <c r="N89" s="10">
        <v>46.0</v>
      </c>
    </row>
    <row r="90">
      <c r="A90" s="3">
        <f t="shared" si="2"/>
        <v>83</v>
      </c>
      <c r="B90" s="4">
        <v>45580.0</v>
      </c>
      <c r="C90" s="3" t="s">
        <v>14</v>
      </c>
      <c r="D90" s="5" t="s">
        <v>15</v>
      </c>
      <c r="E90" s="6" t="s">
        <v>16</v>
      </c>
      <c r="F90" s="6" t="s">
        <v>23</v>
      </c>
      <c r="G90" s="6" t="s">
        <v>18</v>
      </c>
      <c r="H90" s="7" t="s">
        <v>19</v>
      </c>
      <c r="I90" s="7">
        <v>4.0</v>
      </c>
      <c r="J90" s="8">
        <v>0.12777777777777777</v>
      </c>
      <c r="K90" s="8">
        <v>0.1375</v>
      </c>
      <c r="L90" s="8">
        <v>0.3055555555555556</v>
      </c>
      <c r="M90" s="8">
        <v>0.30972222222222223</v>
      </c>
      <c r="N90" s="10">
        <v>30.0</v>
      </c>
    </row>
    <row r="91">
      <c r="A91" s="3">
        <f t="shared" si="2"/>
        <v>84</v>
      </c>
      <c r="B91" s="4">
        <v>45580.0</v>
      </c>
      <c r="C91" s="3" t="s">
        <v>14</v>
      </c>
      <c r="D91" s="5" t="s">
        <v>15</v>
      </c>
      <c r="E91" s="6" t="s">
        <v>16</v>
      </c>
      <c r="F91" s="6" t="s">
        <v>24</v>
      </c>
      <c r="G91" s="6" t="s">
        <v>18</v>
      </c>
      <c r="H91" s="7" t="s">
        <v>19</v>
      </c>
      <c r="I91" s="7">
        <v>4.0</v>
      </c>
      <c r="J91" s="8">
        <v>0.1284722222222222</v>
      </c>
      <c r="K91" s="8">
        <v>0.1388888888888889</v>
      </c>
      <c r="L91" s="8">
        <v>0.2986111111111111</v>
      </c>
      <c r="M91" s="8">
        <v>0.3020833333333333</v>
      </c>
      <c r="N91" s="10">
        <v>30.0</v>
      </c>
    </row>
    <row r="92">
      <c r="A92" s="3">
        <f t="shared" si="2"/>
        <v>85</v>
      </c>
      <c r="B92" s="4">
        <v>45581.0</v>
      </c>
      <c r="C92" s="3" t="s">
        <v>14</v>
      </c>
      <c r="D92" s="5" t="s">
        <v>15</v>
      </c>
      <c r="E92" s="6" t="s">
        <v>16</v>
      </c>
      <c r="F92" s="6" t="s">
        <v>20</v>
      </c>
      <c r="G92" s="6" t="s">
        <v>18</v>
      </c>
      <c r="H92" s="7" t="s">
        <v>19</v>
      </c>
      <c r="I92" s="7">
        <v>4.0</v>
      </c>
      <c r="J92" s="8">
        <v>0.125</v>
      </c>
      <c r="K92" s="8">
        <v>0.13333333333333333</v>
      </c>
      <c r="L92" s="8">
        <v>0.3</v>
      </c>
      <c r="M92" s="8">
        <v>0.3090277777777778</v>
      </c>
      <c r="N92" s="10">
        <v>44.0</v>
      </c>
    </row>
    <row r="93">
      <c r="A93" s="3">
        <f t="shared" si="2"/>
        <v>86</v>
      </c>
      <c r="B93" s="4">
        <v>45581.0</v>
      </c>
      <c r="C93" s="3" t="s">
        <v>14</v>
      </c>
      <c r="D93" s="5" t="s">
        <v>15</v>
      </c>
      <c r="E93" s="6" t="s">
        <v>16</v>
      </c>
      <c r="F93" s="6" t="s">
        <v>17</v>
      </c>
      <c r="G93" s="6" t="s">
        <v>18</v>
      </c>
      <c r="H93" s="7" t="s">
        <v>19</v>
      </c>
      <c r="I93" s="7">
        <v>4.0</v>
      </c>
      <c r="J93" s="8">
        <v>0.125</v>
      </c>
      <c r="K93" s="8">
        <v>0.13472222222222222</v>
      </c>
      <c r="L93" s="8">
        <v>0.2951388888888889</v>
      </c>
      <c r="M93" s="8">
        <v>0.3020833333333333</v>
      </c>
      <c r="N93" s="10">
        <v>46.0</v>
      </c>
    </row>
    <row r="94">
      <c r="A94" s="3">
        <f t="shared" si="2"/>
        <v>87</v>
      </c>
      <c r="B94" s="4">
        <v>45581.0</v>
      </c>
      <c r="C94" s="3" t="s">
        <v>14</v>
      </c>
      <c r="D94" s="5" t="s">
        <v>15</v>
      </c>
      <c r="E94" s="6" t="s">
        <v>16</v>
      </c>
      <c r="F94" s="6" t="s">
        <v>21</v>
      </c>
      <c r="G94" s="6" t="s">
        <v>18</v>
      </c>
      <c r="H94" s="7" t="s">
        <v>19</v>
      </c>
      <c r="I94" s="7">
        <v>4.0</v>
      </c>
      <c r="J94" s="8">
        <v>0.1284722222222222</v>
      </c>
      <c r="K94" s="8">
        <v>0.1375</v>
      </c>
      <c r="L94" s="8">
        <v>0.325</v>
      </c>
      <c r="M94" s="8">
        <v>0.3298611111111111</v>
      </c>
      <c r="N94" s="10">
        <v>31.0</v>
      </c>
    </row>
    <row r="95">
      <c r="A95" s="3">
        <f t="shared" si="2"/>
        <v>88</v>
      </c>
      <c r="B95" s="4">
        <v>45581.0</v>
      </c>
      <c r="C95" s="3" t="s">
        <v>14</v>
      </c>
      <c r="D95" s="5" t="s">
        <v>15</v>
      </c>
      <c r="E95" s="6" t="s">
        <v>16</v>
      </c>
      <c r="F95" s="6" t="s">
        <v>22</v>
      </c>
      <c r="G95" s="6" t="s">
        <v>18</v>
      </c>
      <c r="H95" s="7" t="s">
        <v>19</v>
      </c>
      <c r="I95" s="7">
        <v>4.0</v>
      </c>
      <c r="J95" s="8">
        <v>0.1284722222222222</v>
      </c>
      <c r="K95" s="8">
        <v>0.1388888888888889</v>
      </c>
      <c r="L95" s="8">
        <v>0.2986111111111111</v>
      </c>
      <c r="M95" s="8">
        <v>0.30416666666666664</v>
      </c>
      <c r="N95" s="10">
        <v>49.0</v>
      </c>
    </row>
    <row r="96">
      <c r="A96" s="3">
        <f t="shared" si="2"/>
        <v>89</v>
      </c>
      <c r="B96" s="4">
        <v>45581.0</v>
      </c>
      <c r="C96" s="3" t="s">
        <v>14</v>
      </c>
      <c r="D96" s="5" t="s">
        <v>15</v>
      </c>
      <c r="E96" s="6" t="s">
        <v>16</v>
      </c>
      <c r="F96" s="6" t="s">
        <v>23</v>
      </c>
      <c r="G96" s="6" t="s">
        <v>18</v>
      </c>
      <c r="H96" s="7" t="s">
        <v>19</v>
      </c>
      <c r="I96" s="7">
        <v>4.0</v>
      </c>
      <c r="J96" s="8">
        <v>0.12916666666666668</v>
      </c>
      <c r="K96" s="8">
        <v>0.14097222222222222</v>
      </c>
      <c r="L96" s="8">
        <v>0.2916666666666667</v>
      </c>
      <c r="M96" s="8">
        <v>0.2986111111111111</v>
      </c>
      <c r="N96" s="10">
        <v>37.0</v>
      </c>
    </row>
    <row r="97">
      <c r="A97" s="3">
        <f t="shared" si="2"/>
        <v>90</v>
      </c>
      <c r="B97" s="4">
        <v>45581.0</v>
      </c>
      <c r="C97" s="3" t="s">
        <v>14</v>
      </c>
      <c r="D97" s="5" t="s">
        <v>15</v>
      </c>
      <c r="E97" s="6" t="s">
        <v>16</v>
      </c>
      <c r="F97" s="6" t="s">
        <v>24</v>
      </c>
      <c r="G97" s="6" t="s">
        <v>18</v>
      </c>
      <c r="H97" s="7" t="s">
        <v>19</v>
      </c>
      <c r="I97" s="7">
        <v>4.0</v>
      </c>
      <c r="J97" s="8">
        <v>0.13055555555555556</v>
      </c>
      <c r="K97" s="8">
        <v>0.14444444444444443</v>
      </c>
      <c r="L97" s="8">
        <v>0.3055555555555556</v>
      </c>
      <c r="M97" s="8">
        <v>0.3194444444444444</v>
      </c>
      <c r="N97" s="10">
        <v>30.0</v>
      </c>
    </row>
    <row r="98">
      <c r="A98" s="3">
        <f t="shared" si="2"/>
        <v>91</v>
      </c>
      <c r="B98" s="4">
        <v>45582.0</v>
      </c>
      <c r="C98" s="3" t="s">
        <v>14</v>
      </c>
      <c r="D98" s="5" t="s">
        <v>15</v>
      </c>
      <c r="E98" s="6" t="s">
        <v>16</v>
      </c>
      <c r="F98" s="6" t="s">
        <v>20</v>
      </c>
      <c r="G98" s="6" t="s">
        <v>18</v>
      </c>
      <c r="H98" s="7" t="s">
        <v>19</v>
      </c>
      <c r="I98" s="7">
        <v>4.0</v>
      </c>
      <c r="J98" s="8">
        <v>0.125</v>
      </c>
      <c r="K98" s="8">
        <v>0.1375</v>
      </c>
      <c r="L98" s="8">
        <v>0.3125</v>
      </c>
      <c r="M98" s="8">
        <v>0.3159722222222222</v>
      </c>
      <c r="N98" s="10">
        <v>45.0</v>
      </c>
    </row>
    <row r="99">
      <c r="A99" s="3">
        <f t="shared" si="2"/>
        <v>92</v>
      </c>
      <c r="B99" s="4">
        <v>45582.0</v>
      </c>
      <c r="C99" s="3" t="s">
        <v>14</v>
      </c>
      <c r="D99" s="5" t="s">
        <v>15</v>
      </c>
      <c r="E99" s="6" t="s">
        <v>16</v>
      </c>
      <c r="F99" s="6" t="s">
        <v>17</v>
      </c>
      <c r="G99" s="6" t="s">
        <v>18</v>
      </c>
      <c r="H99" s="7" t="s">
        <v>19</v>
      </c>
      <c r="I99" s="7">
        <v>4.0</v>
      </c>
      <c r="J99" s="8">
        <v>0.125</v>
      </c>
      <c r="K99" s="8">
        <v>0.13541666666666666</v>
      </c>
      <c r="L99" s="8">
        <v>0.31805555555555554</v>
      </c>
      <c r="M99" s="8">
        <v>0.3229166666666667</v>
      </c>
      <c r="N99" s="10">
        <v>50.0</v>
      </c>
    </row>
    <row r="100">
      <c r="A100" s="3">
        <f t="shared" si="2"/>
        <v>93</v>
      </c>
      <c r="B100" s="4">
        <v>45582.0</v>
      </c>
      <c r="C100" s="3" t="s">
        <v>14</v>
      </c>
      <c r="D100" s="5" t="s">
        <v>15</v>
      </c>
      <c r="E100" s="6" t="s">
        <v>16</v>
      </c>
      <c r="F100" s="6" t="s">
        <v>21</v>
      </c>
      <c r="G100" s="6" t="s">
        <v>18</v>
      </c>
      <c r="H100" s="7" t="s">
        <v>19</v>
      </c>
      <c r="I100" s="7">
        <v>4.0</v>
      </c>
      <c r="J100" s="8">
        <v>0.125</v>
      </c>
      <c r="K100" s="8">
        <v>0.1388888888888889</v>
      </c>
      <c r="L100" s="8">
        <v>0.2986111111111111</v>
      </c>
      <c r="M100" s="8">
        <v>0.3020833333333333</v>
      </c>
      <c r="N100" s="10">
        <v>31.0</v>
      </c>
    </row>
    <row r="101">
      <c r="A101" s="3">
        <f t="shared" si="2"/>
        <v>94</v>
      </c>
      <c r="B101" s="4">
        <v>45582.0</v>
      </c>
      <c r="C101" s="3" t="s">
        <v>14</v>
      </c>
      <c r="D101" s="5" t="s">
        <v>15</v>
      </c>
      <c r="E101" s="6" t="s">
        <v>16</v>
      </c>
      <c r="F101" s="6" t="s">
        <v>22</v>
      </c>
      <c r="G101" s="6" t="s">
        <v>18</v>
      </c>
      <c r="H101" s="7" t="s">
        <v>19</v>
      </c>
      <c r="I101" s="7">
        <v>4.0</v>
      </c>
      <c r="J101" s="8">
        <v>0.1284722222222222</v>
      </c>
      <c r="K101" s="8">
        <v>0.1375</v>
      </c>
      <c r="L101" s="8">
        <v>0.31666666666666665</v>
      </c>
      <c r="M101" s="8">
        <v>0.3194444444444444</v>
      </c>
      <c r="N101" s="10">
        <v>46.0</v>
      </c>
    </row>
    <row r="102">
      <c r="A102" s="3">
        <f t="shared" si="2"/>
        <v>95</v>
      </c>
      <c r="B102" s="4">
        <v>45582.0</v>
      </c>
      <c r="C102" s="3" t="s">
        <v>14</v>
      </c>
      <c r="D102" s="5" t="s">
        <v>15</v>
      </c>
      <c r="E102" s="6" t="s">
        <v>16</v>
      </c>
      <c r="F102" s="6" t="s">
        <v>23</v>
      </c>
      <c r="G102" s="6" t="s">
        <v>18</v>
      </c>
      <c r="H102" s="7" t="s">
        <v>19</v>
      </c>
      <c r="I102" s="7">
        <v>4.0</v>
      </c>
      <c r="J102" s="8">
        <v>0.13055555555555556</v>
      </c>
      <c r="K102" s="8">
        <v>0.14027777777777778</v>
      </c>
      <c r="L102" s="8">
        <v>0.2986111111111111</v>
      </c>
      <c r="M102" s="8">
        <v>0.3055555555555556</v>
      </c>
      <c r="N102" s="10">
        <v>35.0</v>
      </c>
    </row>
    <row r="103">
      <c r="A103" s="3">
        <f t="shared" si="2"/>
        <v>96</v>
      </c>
      <c r="B103" s="4">
        <v>45582.0</v>
      </c>
      <c r="C103" s="3" t="s">
        <v>14</v>
      </c>
      <c r="D103" s="5" t="s">
        <v>15</v>
      </c>
      <c r="E103" s="6" t="s">
        <v>16</v>
      </c>
      <c r="F103" s="6" t="s">
        <v>25</v>
      </c>
      <c r="G103" s="6" t="s">
        <v>18</v>
      </c>
      <c r="H103" s="7" t="s">
        <v>19</v>
      </c>
      <c r="I103" s="7">
        <v>4.0</v>
      </c>
      <c r="J103" s="8">
        <v>0.13194444444444445</v>
      </c>
      <c r="K103" s="8">
        <v>0.13958333333333334</v>
      </c>
      <c r="L103" s="8">
        <v>0.3090277777777778</v>
      </c>
      <c r="M103" s="8">
        <v>0.3125</v>
      </c>
      <c r="N103" s="10">
        <v>34.0</v>
      </c>
    </row>
    <row r="104">
      <c r="A104" s="3">
        <f t="shared" si="2"/>
        <v>97</v>
      </c>
      <c r="B104" s="4">
        <v>45583.0</v>
      </c>
      <c r="C104" s="3" t="s">
        <v>14</v>
      </c>
      <c r="D104" s="5" t="s">
        <v>15</v>
      </c>
      <c r="E104" s="6" t="s">
        <v>16</v>
      </c>
      <c r="F104" s="6" t="s">
        <v>20</v>
      </c>
      <c r="G104" s="6" t="s">
        <v>18</v>
      </c>
      <c r="H104" s="7" t="s">
        <v>19</v>
      </c>
      <c r="I104" s="7">
        <v>4.0</v>
      </c>
      <c r="J104" s="8">
        <v>0.125</v>
      </c>
      <c r="K104" s="8">
        <v>0.13194444444444445</v>
      </c>
      <c r="L104" s="8">
        <v>0.3215277777777778</v>
      </c>
      <c r="M104" s="8">
        <v>0.3263888888888889</v>
      </c>
      <c r="N104" s="10">
        <v>43.0</v>
      </c>
    </row>
    <row r="105">
      <c r="A105" s="3">
        <f t="shared" si="2"/>
        <v>98</v>
      </c>
      <c r="B105" s="4">
        <v>45583.0</v>
      </c>
      <c r="C105" s="3" t="s">
        <v>14</v>
      </c>
      <c r="D105" s="5" t="s">
        <v>15</v>
      </c>
      <c r="E105" s="6" t="s">
        <v>16</v>
      </c>
      <c r="F105" s="6" t="s">
        <v>17</v>
      </c>
      <c r="G105" s="6" t="s">
        <v>18</v>
      </c>
      <c r="H105" s="7" t="s">
        <v>19</v>
      </c>
      <c r="I105" s="7">
        <v>4.0</v>
      </c>
      <c r="J105" s="8">
        <v>0.125</v>
      </c>
      <c r="K105" s="8">
        <v>0.1326388888888889</v>
      </c>
      <c r="L105" s="8">
        <v>0.31805555555555554</v>
      </c>
      <c r="M105" s="8">
        <v>0.3194444444444444</v>
      </c>
      <c r="N105" s="10">
        <v>47.0</v>
      </c>
    </row>
    <row r="106">
      <c r="A106" s="3">
        <f t="shared" si="2"/>
        <v>99</v>
      </c>
      <c r="B106" s="4">
        <v>45583.0</v>
      </c>
      <c r="C106" s="3" t="s">
        <v>14</v>
      </c>
      <c r="D106" s="5" t="s">
        <v>15</v>
      </c>
      <c r="E106" s="6" t="s">
        <v>16</v>
      </c>
      <c r="F106" s="6" t="s">
        <v>21</v>
      </c>
      <c r="G106" s="6" t="s">
        <v>18</v>
      </c>
      <c r="H106" s="7" t="s">
        <v>19</v>
      </c>
      <c r="I106" s="7">
        <v>4.0</v>
      </c>
      <c r="J106" s="8">
        <v>0.125</v>
      </c>
      <c r="K106" s="8">
        <v>0.13402777777777777</v>
      </c>
      <c r="L106" s="8">
        <v>0.3125</v>
      </c>
      <c r="M106" s="8">
        <v>0.3194444444444444</v>
      </c>
      <c r="N106" s="10">
        <v>32.0</v>
      </c>
    </row>
    <row r="107">
      <c r="A107" s="3">
        <f t="shared" si="2"/>
        <v>100</v>
      </c>
      <c r="B107" s="4">
        <v>45583.0</v>
      </c>
      <c r="C107" s="3" t="s">
        <v>14</v>
      </c>
      <c r="D107" s="5" t="s">
        <v>15</v>
      </c>
      <c r="E107" s="6" t="s">
        <v>16</v>
      </c>
      <c r="F107" s="6" t="s">
        <v>23</v>
      </c>
      <c r="G107" s="6" t="s">
        <v>18</v>
      </c>
      <c r="H107" s="7" t="s">
        <v>19</v>
      </c>
      <c r="I107" s="7">
        <v>4.0</v>
      </c>
      <c r="J107" s="8">
        <v>0.12638888888888888</v>
      </c>
      <c r="K107" s="8">
        <v>0.1361111111111111</v>
      </c>
      <c r="L107" s="8">
        <v>0.3055555555555556</v>
      </c>
      <c r="M107" s="8">
        <v>0.3090277777777778</v>
      </c>
      <c r="N107" s="10">
        <v>29.0</v>
      </c>
    </row>
    <row r="108">
      <c r="A108" s="3">
        <f t="shared" si="2"/>
        <v>101</v>
      </c>
      <c r="B108" s="4">
        <v>45583.0</v>
      </c>
      <c r="C108" s="3" t="s">
        <v>14</v>
      </c>
      <c r="D108" s="5" t="s">
        <v>15</v>
      </c>
      <c r="E108" s="6" t="s">
        <v>16</v>
      </c>
      <c r="F108" s="6" t="s">
        <v>25</v>
      </c>
      <c r="G108" s="6" t="s">
        <v>18</v>
      </c>
      <c r="H108" s="7" t="s">
        <v>19</v>
      </c>
      <c r="I108" s="7">
        <v>4.0</v>
      </c>
      <c r="J108" s="8">
        <v>0.12777777777777777</v>
      </c>
      <c r="K108" s="8">
        <v>0.13819444444444445</v>
      </c>
      <c r="L108" s="8">
        <v>0.29583333333333334</v>
      </c>
      <c r="M108" s="8">
        <v>0.2986111111111111</v>
      </c>
      <c r="N108" s="10">
        <v>49.0</v>
      </c>
    </row>
    <row r="109">
      <c r="A109" s="3">
        <f t="shared" si="2"/>
        <v>102</v>
      </c>
      <c r="B109" s="4">
        <v>45583.0</v>
      </c>
      <c r="C109" s="3" t="s">
        <v>14</v>
      </c>
      <c r="D109" s="5" t="s">
        <v>15</v>
      </c>
      <c r="E109" s="6" t="s">
        <v>16</v>
      </c>
      <c r="F109" s="6" t="s">
        <v>24</v>
      </c>
      <c r="G109" s="6" t="s">
        <v>18</v>
      </c>
      <c r="H109" s="7" t="s">
        <v>19</v>
      </c>
      <c r="I109" s="7">
        <v>4.0</v>
      </c>
      <c r="J109" s="8">
        <v>0.12916666666666668</v>
      </c>
      <c r="K109" s="8">
        <v>0.14444444444444443</v>
      </c>
      <c r="L109" s="8">
        <v>0.29930555555555555</v>
      </c>
      <c r="M109" s="8">
        <v>0.3020833333333333</v>
      </c>
      <c r="N109" s="10">
        <v>31.0</v>
      </c>
    </row>
    <row r="110">
      <c r="A110" s="3">
        <f t="shared" si="2"/>
        <v>103</v>
      </c>
      <c r="B110" s="4">
        <v>45584.0</v>
      </c>
      <c r="C110" s="3" t="s">
        <v>14</v>
      </c>
      <c r="D110" s="5" t="s">
        <v>15</v>
      </c>
      <c r="E110" s="6" t="s">
        <v>16</v>
      </c>
      <c r="F110" s="6" t="s">
        <v>23</v>
      </c>
      <c r="G110" s="6" t="s">
        <v>18</v>
      </c>
      <c r="H110" s="7" t="s">
        <v>19</v>
      </c>
      <c r="I110" s="7">
        <v>4.0</v>
      </c>
      <c r="J110" s="8">
        <v>0.125</v>
      </c>
      <c r="K110" s="8">
        <v>0.13194444444444445</v>
      </c>
      <c r="L110" s="8">
        <v>0.2986111111111111</v>
      </c>
      <c r="M110" s="8">
        <v>0.3020833333333333</v>
      </c>
      <c r="N110" s="10">
        <v>29.0</v>
      </c>
    </row>
    <row r="111">
      <c r="A111" s="3">
        <f t="shared" si="2"/>
        <v>104</v>
      </c>
      <c r="B111" s="4">
        <v>45584.0</v>
      </c>
      <c r="C111" s="3" t="s">
        <v>14</v>
      </c>
      <c r="D111" s="5" t="s">
        <v>15</v>
      </c>
      <c r="E111" s="6" t="s">
        <v>16</v>
      </c>
      <c r="F111" s="6" t="s">
        <v>20</v>
      </c>
      <c r="G111" s="6" t="s">
        <v>18</v>
      </c>
      <c r="H111" s="7" t="s">
        <v>19</v>
      </c>
      <c r="I111" s="7">
        <v>4.0</v>
      </c>
      <c r="J111" s="8">
        <v>0.125</v>
      </c>
      <c r="K111" s="8">
        <v>0.13333333333333333</v>
      </c>
      <c r="L111" s="8">
        <v>0.3055555555555556</v>
      </c>
      <c r="M111" s="8">
        <v>0.3090277777777778</v>
      </c>
      <c r="N111" s="10">
        <v>43.0</v>
      </c>
    </row>
    <row r="112">
      <c r="A112" s="3">
        <f t="shared" si="2"/>
        <v>105</v>
      </c>
      <c r="B112" s="4">
        <v>45584.0</v>
      </c>
      <c r="C112" s="3" t="s">
        <v>14</v>
      </c>
      <c r="D112" s="5" t="s">
        <v>15</v>
      </c>
      <c r="E112" s="6" t="s">
        <v>16</v>
      </c>
      <c r="F112" s="6" t="s">
        <v>17</v>
      </c>
      <c r="G112" s="6" t="s">
        <v>18</v>
      </c>
      <c r="H112" s="7" t="s">
        <v>19</v>
      </c>
      <c r="I112" s="7">
        <v>4.0</v>
      </c>
      <c r="J112" s="8">
        <v>0.125</v>
      </c>
      <c r="K112" s="8">
        <v>0.13472222222222222</v>
      </c>
      <c r="L112" s="8">
        <v>0.3194444444444444</v>
      </c>
      <c r="M112" s="8">
        <v>0.3229166666666667</v>
      </c>
      <c r="N112" s="10">
        <v>47.0</v>
      </c>
    </row>
    <row r="113">
      <c r="A113" s="3">
        <f t="shared" si="2"/>
        <v>106</v>
      </c>
      <c r="B113" s="4">
        <v>45584.0</v>
      </c>
      <c r="C113" s="3" t="s">
        <v>14</v>
      </c>
      <c r="D113" s="5" t="s">
        <v>15</v>
      </c>
      <c r="E113" s="6" t="s">
        <v>16</v>
      </c>
      <c r="F113" s="6" t="s">
        <v>21</v>
      </c>
      <c r="G113" s="6" t="s">
        <v>18</v>
      </c>
      <c r="H113" s="7" t="s">
        <v>19</v>
      </c>
      <c r="I113" s="7">
        <v>4.0</v>
      </c>
      <c r="J113" s="8">
        <v>0.12638888888888888</v>
      </c>
      <c r="K113" s="8">
        <v>0.13680555555555557</v>
      </c>
      <c r="L113" s="8">
        <v>0.3263888888888889</v>
      </c>
      <c r="M113" s="8">
        <v>0.3298611111111111</v>
      </c>
      <c r="N113" s="10">
        <v>33.0</v>
      </c>
    </row>
    <row r="114">
      <c r="A114" s="3">
        <f t="shared" si="2"/>
        <v>107</v>
      </c>
      <c r="B114" s="4">
        <v>45584.0</v>
      </c>
      <c r="C114" s="3" t="s">
        <v>14</v>
      </c>
      <c r="D114" s="5" t="s">
        <v>15</v>
      </c>
      <c r="E114" s="6" t="s">
        <v>16</v>
      </c>
      <c r="F114" s="6" t="s">
        <v>24</v>
      </c>
      <c r="G114" s="6" t="s">
        <v>18</v>
      </c>
      <c r="H114" s="7" t="s">
        <v>19</v>
      </c>
      <c r="I114" s="7">
        <v>4.0</v>
      </c>
      <c r="J114" s="8">
        <v>0.1284722222222222</v>
      </c>
      <c r="K114" s="8">
        <v>0.13819444444444445</v>
      </c>
      <c r="L114" s="8">
        <v>0.3076388888888889</v>
      </c>
      <c r="M114" s="8">
        <v>0.3104166666666667</v>
      </c>
      <c r="N114" s="10">
        <v>31.0</v>
      </c>
    </row>
    <row r="115">
      <c r="A115" s="3">
        <f t="shared" si="2"/>
        <v>108</v>
      </c>
      <c r="B115" s="4">
        <v>45584.0</v>
      </c>
      <c r="C115" s="3" t="s">
        <v>14</v>
      </c>
      <c r="D115" s="5" t="s">
        <v>15</v>
      </c>
      <c r="E115" s="6" t="s">
        <v>16</v>
      </c>
      <c r="F115" s="6" t="s">
        <v>22</v>
      </c>
      <c r="G115" s="6" t="s">
        <v>18</v>
      </c>
      <c r="H115" s="7" t="s">
        <v>19</v>
      </c>
      <c r="I115" s="7">
        <v>4.0</v>
      </c>
      <c r="J115" s="8">
        <v>0.13194444444444445</v>
      </c>
      <c r="K115" s="8">
        <v>0.14305555555555555</v>
      </c>
      <c r="L115" s="8">
        <v>0.31319444444444444</v>
      </c>
      <c r="M115" s="8">
        <v>0.2986111111111111</v>
      </c>
      <c r="N115" s="10">
        <v>47.0</v>
      </c>
    </row>
    <row r="116">
      <c r="A116" s="3">
        <f t="shared" si="2"/>
        <v>109</v>
      </c>
      <c r="B116" s="4">
        <v>45585.0</v>
      </c>
      <c r="C116" s="3" t="s">
        <v>14</v>
      </c>
      <c r="D116" s="5" t="s">
        <v>15</v>
      </c>
      <c r="E116" s="6" t="s">
        <v>16</v>
      </c>
      <c r="F116" s="6" t="s">
        <v>17</v>
      </c>
      <c r="G116" s="6" t="s">
        <v>18</v>
      </c>
      <c r="H116" s="7" t="s">
        <v>19</v>
      </c>
      <c r="I116" s="7">
        <v>4.0</v>
      </c>
      <c r="J116" s="8">
        <v>0.125</v>
      </c>
      <c r="K116" s="8">
        <v>0.13194444444444445</v>
      </c>
      <c r="L116" s="8">
        <v>0.2951388888888889</v>
      </c>
      <c r="M116" s="8">
        <v>0.2986111111111111</v>
      </c>
      <c r="N116" s="10">
        <v>51.0</v>
      </c>
    </row>
    <row r="117">
      <c r="A117" s="3">
        <f t="shared" si="2"/>
        <v>110</v>
      </c>
      <c r="B117" s="4">
        <v>45585.0</v>
      </c>
      <c r="C117" s="3" t="s">
        <v>14</v>
      </c>
      <c r="D117" s="5" t="s">
        <v>15</v>
      </c>
      <c r="E117" s="6" t="s">
        <v>16</v>
      </c>
      <c r="F117" s="6" t="s">
        <v>20</v>
      </c>
      <c r="G117" s="6" t="s">
        <v>18</v>
      </c>
      <c r="H117" s="7" t="s">
        <v>19</v>
      </c>
      <c r="I117" s="7">
        <v>4.0</v>
      </c>
      <c r="J117" s="8">
        <v>0.12638888888888888</v>
      </c>
      <c r="K117" s="8">
        <v>0.13472222222222222</v>
      </c>
      <c r="L117" s="8">
        <v>0.3020833333333333</v>
      </c>
      <c r="M117" s="8">
        <v>0.3055555555555556</v>
      </c>
      <c r="N117" s="10">
        <v>43.0</v>
      </c>
    </row>
    <row r="118">
      <c r="A118" s="3">
        <f t="shared" si="2"/>
        <v>111</v>
      </c>
      <c r="B118" s="4">
        <v>45585.0</v>
      </c>
      <c r="C118" s="3" t="s">
        <v>14</v>
      </c>
      <c r="D118" s="5" t="s">
        <v>15</v>
      </c>
      <c r="E118" s="6" t="s">
        <v>16</v>
      </c>
      <c r="F118" s="6" t="s">
        <v>23</v>
      </c>
      <c r="G118" s="6" t="s">
        <v>18</v>
      </c>
      <c r="H118" s="7" t="s">
        <v>19</v>
      </c>
      <c r="I118" s="7">
        <v>4.0</v>
      </c>
      <c r="J118" s="8">
        <v>0.1284722222222222</v>
      </c>
      <c r="K118" s="8">
        <v>0.13541666666666666</v>
      </c>
      <c r="L118" s="8">
        <v>0.2916666666666667</v>
      </c>
      <c r="M118" s="8">
        <v>0.3020833333333333</v>
      </c>
      <c r="N118" s="10">
        <v>35.0</v>
      </c>
    </row>
    <row r="119">
      <c r="A119" s="3">
        <f t="shared" si="2"/>
        <v>112</v>
      </c>
      <c r="B119" s="4">
        <v>45585.0</v>
      </c>
      <c r="C119" s="3" t="s">
        <v>14</v>
      </c>
      <c r="D119" s="5" t="s">
        <v>15</v>
      </c>
      <c r="E119" s="6" t="s">
        <v>16</v>
      </c>
      <c r="F119" s="6" t="s">
        <v>21</v>
      </c>
      <c r="G119" s="6" t="s">
        <v>18</v>
      </c>
      <c r="H119" s="7" t="s">
        <v>19</v>
      </c>
      <c r="I119" s="7">
        <v>4.0</v>
      </c>
      <c r="J119" s="8">
        <v>0.13194444444444445</v>
      </c>
      <c r="K119" s="8">
        <v>0.13819444444444445</v>
      </c>
      <c r="L119" s="8">
        <v>0.2986111111111111</v>
      </c>
      <c r="M119" s="8">
        <v>0.3</v>
      </c>
      <c r="N119" s="10">
        <v>32.0</v>
      </c>
    </row>
    <row r="120">
      <c r="A120" s="3">
        <f t="shared" si="2"/>
        <v>113</v>
      </c>
      <c r="B120" s="4">
        <v>45585.0</v>
      </c>
      <c r="C120" s="3" t="s">
        <v>14</v>
      </c>
      <c r="D120" s="5" t="s">
        <v>15</v>
      </c>
      <c r="E120" s="6" t="s">
        <v>16</v>
      </c>
      <c r="F120" s="6" t="s">
        <v>22</v>
      </c>
      <c r="G120" s="6" t="s">
        <v>18</v>
      </c>
      <c r="H120" s="7" t="s">
        <v>19</v>
      </c>
      <c r="I120" s="7">
        <v>4.0</v>
      </c>
      <c r="J120" s="8">
        <v>0.13125</v>
      </c>
      <c r="K120" s="8">
        <v>0.13958333333333334</v>
      </c>
      <c r="L120" s="8">
        <v>0.3</v>
      </c>
      <c r="M120" s="8">
        <v>0.3034722222222222</v>
      </c>
      <c r="N120" s="10">
        <v>46.0</v>
      </c>
    </row>
    <row r="121">
      <c r="A121" s="3">
        <f t="shared" si="2"/>
        <v>114</v>
      </c>
      <c r="B121" s="4">
        <v>45585.0</v>
      </c>
      <c r="C121" s="3" t="s">
        <v>14</v>
      </c>
      <c r="D121" s="5" t="s">
        <v>15</v>
      </c>
      <c r="E121" s="6" t="s">
        <v>16</v>
      </c>
      <c r="F121" s="6" t="s">
        <v>24</v>
      </c>
      <c r="G121" s="6" t="s">
        <v>18</v>
      </c>
      <c r="H121" s="7" t="s">
        <v>19</v>
      </c>
      <c r="I121" s="7">
        <v>4.0</v>
      </c>
      <c r="J121" s="8">
        <v>0.12777777777777777</v>
      </c>
      <c r="K121" s="8">
        <v>0.14027777777777778</v>
      </c>
      <c r="L121" s="8">
        <v>0.3013888888888889</v>
      </c>
      <c r="M121" s="8">
        <v>0.30694444444444446</v>
      </c>
      <c r="N121" s="10">
        <v>31.0</v>
      </c>
    </row>
    <row r="122">
      <c r="A122" s="3">
        <f t="shared" si="2"/>
        <v>115</v>
      </c>
      <c r="B122" s="4">
        <v>45586.0</v>
      </c>
      <c r="C122" s="3" t="s">
        <v>14</v>
      </c>
      <c r="D122" s="5" t="s">
        <v>15</v>
      </c>
      <c r="E122" s="6" t="s">
        <v>16</v>
      </c>
      <c r="F122" s="6" t="s">
        <v>20</v>
      </c>
      <c r="G122" s="6" t="s">
        <v>18</v>
      </c>
      <c r="H122" s="7" t="s">
        <v>19</v>
      </c>
      <c r="I122" s="7">
        <v>4.0</v>
      </c>
      <c r="J122" s="8">
        <v>0.125</v>
      </c>
      <c r="K122" s="8">
        <v>0.13194444444444445</v>
      </c>
      <c r="L122" s="8">
        <v>0.2986111111111111</v>
      </c>
      <c r="M122" s="8">
        <v>0.3020833333333333</v>
      </c>
      <c r="N122" s="10">
        <v>43.0</v>
      </c>
    </row>
    <row r="123">
      <c r="A123" s="3">
        <f t="shared" si="2"/>
        <v>116</v>
      </c>
      <c r="B123" s="4">
        <v>45586.0</v>
      </c>
      <c r="C123" s="3" t="s">
        <v>14</v>
      </c>
      <c r="D123" s="5" t="s">
        <v>15</v>
      </c>
      <c r="E123" s="6" t="s">
        <v>16</v>
      </c>
      <c r="F123" s="6" t="s">
        <v>25</v>
      </c>
      <c r="G123" s="6" t="s">
        <v>18</v>
      </c>
      <c r="H123" s="7" t="s">
        <v>19</v>
      </c>
      <c r="I123" s="7">
        <v>4.0</v>
      </c>
      <c r="J123" s="8">
        <v>0.12638888888888888</v>
      </c>
      <c r="K123" s="8">
        <v>0.13472222222222222</v>
      </c>
      <c r="L123" s="8">
        <v>0.2916666666666667</v>
      </c>
      <c r="M123" s="8">
        <v>0.2986111111111111</v>
      </c>
      <c r="N123" s="10">
        <v>50.0</v>
      </c>
    </row>
    <row r="124">
      <c r="A124" s="3">
        <f t="shared" si="2"/>
        <v>117</v>
      </c>
      <c r="B124" s="4">
        <v>45586.0</v>
      </c>
      <c r="C124" s="3" t="s">
        <v>14</v>
      </c>
      <c r="D124" s="5" t="s">
        <v>15</v>
      </c>
      <c r="E124" s="6" t="s">
        <v>16</v>
      </c>
      <c r="F124" s="6" t="s">
        <v>21</v>
      </c>
      <c r="G124" s="6" t="s">
        <v>18</v>
      </c>
      <c r="H124" s="7" t="s">
        <v>19</v>
      </c>
      <c r="I124" s="7">
        <v>4.0</v>
      </c>
      <c r="J124" s="8">
        <v>0.1284722222222222</v>
      </c>
      <c r="K124" s="8">
        <v>0.13541666666666666</v>
      </c>
      <c r="L124" s="8">
        <v>0.30694444444444446</v>
      </c>
      <c r="M124" s="8">
        <v>0.3125</v>
      </c>
      <c r="N124" s="10">
        <v>31.0</v>
      </c>
    </row>
    <row r="125">
      <c r="A125" s="3">
        <f t="shared" si="2"/>
        <v>118</v>
      </c>
      <c r="B125" s="4">
        <v>45586.0</v>
      </c>
      <c r="C125" s="3" t="s">
        <v>14</v>
      </c>
      <c r="D125" s="5" t="s">
        <v>15</v>
      </c>
      <c r="E125" s="6" t="s">
        <v>16</v>
      </c>
      <c r="F125" s="6" t="s">
        <v>22</v>
      </c>
      <c r="G125" s="6" t="s">
        <v>18</v>
      </c>
      <c r="H125" s="7" t="s">
        <v>19</v>
      </c>
      <c r="I125" s="7">
        <v>4.0</v>
      </c>
      <c r="J125" s="8">
        <v>0.13194444444444445</v>
      </c>
      <c r="K125" s="8">
        <v>0.13819444444444445</v>
      </c>
      <c r="L125" s="8">
        <v>0.3055555555555556</v>
      </c>
      <c r="M125" s="8">
        <v>0.3125</v>
      </c>
      <c r="N125" s="10">
        <v>46.0</v>
      </c>
    </row>
    <row r="126">
      <c r="A126" s="3">
        <f t="shared" si="2"/>
        <v>119</v>
      </c>
      <c r="B126" s="4">
        <v>45586.0</v>
      </c>
      <c r="C126" s="3" t="s">
        <v>14</v>
      </c>
      <c r="D126" s="5" t="s">
        <v>15</v>
      </c>
      <c r="E126" s="6" t="s">
        <v>16</v>
      </c>
      <c r="F126" s="6" t="s">
        <v>24</v>
      </c>
      <c r="G126" s="6" t="s">
        <v>18</v>
      </c>
      <c r="H126" s="7" t="s">
        <v>19</v>
      </c>
      <c r="I126" s="7">
        <v>4.0</v>
      </c>
      <c r="J126" s="8">
        <v>0.13125</v>
      </c>
      <c r="K126" s="8">
        <v>0.13958333333333334</v>
      </c>
      <c r="L126" s="8">
        <v>0.3125</v>
      </c>
      <c r="M126" s="8">
        <v>0.3125</v>
      </c>
      <c r="N126" s="10">
        <v>31.0</v>
      </c>
    </row>
    <row r="127">
      <c r="A127" s="3">
        <f t="shared" si="2"/>
        <v>120</v>
      </c>
      <c r="B127" s="4">
        <v>45586.0</v>
      </c>
      <c r="C127" s="3" t="s">
        <v>14</v>
      </c>
      <c r="D127" s="5" t="s">
        <v>15</v>
      </c>
      <c r="E127" s="6" t="s">
        <v>16</v>
      </c>
      <c r="F127" s="6" t="s">
        <v>23</v>
      </c>
      <c r="G127" s="6" t="s">
        <v>18</v>
      </c>
      <c r="H127" s="7" t="s">
        <v>19</v>
      </c>
      <c r="I127" s="7">
        <v>4.0</v>
      </c>
      <c r="J127" s="8">
        <v>0.13125</v>
      </c>
      <c r="K127" s="8">
        <v>0.14305555555555555</v>
      </c>
      <c r="L127" s="8">
        <v>0.30694444444444446</v>
      </c>
      <c r="M127" s="8">
        <v>0.3125</v>
      </c>
      <c r="N127" s="10">
        <v>30.0</v>
      </c>
    </row>
    <row r="128">
      <c r="A128" s="3">
        <f t="shared" si="2"/>
        <v>121</v>
      </c>
      <c r="B128" s="4">
        <v>45587.0</v>
      </c>
      <c r="C128" s="3" t="s">
        <v>14</v>
      </c>
      <c r="D128" s="5" t="s">
        <v>15</v>
      </c>
      <c r="E128" s="6" t="s">
        <v>16</v>
      </c>
      <c r="F128" s="6" t="s">
        <v>17</v>
      </c>
      <c r="G128" s="6" t="s">
        <v>18</v>
      </c>
      <c r="H128" s="7" t="s">
        <v>19</v>
      </c>
      <c r="I128" s="7">
        <v>4.0</v>
      </c>
      <c r="J128" s="8">
        <v>0.125</v>
      </c>
      <c r="K128" s="8">
        <v>0.1388888888888889</v>
      </c>
      <c r="L128" s="8">
        <v>0.3125</v>
      </c>
      <c r="M128" s="8">
        <v>0.3159722222222222</v>
      </c>
      <c r="N128" s="10">
        <v>47.0</v>
      </c>
    </row>
    <row r="129">
      <c r="A129" s="3">
        <f t="shared" si="2"/>
        <v>122</v>
      </c>
      <c r="B129" s="4">
        <v>45587.0</v>
      </c>
      <c r="C129" s="3" t="s">
        <v>14</v>
      </c>
      <c r="D129" s="5" t="s">
        <v>15</v>
      </c>
      <c r="E129" s="6" t="s">
        <v>16</v>
      </c>
      <c r="F129" s="6" t="s">
        <v>20</v>
      </c>
      <c r="G129" s="6" t="s">
        <v>18</v>
      </c>
      <c r="H129" s="7" t="s">
        <v>19</v>
      </c>
      <c r="I129" s="7">
        <v>4.0</v>
      </c>
      <c r="J129" s="8">
        <v>0.12569444444444444</v>
      </c>
      <c r="K129" s="8">
        <v>0.1423611111111111</v>
      </c>
      <c r="L129" s="8">
        <v>0.3159722222222222</v>
      </c>
      <c r="M129" s="8">
        <v>0.3194444444444444</v>
      </c>
      <c r="N129" s="10">
        <v>43.0</v>
      </c>
    </row>
    <row r="130">
      <c r="A130" s="3">
        <f t="shared" si="2"/>
        <v>123</v>
      </c>
      <c r="B130" s="4">
        <v>45587.0</v>
      </c>
      <c r="C130" s="3" t="s">
        <v>14</v>
      </c>
      <c r="D130" s="5" t="s">
        <v>15</v>
      </c>
      <c r="E130" s="6" t="s">
        <v>16</v>
      </c>
      <c r="F130" s="6" t="s">
        <v>21</v>
      </c>
      <c r="G130" s="6" t="s">
        <v>18</v>
      </c>
      <c r="H130" s="7" t="s">
        <v>19</v>
      </c>
      <c r="I130" s="7">
        <v>4.0</v>
      </c>
      <c r="J130" s="8">
        <v>0.12569444444444444</v>
      </c>
      <c r="K130" s="8">
        <v>0.13958333333333334</v>
      </c>
      <c r="L130" s="8">
        <v>0.3194444444444444</v>
      </c>
      <c r="M130" s="8">
        <v>0.3229166666666667</v>
      </c>
      <c r="N130" s="10">
        <v>31.0</v>
      </c>
    </row>
    <row r="131">
      <c r="A131" s="3">
        <f t="shared" si="2"/>
        <v>124</v>
      </c>
      <c r="B131" s="4">
        <v>45587.0</v>
      </c>
      <c r="C131" s="3" t="s">
        <v>14</v>
      </c>
      <c r="D131" s="5" t="s">
        <v>15</v>
      </c>
      <c r="E131" s="6" t="s">
        <v>16</v>
      </c>
      <c r="F131" s="6" t="s">
        <v>24</v>
      </c>
      <c r="G131" s="6" t="s">
        <v>18</v>
      </c>
      <c r="H131" s="7" t="s">
        <v>19</v>
      </c>
      <c r="I131" s="7">
        <v>4.0</v>
      </c>
      <c r="J131" s="8">
        <v>0.12638888888888888</v>
      </c>
      <c r="K131" s="8">
        <v>0.14027777777777778</v>
      </c>
      <c r="L131" s="8">
        <v>0.31666666666666665</v>
      </c>
      <c r="M131" s="8">
        <v>0.3229166666666667</v>
      </c>
      <c r="N131" s="10">
        <v>30.0</v>
      </c>
    </row>
    <row r="132">
      <c r="A132" s="3">
        <f t="shared" si="2"/>
        <v>125</v>
      </c>
      <c r="B132" s="4">
        <v>45587.0</v>
      </c>
      <c r="C132" s="3" t="s">
        <v>14</v>
      </c>
      <c r="D132" s="5" t="s">
        <v>15</v>
      </c>
      <c r="E132" s="6" t="s">
        <v>16</v>
      </c>
      <c r="F132" s="6" t="s">
        <v>22</v>
      </c>
      <c r="G132" s="6" t="s">
        <v>18</v>
      </c>
      <c r="H132" s="7" t="s">
        <v>19</v>
      </c>
      <c r="I132" s="7">
        <v>4.0</v>
      </c>
      <c r="J132" s="8">
        <v>0.12777777777777777</v>
      </c>
      <c r="K132" s="8">
        <v>0.1423611111111111</v>
      </c>
      <c r="L132" s="8">
        <v>0.3194444444444444</v>
      </c>
      <c r="M132" s="8">
        <v>0.3229166666666667</v>
      </c>
      <c r="N132" s="10">
        <v>46.0</v>
      </c>
    </row>
    <row r="133">
      <c r="A133" s="3">
        <f t="shared" si="2"/>
        <v>126</v>
      </c>
      <c r="B133" s="4">
        <v>45587.0</v>
      </c>
      <c r="C133" s="3" t="s">
        <v>14</v>
      </c>
      <c r="D133" s="5" t="s">
        <v>15</v>
      </c>
      <c r="E133" s="6" t="s">
        <v>16</v>
      </c>
      <c r="F133" s="6" t="s">
        <v>23</v>
      </c>
      <c r="G133" s="6" t="s">
        <v>18</v>
      </c>
      <c r="H133" s="7" t="s">
        <v>19</v>
      </c>
      <c r="I133" s="7">
        <v>4.0</v>
      </c>
      <c r="J133" s="8">
        <v>0.1284722222222222</v>
      </c>
      <c r="K133" s="8">
        <v>0.14305555555555555</v>
      </c>
      <c r="L133" s="8">
        <v>0.3125</v>
      </c>
      <c r="M133" s="8">
        <v>0.3194444444444444</v>
      </c>
      <c r="N133" s="10">
        <v>35.0</v>
      </c>
    </row>
    <row r="134">
      <c r="A134" s="3">
        <f t="shared" si="2"/>
        <v>127</v>
      </c>
      <c r="B134" s="4">
        <v>45588.0</v>
      </c>
      <c r="C134" s="3" t="s">
        <v>14</v>
      </c>
      <c r="D134" s="5" t="s">
        <v>15</v>
      </c>
      <c r="E134" s="6" t="s">
        <v>16</v>
      </c>
      <c r="F134" s="6" t="s">
        <v>17</v>
      </c>
      <c r="G134" s="6" t="s">
        <v>18</v>
      </c>
      <c r="H134" s="7" t="s">
        <v>19</v>
      </c>
      <c r="I134" s="7">
        <v>4.0</v>
      </c>
      <c r="J134" s="8">
        <v>0.125</v>
      </c>
      <c r="K134" s="8">
        <v>0.13333333333333333</v>
      </c>
      <c r="L134" s="8">
        <v>0.3020833333333333</v>
      </c>
      <c r="M134" s="8">
        <v>0.30625</v>
      </c>
      <c r="N134" s="10">
        <v>46.0</v>
      </c>
    </row>
    <row r="135">
      <c r="A135" s="3">
        <f t="shared" si="2"/>
        <v>128</v>
      </c>
      <c r="B135" s="4">
        <v>45588.0</v>
      </c>
      <c r="C135" s="3" t="s">
        <v>14</v>
      </c>
      <c r="D135" s="5" t="s">
        <v>15</v>
      </c>
      <c r="E135" s="6" t="s">
        <v>16</v>
      </c>
      <c r="F135" s="6" t="s">
        <v>22</v>
      </c>
      <c r="G135" s="6" t="s">
        <v>18</v>
      </c>
      <c r="H135" s="7" t="s">
        <v>19</v>
      </c>
      <c r="I135" s="7">
        <v>4.0</v>
      </c>
      <c r="J135" s="8">
        <v>0.12777777777777777</v>
      </c>
      <c r="K135" s="8">
        <v>0.13472222222222222</v>
      </c>
      <c r="L135" s="8">
        <v>0.3298611111111111</v>
      </c>
      <c r="M135" s="8">
        <v>0.3333333333333333</v>
      </c>
      <c r="N135" s="10">
        <v>45.0</v>
      </c>
    </row>
    <row r="136">
      <c r="A136" s="3">
        <f t="shared" si="2"/>
        <v>129</v>
      </c>
      <c r="B136" s="13">
        <v>45588.0</v>
      </c>
      <c r="C136" s="12" t="s">
        <v>14</v>
      </c>
      <c r="D136" s="14" t="s">
        <v>15</v>
      </c>
      <c r="E136" s="6" t="s">
        <v>16</v>
      </c>
      <c r="F136" s="6" t="s">
        <v>23</v>
      </c>
      <c r="G136" s="6" t="s">
        <v>18</v>
      </c>
      <c r="H136" s="7" t="s">
        <v>19</v>
      </c>
      <c r="I136" s="7">
        <v>4.0</v>
      </c>
      <c r="J136" s="15">
        <v>0.12638888888888888</v>
      </c>
      <c r="K136" s="15">
        <v>0.13541666666666666</v>
      </c>
      <c r="L136" s="15">
        <v>0.3541666666666667</v>
      </c>
      <c r="M136" s="15">
        <v>0.35833333333333334</v>
      </c>
      <c r="N136" s="18">
        <v>42.0</v>
      </c>
    </row>
    <row r="137">
      <c r="A137" s="3">
        <f t="shared" si="2"/>
        <v>130</v>
      </c>
      <c r="B137" s="13">
        <v>45588.0</v>
      </c>
      <c r="C137" s="12" t="s">
        <v>14</v>
      </c>
      <c r="D137" s="14" t="s">
        <v>15</v>
      </c>
      <c r="E137" s="6" t="s">
        <v>16</v>
      </c>
      <c r="F137" s="6" t="s">
        <v>21</v>
      </c>
      <c r="G137" s="6" t="s">
        <v>18</v>
      </c>
      <c r="H137" s="7" t="s">
        <v>19</v>
      </c>
      <c r="I137" s="7">
        <v>4.0</v>
      </c>
      <c r="J137" s="15">
        <v>0.12569444444444444</v>
      </c>
      <c r="K137" s="15">
        <v>0.1375</v>
      </c>
      <c r="L137" s="15">
        <v>0.3368055555555556</v>
      </c>
      <c r="M137" s="15">
        <v>0.3402777777777778</v>
      </c>
      <c r="N137" s="18">
        <v>32.0</v>
      </c>
    </row>
    <row r="138">
      <c r="A138" s="3">
        <f t="shared" si="2"/>
        <v>131</v>
      </c>
      <c r="B138" s="4">
        <v>45588.0</v>
      </c>
      <c r="C138" s="3" t="s">
        <v>14</v>
      </c>
      <c r="D138" s="5" t="s">
        <v>15</v>
      </c>
      <c r="E138" s="6" t="s">
        <v>16</v>
      </c>
      <c r="F138" s="6" t="s">
        <v>20</v>
      </c>
      <c r="G138" s="6" t="s">
        <v>18</v>
      </c>
      <c r="H138" s="7" t="s">
        <v>19</v>
      </c>
      <c r="I138" s="7">
        <v>4.0</v>
      </c>
      <c r="J138" s="8">
        <v>0.125</v>
      </c>
      <c r="K138" s="8">
        <v>0.14166666666666666</v>
      </c>
      <c r="L138" s="8">
        <v>0.3055555555555556</v>
      </c>
      <c r="M138" s="8">
        <v>0.3104166666666667</v>
      </c>
      <c r="N138" s="10">
        <v>45.0</v>
      </c>
    </row>
    <row r="139">
      <c r="A139" s="3">
        <f t="shared" si="2"/>
        <v>132</v>
      </c>
      <c r="B139" s="4">
        <v>45588.0</v>
      </c>
      <c r="C139" s="3" t="s">
        <v>14</v>
      </c>
      <c r="D139" s="5" t="s">
        <v>15</v>
      </c>
      <c r="E139" s="6" t="s">
        <v>16</v>
      </c>
      <c r="F139" s="6" t="s">
        <v>24</v>
      </c>
      <c r="G139" s="6" t="s">
        <v>18</v>
      </c>
      <c r="H139" s="7" t="s">
        <v>19</v>
      </c>
      <c r="I139" s="7">
        <v>4.0</v>
      </c>
      <c r="J139" s="8">
        <v>0.13541666666666666</v>
      </c>
      <c r="K139" s="8">
        <v>0.1451388888888889</v>
      </c>
      <c r="L139" s="8">
        <v>0.3125</v>
      </c>
      <c r="M139" s="8">
        <v>0.3159722222222222</v>
      </c>
      <c r="N139" s="10">
        <v>31.0</v>
      </c>
    </row>
    <row r="140">
      <c r="A140" s="3">
        <f t="shared" si="2"/>
        <v>133</v>
      </c>
      <c r="B140" s="4">
        <v>45589.0</v>
      </c>
      <c r="C140" s="3" t="s">
        <v>14</v>
      </c>
      <c r="D140" s="5" t="s">
        <v>15</v>
      </c>
      <c r="E140" s="6" t="s">
        <v>16</v>
      </c>
      <c r="F140" s="6" t="s">
        <v>17</v>
      </c>
      <c r="G140" s="6" t="s">
        <v>18</v>
      </c>
      <c r="H140" s="7" t="s">
        <v>19</v>
      </c>
      <c r="I140" s="7">
        <v>4.0</v>
      </c>
      <c r="J140" s="8">
        <v>0.125</v>
      </c>
      <c r="K140" s="8">
        <v>0.13680555555555557</v>
      </c>
      <c r="L140" s="8">
        <v>0.3055555555555556</v>
      </c>
      <c r="M140" s="8">
        <v>0.3090277777777778</v>
      </c>
      <c r="N140" s="10">
        <v>47.0</v>
      </c>
    </row>
    <row r="141">
      <c r="A141" s="3">
        <f t="shared" si="2"/>
        <v>134</v>
      </c>
      <c r="B141" s="4">
        <v>45589.0</v>
      </c>
      <c r="C141" s="3" t="s">
        <v>14</v>
      </c>
      <c r="D141" s="5" t="s">
        <v>15</v>
      </c>
      <c r="E141" s="6" t="s">
        <v>16</v>
      </c>
      <c r="F141" s="6" t="s">
        <v>20</v>
      </c>
      <c r="G141" s="6" t="s">
        <v>18</v>
      </c>
      <c r="H141" s="7" t="s">
        <v>19</v>
      </c>
      <c r="I141" s="7">
        <v>4.0</v>
      </c>
      <c r="J141" s="8">
        <v>0.125</v>
      </c>
      <c r="K141" s="8">
        <v>0.13541666666666666</v>
      </c>
      <c r="L141" s="8">
        <v>0.3090277777777778</v>
      </c>
      <c r="M141" s="8">
        <v>0.3125</v>
      </c>
      <c r="N141" s="10">
        <v>44.0</v>
      </c>
    </row>
    <row r="142">
      <c r="A142" s="3">
        <f t="shared" si="2"/>
        <v>135</v>
      </c>
      <c r="B142" s="4">
        <v>45589.0</v>
      </c>
      <c r="C142" s="3" t="s">
        <v>14</v>
      </c>
      <c r="D142" s="5" t="s">
        <v>15</v>
      </c>
      <c r="E142" s="6" t="s">
        <v>16</v>
      </c>
      <c r="F142" s="6" t="s">
        <v>21</v>
      </c>
      <c r="G142" s="6" t="s">
        <v>18</v>
      </c>
      <c r="H142" s="7" t="s">
        <v>19</v>
      </c>
      <c r="I142" s="7">
        <v>4.0</v>
      </c>
      <c r="J142" s="8">
        <v>0.12569444444444444</v>
      </c>
      <c r="K142" s="8">
        <v>0.13680555555555557</v>
      </c>
      <c r="L142" s="8">
        <v>0.3055555555555556</v>
      </c>
      <c r="M142" s="8">
        <v>0.3090277777777778</v>
      </c>
      <c r="N142" s="10">
        <v>31.0</v>
      </c>
    </row>
    <row r="143">
      <c r="A143" s="3">
        <f t="shared" si="2"/>
        <v>136</v>
      </c>
      <c r="B143" s="4">
        <v>45589.0</v>
      </c>
      <c r="C143" s="3" t="s">
        <v>14</v>
      </c>
      <c r="D143" s="5" t="s">
        <v>15</v>
      </c>
      <c r="E143" s="6" t="s">
        <v>16</v>
      </c>
      <c r="F143" s="6" t="s">
        <v>23</v>
      </c>
      <c r="G143" s="6" t="s">
        <v>18</v>
      </c>
      <c r="H143" s="7" t="s">
        <v>19</v>
      </c>
      <c r="I143" s="7">
        <v>4.0</v>
      </c>
      <c r="J143" s="8">
        <v>0.12638888888888888</v>
      </c>
      <c r="K143" s="8">
        <v>0.1388888888888889</v>
      </c>
      <c r="L143" s="8">
        <v>0.2881944444444444</v>
      </c>
      <c r="M143" s="8">
        <v>0.2916666666666667</v>
      </c>
      <c r="N143" s="10">
        <v>36.0</v>
      </c>
    </row>
    <row r="144">
      <c r="A144" s="3">
        <f t="shared" si="2"/>
        <v>137</v>
      </c>
      <c r="B144" s="4">
        <v>45589.0</v>
      </c>
      <c r="C144" s="3" t="s">
        <v>14</v>
      </c>
      <c r="D144" s="5" t="s">
        <v>15</v>
      </c>
      <c r="E144" s="6" t="s">
        <v>16</v>
      </c>
      <c r="F144" s="6" t="s">
        <v>24</v>
      </c>
      <c r="G144" s="6" t="s">
        <v>18</v>
      </c>
      <c r="H144" s="7" t="s">
        <v>19</v>
      </c>
      <c r="I144" s="7">
        <v>4.0</v>
      </c>
      <c r="J144" s="8">
        <v>0.12777777777777777</v>
      </c>
      <c r="K144" s="8">
        <v>0.14305555555555555</v>
      </c>
      <c r="L144" s="8">
        <v>0.3125</v>
      </c>
      <c r="M144" s="8">
        <v>0.3159722222222222</v>
      </c>
      <c r="N144" s="10">
        <v>31.0</v>
      </c>
    </row>
    <row r="145">
      <c r="A145" s="3">
        <f t="shared" si="2"/>
        <v>138</v>
      </c>
      <c r="B145" s="4">
        <v>45589.0</v>
      </c>
      <c r="C145" s="3" t="s">
        <v>14</v>
      </c>
      <c r="D145" s="5" t="s">
        <v>15</v>
      </c>
      <c r="E145" s="6" t="s">
        <v>16</v>
      </c>
      <c r="F145" s="6" t="s">
        <v>22</v>
      </c>
      <c r="G145" s="6" t="s">
        <v>18</v>
      </c>
      <c r="H145" s="7" t="s">
        <v>19</v>
      </c>
      <c r="I145" s="7">
        <v>4.0</v>
      </c>
      <c r="J145" s="8">
        <v>0.1284722222222222</v>
      </c>
      <c r="K145" s="8">
        <v>0.14166666666666666</v>
      </c>
      <c r="L145" s="8">
        <v>0.3229166666666667</v>
      </c>
      <c r="M145" s="8">
        <v>0.3263888888888889</v>
      </c>
      <c r="N145" s="10">
        <v>47.0</v>
      </c>
    </row>
    <row r="146">
      <c r="A146" s="3">
        <f t="shared" si="2"/>
        <v>139</v>
      </c>
      <c r="B146" s="4">
        <v>45590.0</v>
      </c>
      <c r="C146" s="3" t="s">
        <v>14</v>
      </c>
      <c r="D146" s="5" t="s">
        <v>15</v>
      </c>
      <c r="E146" s="6" t="s">
        <v>16</v>
      </c>
      <c r="F146" s="6" t="s">
        <v>25</v>
      </c>
      <c r="G146" s="6" t="s">
        <v>18</v>
      </c>
      <c r="H146" s="7" t="s">
        <v>19</v>
      </c>
      <c r="I146" s="7">
        <v>4.0</v>
      </c>
      <c r="J146" s="8">
        <v>0.125</v>
      </c>
      <c r="K146" s="8">
        <v>0.13194444444444445</v>
      </c>
      <c r="L146" s="8">
        <v>0.2986111111111111</v>
      </c>
      <c r="M146" s="8">
        <v>0.3055555555555556</v>
      </c>
      <c r="N146" s="10">
        <v>49.0</v>
      </c>
    </row>
    <row r="147">
      <c r="A147" s="3">
        <f t="shared" si="2"/>
        <v>140</v>
      </c>
      <c r="B147" s="4">
        <v>45590.0</v>
      </c>
      <c r="C147" s="3" t="s">
        <v>14</v>
      </c>
      <c r="D147" s="5" t="s">
        <v>15</v>
      </c>
      <c r="E147" s="6" t="s">
        <v>16</v>
      </c>
      <c r="F147" s="6" t="s">
        <v>20</v>
      </c>
      <c r="G147" s="6" t="s">
        <v>18</v>
      </c>
      <c r="H147" s="7" t="s">
        <v>19</v>
      </c>
      <c r="I147" s="7">
        <v>4.0</v>
      </c>
      <c r="J147" s="8">
        <v>0.125</v>
      </c>
      <c r="K147" s="8">
        <v>0.13541666666666666</v>
      </c>
      <c r="L147" s="8">
        <v>0.29930555555555555</v>
      </c>
      <c r="M147" s="8">
        <v>0.30416666666666664</v>
      </c>
      <c r="N147" s="10">
        <v>44.0</v>
      </c>
    </row>
    <row r="148">
      <c r="A148" s="3">
        <f t="shared" si="2"/>
        <v>141</v>
      </c>
      <c r="B148" s="4">
        <v>45590.0</v>
      </c>
      <c r="C148" s="3" t="s">
        <v>14</v>
      </c>
      <c r="D148" s="5" t="s">
        <v>15</v>
      </c>
      <c r="E148" s="6" t="s">
        <v>16</v>
      </c>
      <c r="F148" s="6" t="s">
        <v>21</v>
      </c>
      <c r="G148" s="6" t="s">
        <v>18</v>
      </c>
      <c r="H148" s="7" t="s">
        <v>19</v>
      </c>
      <c r="I148" s="7">
        <v>4.0</v>
      </c>
      <c r="J148" s="8">
        <v>0.125</v>
      </c>
      <c r="K148" s="8">
        <v>0.1375</v>
      </c>
      <c r="L148" s="8">
        <v>0.30486111111111114</v>
      </c>
      <c r="M148" s="8">
        <v>0.3111111111111111</v>
      </c>
      <c r="N148" s="10">
        <v>31.0</v>
      </c>
    </row>
    <row r="149">
      <c r="A149" s="3">
        <f t="shared" si="2"/>
        <v>142</v>
      </c>
      <c r="B149" s="4">
        <v>45590.0</v>
      </c>
      <c r="C149" s="3" t="s">
        <v>14</v>
      </c>
      <c r="D149" s="5" t="s">
        <v>15</v>
      </c>
      <c r="E149" s="6" t="s">
        <v>16</v>
      </c>
      <c r="F149" s="6" t="s">
        <v>26</v>
      </c>
      <c r="G149" s="6" t="s">
        <v>18</v>
      </c>
      <c r="H149" s="7" t="s">
        <v>19</v>
      </c>
      <c r="I149" s="7">
        <v>4.0</v>
      </c>
      <c r="J149" s="8">
        <v>0.125</v>
      </c>
      <c r="K149" s="8">
        <v>0.13819444444444445</v>
      </c>
      <c r="L149" s="8">
        <v>0.30416666666666664</v>
      </c>
      <c r="M149" s="8">
        <v>0.3125</v>
      </c>
      <c r="N149" s="10">
        <v>32.0</v>
      </c>
    </row>
    <row r="150">
      <c r="A150" s="3">
        <f t="shared" si="2"/>
        <v>143</v>
      </c>
      <c r="B150" s="4">
        <v>45590.0</v>
      </c>
      <c r="C150" s="3" t="s">
        <v>14</v>
      </c>
      <c r="D150" s="5" t="s">
        <v>15</v>
      </c>
      <c r="E150" s="6" t="s">
        <v>16</v>
      </c>
      <c r="F150" s="6" t="s">
        <v>23</v>
      </c>
      <c r="G150" s="6" t="s">
        <v>18</v>
      </c>
      <c r="H150" s="7" t="s">
        <v>19</v>
      </c>
      <c r="I150" s="7">
        <v>4.0</v>
      </c>
      <c r="J150" s="8">
        <v>0.12638888888888888</v>
      </c>
      <c r="K150" s="8">
        <v>0.14027777777777778</v>
      </c>
      <c r="L150" s="8">
        <v>0.2986111111111111</v>
      </c>
      <c r="M150" s="8">
        <v>0.3020833333333333</v>
      </c>
      <c r="N150" s="10">
        <v>35.0</v>
      </c>
    </row>
    <row r="151">
      <c r="A151" s="3">
        <f t="shared" si="2"/>
        <v>144</v>
      </c>
      <c r="B151" s="4">
        <v>45590.0</v>
      </c>
      <c r="C151" s="3" t="s">
        <v>14</v>
      </c>
      <c r="D151" s="5" t="s">
        <v>15</v>
      </c>
      <c r="E151" s="6" t="s">
        <v>16</v>
      </c>
      <c r="F151" s="6" t="s">
        <v>17</v>
      </c>
      <c r="G151" s="6" t="s">
        <v>18</v>
      </c>
      <c r="H151" s="7" t="s">
        <v>19</v>
      </c>
      <c r="I151" s="7">
        <v>4.0</v>
      </c>
      <c r="J151" s="8">
        <v>0.1284722222222222</v>
      </c>
      <c r="K151" s="8">
        <v>0.14444444444444443</v>
      </c>
      <c r="L151" s="8">
        <v>0.3125</v>
      </c>
      <c r="M151" s="8">
        <v>0.3159722222222222</v>
      </c>
      <c r="N151" s="10">
        <v>47.0</v>
      </c>
    </row>
    <row r="152">
      <c r="A152" s="3">
        <f t="shared" si="2"/>
        <v>145</v>
      </c>
      <c r="B152" s="4">
        <v>45591.0</v>
      </c>
      <c r="C152" s="3" t="s">
        <v>14</v>
      </c>
      <c r="D152" s="5" t="s">
        <v>15</v>
      </c>
      <c r="E152" s="6" t="s">
        <v>16</v>
      </c>
      <c r="F152" s="6" t="s">
        <v>21</v>
      </c>
      <c r="G152" s="6" t="s">
        <v>18</v>
      </c>
      <c r="H152" s="7" t="s">
        <v>19</v>
      </c>
      <c r="I152" s="7">
        <v>4.0</v>
      </c>
      <c r="J152" s="8">
        <v>0.125</v>
      </c>
      <c r="K152" s="8">
        <v>0.13194444444444445</v>
      </c>
      <c r="L152" s="8">
        <v>0.3229166666666667</v>
      </c>
      <c r="M152" s="8">
        <v>0.3277777777777778</v>
      </c>
      <c r="N152" s="10">
        <v>31.0</v>
      </c>
    </row>
    <row r="153">
      <c r="A153" s="3">
        <f t="shared" si="2"/>
        <v>146</v>
      </c>
      <c r="B153" s="4">
        <v>45591.0</v>
      </c>
      <c r="C153" s="3" t="s">
        <v>14</v>
      </c>
      <c r="D153" s="5" t="s">
        <v>15</v>
      </c>
      <c r="E153" s="6" t="s">
        <v>16</v>
      </c>
      <c r="F153" s="6" t="s">
        <v>17</v>
      </c>
      <c r="G153" s="6" t="s">
        <v>18</v>
      </c>
      <c r="H153" s="7" t="s">
        <v>19</v>
      </c>
      <c r="I153" s="7">
        <v>4.0</v>
      </c>
      <c r="J153" s="8">
        <v>0.12569444444444444</v>
      </c>
      <c r="K153" s="8">
        <v>0.13333333333333333</v>
      </c>
      <c r="L153" s="8">
        <v>0.2847222222222222</v>
      </c>
      <c r="M153" s="8">
        <v>0.2986111111111111</v>
      </c>
      <c r="N153" s="10">
        <v>46.0</v>
      </c>
    </row>
    <row r="154">
      <c r="A154" s="3">
        <f t="shared" si="2"/>
        <v>147</v>
      </c>
      <c r="B154" s="4">
        <v>45591.0</v>
      </c>
      <c r="C154" s="3" t="s">
        <v>14</v>
      </c>
      <c r="D154" s="5" t="s">
        <v>15</v>
      </c>
      <c r="E154" s="6" t="s">
        <v>16</v>
      </c>
      <c r="F154" s="6" t="s">
        <v>24</v>
      </c>
      <c r="G154" s="6" t="s">
        <v>18</v>
      </c>
      <c r="H154" s="7" t="s">
        <v>19</v>
      </c>
      <c r="I154" s="7">
        <v>4.0</v>
      </c>
      <c r="J154" s="8">
        <v>0.12569444444444444</v>
      </c>
      <c r="K154" s="8">
        <v>0.13472222222222222</v>
      </c>
      <c r="L154" s="8">
        <v>0.2916666666666667</v>
      </c>
      <c r="M154" s="8">
        <v>0.3055555555555556</v>
      </c>
      <c r="N154" s="10">
        <v>31.0</v>
      </c>
    </row>
    <row r="155">
      <c r="A155" s="3">
        <f t="shared" si="2"/>
        <v>148</v>
      </c>
      <c r="B155" s="4">
        <v>45591.0</v>
      </c>
      <c r="C155" s="3" t="s">
        <v>14</v>
      </c>
      <c r="D155" s="5" t="s">
        <v>15</v>
      </c>
      <c r="E155" s="6" t="s">
        <v>16</v>
      </c>
      <c r="F155" s="6" t="s">
        <v>20</v>
      </c>
      <c r="G155" s="6" t="s">
        <v>18</v>
      </c>
      <c r="H155" s="7" t="s">
        <v>19</v>
      </c>
      <c r="I155" s="7">
        <v>4.0</v>
      </c>
      <c r="J155" s="8">
        <v>0.1284722222222222</v>
      </c>
      <c r="K155" s="8">
        <v>0.1375</v>
      </c>
      <c r="L155" s="8">
        <v>0.2986111111111111</v>
      </c>
      <c r="M155" s="8">
        <v>0.30416666666666664</v>
      </c>
      <c r="N155" s="10">
        <v>44.0</v>
      </c>
    </row>
    <row r="156">
      <c r="A156" s="3">
        <f t="shared" si="2"/>
        <v>149</v>
      </c>
      <c r="B156" s="4">
        <v>45591.0</v>
      </c>
      <c r="C156" s="3" t="s">
        <v>14</v>
      </c>
      <c r="D156" s="5" t="s">
        <v>15</v>
      </c>
      <c r="E156" s="6" t="s">
        <v>16</v>
      </c>
      <c r="F156" s="6" t="s">
        <v>25</v>
      </c>
      <c r="G156" s="6" t="s">
        <v>18</v>
      </c>
      <c r="H156" s="7" t="s">
        <v>19</v>
      </c>
      <c r="I156" s="7">
        <v>4.0</v>
      </c>
      <c r="J156" s="8">
        <v>0.1284722222222222</v>
      </c>
      <c r="K156" s="8">
        <v>0.1388888888888889</v>
      </c>
      <c r="L156" s="8">
        <v>0.3055555555555556</v>
      </c>
      <c r="M156" s="8">
        <v>0.3111111111111111</v>
      </c>
      <c r="N156" s="10">
        <v>49.0</v>
      </c>
    </row>
    <row r="157">
      <c r="A157" s="3">
        <f t="shared" si="2"/>
        <v>150</v>
      </c>
      <c r="B157" s="4">
        <v>45591.0</v>
      </c>
      <c r="C157" s="3" t="s">
        <v>14</v>
      </c>
      <c r="D157" s="5" t="s">
        <v>15</v>
      </c>
      <c r="E157" s="6" t="s">
        <v>16</v>
      </c>
      <c r="F157" s="6" t="s">
        <v>23</v>
      </c>
      <c r="G157" s="6" t="s">
        <v>18</v>
      </c>
      <c r="H157" s="7" t="s">
        <v>19</v>
      </c>
      <c r="I157" s="7">
        <v>4.0</v>
      </c>
      <c r="J157" s="8">
        <v>0.13194444444444445</v>
      </c>
      <c r="K157" s="8">
        <v>0.14305555555555555</v>
      </c>
      <c r="L157" s="8">
        <v>0.2916666666666667</v>
      </c>
      <c r="M157" s="8">
        <v>0.2951388888888889</v>
      </c>
      <c r="N157" s="10">
        <v>29.0</v>
      </c>
    </row>
    <row r="158">
      <c r="A158" s="3">
        <f t="shared" si="2"/>
        <v>151</v>
      </c>
      <c r="B158" s="4">
        <v>45592.0</v>
      </c>
      <c r="C158" s="3" t="s">
        <v>14</v>
      </c>
      <c r="D158" s="5" t="s">
        <v>15</v>
      </c>
      <c r="E158" s="6" t="s">
        <v>16</v>
      </c>
      <c r="F158" s="6" t="s">
        <v>17</v>
      </c>
      <c r="G158" s="6" t="s">
        <v>18</v>
      </c>
      <c r="H158" s="7" t="s">
        <v>19</v>
      </c>
      <c r="I158" s="7">
        <v>4.0</v>
      </c>
      <c r="J158" s="8">
        <v>0.125</v>
      </c>
      <c r="K158" s="8">
        <v>0.1388888888888889</v>
      </c>
      <c r="L158" s="8">
        <v>0.2951388888888889</v>
      </c>
      <c r="M158" s="8">
        <v>0.2986111111111111</v>
      </c>
      <c r="N158" s="10">
        <v>46.0</v>
      </c>
    </row>
    <row r="159">
      <c r="A159" s="3">
        <f t="shared" si="2"/>
        <v>152</v>
      </c>
      <c r="B159" s="4">
        <v>45592.0</v>
      </c>
      <c r="C159" s="3" t="s">
        <v>14</v>
      </c>
      <c r="D159" s="5" t="s">
        <v>15</v>
      </c>
      <c r="E159" s="6" t="s">
        <v>16</v>
      </c>
      <c r="F159" s="6" t="s">
        <v>23</v>
      </c>
      <c r="G159" s="6" t="s">
        <v>18</v>
      </c>
      <c r="H159" s="7" t="s">
        <v>19</v>
      </c>
      <c r="I159" s="7">
        <v>4.0</v>
      </c>
      <c r="J159" s="8">
        <v>0.125</v>
      </c>
      <c r="K159" s="8">
        <v>0.1423611111111111</v>
      </c>
      <c r="L159" s="8">
        <v>0.2916666666666667</v>
      </c>
      <c r="M159" s="8">
        <v>0.29791666666666666</v>
      </c>
      <c r="N159" s="10">
        <v>35.0</v>
      </c>
    </row>
    <row r="160">
      <c r="A160" s="3">
        <f t="shared" si="2"/>
        <v>153</v>
      </c>
      <c r="B160" s="4">
        <v>45592.0</v>
      </c>
      <c r="C160" s="3" t="s">
        <v>14</v>
      </c>
      <c r="D160" s="5" t="s">
        <v>15</v>
      </c>
      <c r="E160" s="6" t="s">
        <v>16</v>
      </c>
      <c r="F160" s="6" t="s">
        <v>25</v>
      </c>
      <c r="G160" s="6" t="s">
        <v>18</v>
      </c>
      <c r="H160" s="7" t="s">
        <v>19</v>
      </c>
      <c r="I160" s="7">
        <v>4.0</v>
      </c>
      <c r="J160" s="8">
        <v>0.125</v>
      </c>
      <c r="K160" s="8">
        <v>0.1375</v>
      </c>
      <c r="L160" s="8">
        <v>0.29305555555555557</v>
      </c>
      <c r="M160" s="8">
        <v>0.2986111111111111</v>
      </c>
      <c r="N160" s="10">
        <v>49.0</v>
      </c>
    </row>
    <row r="161">
      <c r="A161" s="3">
        <f t="shared" si="2"/>
        <v>154</v>
      </c>
      <c r="B161" s="4">
        <v>45592.0</v>
      </c>
      <c r="C161" s="3" t="s">
        <v>14</v>
      </c>
      <c r="D161" s="5" t="s">
        <v>15</v>
      </c>
      <c r="E161" s="6" t="s">
        <v>16</v>
      </c>
      <c r="F161" s="6" t="s">
        <v>20</v>
      </c>
      <c r="G161" s="6" t="s">
        <v>18</v>
      </c>
      <c r="H161" s="7" t="s">
        <v>19</v>
      </c>
      <c r="I161" s="7">
        <v>4.0</v>
      </c>
      <c r="J161" s="8">
        <v>0.125</v>
      </c>
      <c r="K161" s="8">
        <v>0.13958333333333334</v>
      </c>
      <c r="L161" s="8">
        <v>0.2986111111111111</v>
      </c>
      <c r="M161" s="8">
        <v>0.30277777777777776</v>
      </c>
      <c r="N161" s="10">
        <v>44.0</v>
      </c>
    </row>
    <row r="162">
      <c r="A162" s="3">
        <f t="shared" si="2"/>
        <v>155</v>
      </c>
      <c r="B162" s="4">
        <v>45592.0</v>
      </c>
      <c r="C162" s="3" t="s">
        <v>14</v>
      </c>
      <c r="D162" s="5" t="s">
        <v>15</v>
      </c>
      <c r="E162" s="6" t="s">
        <v>16</v>
      </c>
      <c r="F162" s="6" t="s">
        <v>21</v>
      </c>
      <c r="G162" s="6" t="s">
        <v>18</v>
      </c>
      <c r="H162" s="7" t="s">
        <v>19</v>
      </c>
      <c r="I162" s="7">
        <v>4.0</v>
      </c>
      <c r="J162" s="8">
        <v>0.125</v>
      </c>
      <c r="K162" s="8">
        <v>0.1423611111111111</v>
      </c>
      <c r="L162" s="8">
        <v>0.29930555555555555</v>
      </c>
      <c r="M162" s="8">
        <v>0.3055555555555556</v>
      </c>
      <c r="N162" s="10">
        <v>31.0</v>
      </c>
    </row>
    <row r="163">
      <c r="A163" s="3">
        <f t="shared" si="2"/>
        <v>156</v>
      </c>
      <c r="B163" s="4">
        <v>45592.0</v>
      </c>
      <c r="C163" s="3" t="s">
        <v>14</v>
      </c>
      <c r="D163" s="5" t="s">
        <v>15</v>
      </c>
      <c r="E163" s="6" t="s">
        <v>16</v>
      </c>
      <c r="F163" s="6" t="s">
        <v>24</v>
      </c>
      <c r="G163" s="6" t="s">
        <v>18</v>
      </c>
      <c r="H163" s="7" t="s">
        <v>19</v>
      </c>
      <c r="I163" s="7">
        <v>4.0</v>
      </c>
      <c r="J163" s="8">
        <v>0.13680555555555557</v>
      </c>
      <c r="K163" s="8">
        <v>0.14305555555555555</v>
      </c>
      <c r="L163" s="8">
        <v>0.29791666666666666</v>
      </c>
      <c r="M163" s="8">
        <v>0.3055555555555556</v>
      </c>
      <c r="N163" s="10">
        <v>31.0</v>
      </c>
    </row>
    <row r="164">
      <c r="A164" s="3">
        <f t="shared" si="2"/>
        <v>157</v>
      </c>
      <c r="B164" s="4">
        <v>45593.0</v>
      </c>
      <c r="C164" s="3" t="s">
        <v>14</v>
      </c>
      <c r="D164" s="5" t="s">
        <v>15</v>
      </c>
      <c r="E164" s="6" t="s">
        <v>16</v>
      </c>
      <c r="F164" s="6" t="s">
        <v>17</v>
      </c>
      <c r="G164" s="6" t="s">
        <v>18</v>
      </c>
      <c r="H164" s="7" t="s">
        <v>19</v>
      </c>
      <c r="I164" s="7">
        <v>4.0</v>
      </c>
      <c r="J164" s="8">
        <v>0.125</v>
      </c>
      <c r="K164" s="8">
        <v>0.13125</v>
      </c>
      <c r="L164" s="8">
        <v>0.2916666666666667</v>
      </c>
      <c r="M164" s="8">
        <v>0.2951388888888889</v>
      </c>
      <c r="N164" s="10">
        <v>46.0</v>
      </c>
    </row>
    <row r="165">
      <c r="A165" s="3">
        <f t="shared" si="2"/>
        <v>158</v>
      </c>
      <c r="B165" s="4">
        <v>45593.0</v>
      </c>
      <c r="C165" s="3" t="s">
        <v>14</v>
      </c>
      <c r="D165" s="5" t="s">
        <v>15</v>
      </c>
      <c r="E165" s="6" t="s">
        <v>16</v>
      </c>
      <c r="F165" s="6" t="s">
        <v>20</v>
      </c>
      <c r="G165" s="6" t="s">
        <v>18</v>
      </c>
      <c r="H165" s="7" t="s">
        <v>19</v>
      </c>
      <c r="I165" s="7">
        <v>4.0</v>
      </c>
      <c r="J165" s="8">
        <v>0.125</v>
      </c>
      <c r="K165" s="8">
        <v>0.13541666666666666</v>
      </c>
      <c r="L165" s="8">
        <v>0.3020833333333333</v>
      </c>
      <c r="M165" s="8">
        <v>0.3055555555555556</v>
      </c>
      <c r="N165" s="10">
        <v>45.0</v>
      </c>
    </row>
    <row r="166">
      <c r="A166" s="3">
        <f t="shared" si="2"/>
        <v>159</v>
      </c>
      <c r="B166" s="4">
        <v>45593.0</v>
      </c>
      <c r="C166" s="3" t="s">
        <v>14</v>
      </c>
      <c r="D166" s="5" t="s">
        <v>15</v>
      </c>
      <c r="E166" s="6" t="s">
        <v>16</v>
      </c>
      <c r="F166" s="6" t="s">
        <v>21</v>
      </c>
      <c r="G166" s="6" t="s">
        <v>18</v>
      </c>
      <c r="H166" s="7" t="s">
        <v>19</v>
      </c>
      <c r="I166" s="7">
        <v>4.0</v>
      </c>
      <c r="J166" s="8">
        <v>0.125</v>
      </c>
      <c r="K166" s="8">
        <v>0.1388888888888889</v>
      </c>
      <c r="L166" s="8">
        <v>0.3055555555555556</v>
      </c>
      <c r="M166" s="8">
        <v>0.30833333333333335</v>
      </c>
      <c r="N166" s="10">
        <v>31.0</v>
      </c>
    </row>
    <row r="167">
      <c r="A167" s="3">
        <f t="shared" si="2"/>
        <v>160</v>
      </c>
      <c r="B167" s="4">
        <v>45593.0</v>
      </c>
      <c r="C167" s="3" t="s">
        <v>14</v>
      </c>
      <c r="D167" s="5" t="s">
        <v>15</v>
      </c>
      <c r="E167" s="6" t="s">
        <v>16</v>
      </c>
      <c r="F167" s="6" t="s">
        <v>25</v>
      </c>
      <c r="G167" s="6" t="s">
        <v>18</v>
      </c>
      <c r="H167" s="7" t="s">
        <v>19</v>
      </c>
      <c r="I167" s="7">
        <v>4.0</v>
      </c>
      <c r="J167" s="8">
        <v>0.12569444444444444</v>
      </c>
      <c r="K167" s="8">
        <v>0.14027777777777778</v>
      </c>
      <c r="L167" s="8">
        <v>0.2986111111111111</v>
      </c>
      <c r="M167" s="8">
        <v>0.3020833333333333</v>
      </c>
      <c r="N167" s="10">
        <v>51.0</v>
      </c>
    </row>
    <row r="168">
      <c r="A168" s="3">
        <f t="shared" si="2"/>
        <v>161</v>
      </c>
      <c r="B168" s="4">
        <v>45593.0</v>
      </c>
      <c r="C168" s="3" t="s">
        <v>14</v>
      </c>
      <c r="D168" s="5" t="s">
        <v>15</v>
      </c>
      <c r="E168" s="6" t="s">
        <v>16</v>
      </c>
      <c r="F168" s="6" t="s">
        <v>23</v>
      </c>
      <c r="G168" s="6" t="s">
        <v>18</v>
      </c>
      <c r="H168" s="7" t="s">
        <v>19</v>
      </c>
      <c r="I168" s="7">
        <v>4.0</v>
      </c>
      <c r="J168" s="8">
        <v>0.12638888888888888</v>
      </c>
      <c r="K168" s="8">
        <v>0.1375</v>
      </c>
      <c r="L168" s="8">
        <v>0.2951388888888889</v>
      </c>
      <c r="M168" s="8">
        <v>0.2986111111111111</v>
      </c>
      <c r="N168" s="10">
        <v>36.0</v>
      </c>
    </row>
    <row r="169">
      <c r="A169" s="3">
        <f t="shared" si="2"/>
        <v>162</v>
      </c>
      <c r="B169" s="4">
        <v>45593.0</v>
      </c>
      <c r="C169" s="3" t="s">
        <v>14</v>
      </c>
      <c r="D169" s="5" t="s">
        <v>15</v>
      </c>
      <c r="E169" s="6" t="s">
        <v>16</v>
      </c>
      <c r="F169" s="6" t="s">
        <v>26</v>
      </c>
      <c r="G169" s="6" t="s">
        <v>18</v>
      </c>
      <c r="H169" s="7" t="s">
        <v>19</v>
      </c>
      <c r="I169" s="7">
        <v>4.0</v>
      </c>
      <c r="J169" s="8">
        <v>0.14791666666666667</v>
      </c>
      <c r="K169" s="8">
        <v>0.15625</v>
      </c>
      <c r="L169" s="8">
        <v>0.3194444444444444</v>
      </c>
      <c r="M169" s="8">
        <v>0.325</v>
      </c>
      <c r="N169" s="10">
        <v>31.0</v>
      </c>
    </row>
    <row r="170">
      <c r="A170" s="3">
        <f t="shared" si="2"/>
        <v>163</v>
      </c>
      <c r="B170" s="4">
        <v>45594.0</v>
      </c>
      <c r="C170" s="3" t="s">
        <v>14</v>
      </c>
      <c r="D170" s="5" t="s">
        <v>15</v>
      </c>
      <c r="E170" s="6" t="s">
        <v>16</v>
      </c>
      <c r="F170" s="6" t="s">
        <v>17</v>
      </c>
      <c r="G170" s="6" t="s">
        <v>18</v>
      </c>
      <c r="H170" s="7" t="s">
        <v>19</v>
      </c>
      <c r="I170" s="7">
        <v>4.0</v>
      </c>
      <c r="J170" s="8">
        <v>0.125</v>
      </c>
      <c r="K170" s="8">
        <v>0.13194444444444445</v>
      </c>
      <c r="L170" s="8">
        <v>0.28055555555555556</v>
      </c>
      <c r="M170" s="8">
        <v>0.2916666666666667</v>
      </c>
      <c r="N170" s="10">
        <v>46.0</v>
      </c>
    </row>
    <row r="171">
      <c r="A171" s="3">
        <f t="shared" si="2"/>
        <v>164</v>
      </c>
      <c r="B171" s="4">
        <v>45594.0</v>
      </c>
      <c r="C171" s="3" t="s">
        <v>14</v>
      </c>
      <c r="D171" s="5" t="s">
        <v>15</v>
      </c>
      <c r="E171" s="6" t="s">
        <v>16</v>
      </c>
      <c r="F171" s="6" t="s">
        <v>20</v>
      </c>
      <c r="G171" s="6" t="s">
        <v>18</v>
      </c>
      <c r="H171" s="7" t="s">
        <v>19</v>
      </c>
      <c r="I171" s="7">
        <v>4.0</v>
      </c>
      <c r="J171" s="8">
        <v>0.12569444444444444</v>
      </c>
      <c r="K171" s="8">
        <v>0.13333333333333333</v>
      </c>
      <c r="L171" s="8">
        <v>0.2916666666666667</v>
      </c>
      <c r="M171" s="8">
        <v>0.3020833333333333</v>
      </c>
      <c r="N171" s="10">
        <v>44.0</v>
      </c>
    </row>
    <row r="172">
      <c r="A172" s="3">
        <f t="shared" si="2"/>
        <v>165</v>
      </c>
      <c r="B172" s="4">
        <v>45594.0</v>
      </c>
      <c r="C172" s="3" t="s">
        <v>14</v>
      </c>
      <c r="D172" s="5" t="s">
        <v>15</v>
      </c>
      <c r="E172" s="6" t="s">
        <v>16</v>
      </c>
      <c r="F172" s="6" t="s">
        <v>24</v>
      </c>
      <c r="G172" s="6" t="s">
        <v>18</v>
      </c>
      <c r="H172" s="7" t="s">
        <v>19</v>
      </c>
      <c r="I172" s="7">
        <v>4.0</v>
      </c>
      <c r="J172" s="8">
        <v>0.12777777777777777</v>
      </c>
      <c r="K172" s="8">
        <v>0.13472222222222222</v>
      </c>
      <c r="L172" s="8">
        <v>0.2986111111111111</v>
      </c>
      <c r="M172" s="8">
        <v>0.3055555555555556</v>
      </c>
      <c r="N172" s="10">
        <v>31.0</v>
      </c>
    </row>
    <row r="173">
      <c r="A173" s="3">
        <f t="shared" si="2"/>
        <v>166</v>
      </c>
      <c r="B173" s="4">
        <v>45594.0</v>
      </c>
      <c r="C173" s="3" t="s">
        <v>14</v>
      </c>
      <c r="D173" s="5" t="s">
        <v>15</v>
      </c>
      <c r="E173" s="6" t="s">
        <v>16</v>
      </c>
      <c r="F173" s="6" t="s">
        <v>23</v>
      </c>
      <c r="G173" s="6" t="s">
        <v>18</v>
      </c>
      <c r="H173" s="7" t="s">
        <v>19</v>
      </c>
      <c r="I173" s="7">
        <v>4.0</v>
      </c>
      <c r="J173" s="8">
        <v>0.12777777777777777</v>
      </c>
      <c r="K173" s="8">
        <v>0.13541666666666666</v>
      </c>
      <c r="L173" s="8">
        <v>0.3055555555555556</v>
      </c>
      <c r="M173" s="8">
        <v>0.3090277777777778</v>
      </c>
      <c r="N173" s="10">
        <v>36.0</v>
      </c>
    </row>
    <row r="174">
      <c r="A174" s="3">
        <f t="shared" si="2"/>
        <v>167</v>
      </c>
      <c r="B174" s="4">
        <v>45594.0</v>
      </c>
      <c r="C174" s="3" t="s">
        <v>14</v>
      </c>
      <c r="D174" s="5" t="s">
        <v>15</v>
      </c>
      <c r="E174" s="6" t="s">
        <v>16</v>
      </c>
      <c r="F174" s="6" t="s">
        <v>25</v>
      </c>
      <c r="G174" s="6" t="s">
        <v>18</v>
      </c>
      <c r="H174" s="7" t="s">
        <v>19</v>
      </c>
      <c r="I174" s="7">
        <v>4.0</v>
      </c>
      <c r="J174" s="8">
        <v>0.1284722222222222</v>
      </c>
      <c r="K174" s="8">
        <v>0.13819444444444445</v>
      </c>
      <c r="L174" s="8">
        <v>0.3125</v>
      </c>
      <c r="M174" s="8">
        <v>0.3159722222222222</v>
      </c>
      <c r="N174" s="10">
        <v>49.0</v>
      </c>
    </row>
    <row r="175">
      <c r="A175" s="3">
        <f t="shared" si="2"/>
        <v>168</v>
      </c>
      <c r="B175" s="4">
        <v>45594.0</v>
      </c>
      <c r="C175" s="3" t="s">
        <v>14</v>
      </c>
      <c r="D175" s="5" t="s">
        <v>15</v>
      </c>
      <c r="E175" s="6" t="s">
        <v>16</v>
      </c>
      <c r="F175" s="6" t="s">
        <v>21</v>
      </c>
      <c r="G175" s="6" t="s">
        <v>18</v>
      </c>
      <c r="H175" s="7" t="s">
        <v>19</v>
      </c>
      <c r="I175" s="7">
        <v>4.0</v>
      </c>
      <c r="J175" s="8">
        <v>0.1284722222222222</v>
      </c>
      <c r="K175" s="8">
        <v>0.1423611111111111</v>
      </c>
      <c r="L175" s="8">
        <v>0.3055555555555556</v>
      </c>
      <c r="M175" s="8">
        <v>0.3090277777777778</v>
      </c>
      <c r="N175" s="10">
        <v>31.0</v>
      </c>
    </row>
    <row r="176">
      <c r="A176" s="3">
        <f t="shared" si="2"/>
        <v>169</v>
      </c>
      <c r="B176" s="4">
        <v>45595.0</v>
      </c>
      <c r="C176" s="3" t="s">
        <v>14</v>
      </c>
      <c r="D176" s="5" t="s">
        <v>15</v>
      </c>
      <c r="E176" s="6" t="s">
        <v>16</v>
      </c>
      <c r="F176" s="6" t="s">
        <v>20</v>
      </c>
      <c r="G176" s="6" t="s">
        <v>18</v>
      </c>
      <c r="H176" s="7" t="s">
        <v>19</v>
      </c>
      <c r="I176" s="7">
        <v>4.0</v>
      </c>
      <c r="J176" s="8">
        <v>0.125</v>
      </c>
      <c r="K176" s="8">
        <v>0.13333333333333333</v>
      </c>
      <c r="L176" s="8">
        <v>0.30416666666666664</v>
      </c>
      <c r="M176" s="8">
        <v>0.30972222222222223</v>
      </c>
      <c r="N176" s="10">
        <v>44.0</v>
      </c>
    </row>
    <row r="177">
      <c r="A177" s="3">
        <f t="shared" si="2"/>
        <v>170</v>
      </c>
      <c r="B177" s="4">
        <v>45595.0</v>
      </c>
      <c r="C177" s="3" t="s">
        <v>14</v>
      </c>
      <c r="D177" s="5" t="s">
        <v>15</v>
      </c>
      <c r="E177" s="6" t="s">
        <v>16</v>
      </c>
      <c r="F177" s="6" t="s">
        <v>23</v>
      </c>
      <c r="G177" s="6" t="s">
        <v>18</v>
      </c>
      <c r="H177" s="7" t="s">
        <v>19</v>
      </c>
      <c r="I177" s="7">
        <v>4.0</v>
      </c>
      <c r="J177" s="8">
        <v>0.12638888888888888</v>
      </c>
      <c r="K177" s="8">
        <v>0.13541666666666666</v>
      </c>
      <c r="L177" s="8">
        <v>0.2986111111111111</v>
      </c>
      <c r="M177" s="8">
        <v>0.3055555555555556</v>
      </c>
      <c r="N177" s="10">
        <v>35.0</v>
      </c>
    </row>
    <row r="178">
      <c r="A178" s="3">
        <f t="shared" si="2"/>
        <v>171</v>
      </c>
      <c r="B178" s="4">
        <v>45595.0</v>
      </c>
      <c r="C178" s="3" t="s">
        <v>14</v>
      </c>
      <c r="D178" s="5" t="s">
        <v>15</v>
      </c>
      <c r="E178" s="6" t="s">
        <v>16</v>
      </c>
      <c r="F178" s="6" t="s">
        <v>17</v>
      </c>
      <c r="G178" s="6" t="s">
        <v>18</v>
      </c>
      <c r="H178" s="7" t="s">
        <v>19</v>
      </c>
      <c r="I178" s="7">
        <v>4.0</v>
      </c>
      <c r="J178" s="8">
        <v>0.12777777777777777</v>
      </c>
      <c r="K178" s="8">
        <v>0.1361111111111111</v>
      </c>
      <c r="L178" s="8">
        <v>0.2916666666666667</v>
      </c>
      <c r="M178" s="8">
        <v>0.2986111111111111</v>
      </c>
      <c r="N178" s="10">
        <v>46.0</v>
      </c>
    </row>
    <row r="179">
      <c r="A179" s="3">
        <f t="shared" si="2"/>
        <v>172</v>
      </c>
      <c r="B179" s="4">
        <v>45595.0</v>
      </c>
      <c r="C179" s="3" t="s">
        <v>14</v>
      </c>
      <c r="D179" s="5" t="s">
        <v>15</v>
      </c>
      <c r="E179" s="6" t="s">
        <v>16</v>
      </c>
      <c r="F179" s="6" t="s">
        <v>24</v>
      </c>
      <c r="G179" s="6" t="s">
        <v>18</v>
      </c>
      <c r="H179" s="7" t="s">
        <v>19</v>
      </c>
      <c r="I179" s="7">
        <v>4.0</v>
      </c>
      <c r="J179" s="8">
        <v>0.1284722222222222</v>
      </c>
      <c r="K179" s="8">
        <v>0.13680555555555557</v>
      </c>
      <c r="L179" s="8">
        <v>0.3020833333333333</v>
      </c>
      <c r="M179" s="8">
        <v>0.30972222222222223</v>
      </c>
      <c r="N179" s="10">
        <v>31.0</v>
      </c>
    </row>
    <row r="180">
      <c r="A180" s="3">
        <f t="shared" si="2"/>
        <v>173</v>
      </c>
      <c r="B180" s="4">
        <v>45595.0</v>
      </c>
      <c r="C180" s="3" t="s">
        <v>14</v>
      </c>
      <c r="D180" s="5" t="s">
        <v>15</v>
      </c>
      <c r="E180" s="6" t="s">
        <v>16</v>
      </c>
      <c r="F180" s="6" t="s">
        <v>25</v>
      </c>
      <c r="G180" s="6" t="s">
        <v>18</v>
      </c>
      <c r="H180" s="7" t="s">
        <v>19</v>
      </c>
      <c r="I180" s="7">
        <v>4.0</v>
      </c>
      <c r="J180" s="8">
        <v>0.1284722222222222</v>
      </c>
      <c r="K180" s="8">
        <v>0.1388888888888889</v>
      </c>
      <c r="L180" s="8">
        <v>0.2986111111111111</v>
      </c>
      <c r="M180" s="8">
        <v>0.30416666666666664</v>
      </c>
      <c r="N180" s="10">
        <v>52.0</v>
      </c>
    </row>
    <row r="181">
      <c r="A181" s="3">
        <f t="shared" si="2"/>
        <v>174</v>
      </c>
      <c r="B181" s="4">
        <v>45595.0</v>
      </c>
      <c r="C181" s="3" t="s">
        <v>14</v>
      </c>
      <c r="D181" s="5" t="s">
        <v>15</v>
      </c>
      <c r="E181" s="6" t="s">
        <v>16</v>
      </c>
      <c r="F181" s="6" t="s">
        <v>21</v>
      </c>
      <c r="G181" s="6" t="s">
        <v>18</v>
      </c>
      <c r="H181" s="7" t="s">
        <v>19</v>
      </c>
      <c r="I181" s="7">
        <v>4.0</v>
      </c>
      <c r="J181" s="8">
        <v>0.13194444444444445</v>
      </c>
      <c r="K181" s="8">
        <v>0.14305555555555555</v>
      </c>
      <c r="L181" s="8">
        <v>0.3055555555555556</v>
      </c>
      <c r="M181" s="8">
        <v>0.3090277777777778</v>
      </c>
      <c r="N181" s="10">
        <v>31.0</v>
      </c>
    </row>
    <row r="182">
      <c r="A182" s="3">
        <f t="shared" si="2"/>
        <v>175</v>
      </c>
      <c r="B182" s="4">
        <v>45596.0</v>
      </c>
      <c r="C182" s="3" t="s">
        <v>14</v>
      </c>
      <c r="D182" s="5" t="s">
        <v>15</v>
      </c>
      <c r="E182" s="6" t="s">
        <v>16</v>
      </c>
      <c r="F182" s="6" t="s">
        <v>20</v>
      </c>
      <c r="G182" s="6" t="s">
        <v>18</v>
      </c>
      <c r="H182" s="7" t="s">
        <v>19</v>
      </c>
      <c r="I182" s="7">
        <v>4.0</v>
      </c>
      <c r="J182" s="8">
        <v>0.125</v>
      </c>
      <c r="K182" s="8">
        <v>0.13402777777777777</v>
      </c>
      <c r="L182" s="8">
        <v>0.2986111111111111</v>
      </c>
      <c r="M182" s="8">
        <v>0.3020833333333333</v>
      </c>
      <c r="N182" s="10">
        <v>44.0</v>
      </c>
    </row>
    <row r="183">
      <c r="A183" s="3">
        <f t="shared" si="2"/>
        <v>176</v>
      </c>
      <c r="B183" s="4">
        <v>45596.0</v>
      </c>
      <c r="C183" s="3" t="s">
        <v>14</v>
      </c>
      <c r="D183" s="5" t="s">
        <v>15</v>
      </c>
      <c r="E183" s="6" t="s">
        <v>16</v>
      </c>
      <c r="F183" s="6" t="s">
        <v>17</v>
      </c>
      <c r="G183" s="6" t="s">
        <v>18</v>
      </c>
      <c r="H183" s="7" t="s">
        <v>19</v>
      </c>
      <c r="I183" s="7">
        <v>4.0</v>
      </c>
      <c r="J183" s="8">
        <v>0.125</v>
      </c>
      <c r="K183" s="8">
        <v>0.13541666666666666</v>
      </c>
      <c r="L183" s="8">
        <v>0.2916666666666667</v>
      </c>
      <c r="M183" s="8">
        <v>0.2986111111111111</v>
      </c>
      <c r="N183" s="10">
        <v>47.0</v>
      </c>
    </row>
    <row r="184">
      <c r="A184" s="3">
        <f t="shared" si="2"/>
        <v>177</v>
      </c>
      <c r="B184" s="4">
        <v>45596.0</v>
      </c>
      <c r="C184" s="3" t="s">
        <v>14</v>
      </c>
      <c r="D184" s="5" t="s">
        <v>15</v>
      </c>
      <c r="E184" s="6" t="s">
        <v>16</v>
      </c>
      <c r="F184" s="6" t="s">
        <v>25</v>
      </c>
      <c r="G184" s="6" t="s">
        <v>18</v>
      </c>
      <c r="H184" s="7" t="s">
        <v>19</v>
      </c>
      <c r="I184" s="7">
        <v>4.0</v>
      </c>
      <c r="J184" s="8">
        <v>0.125</v>
      </c>
      <c r="K184" s="8">
        <v>0.13680555555555557</v>
      </c>
      <c r="L184" s="8">
        <v>0.3104166666666667</v>
      </c>
      <c r="M184" s="8">
        <v>0.3138888888888889</v>
      </c>
      <c r="N184" s="10">
        <v>50.0</v>
      </c>
    </row>
    <row r="185">
      <c r="A185" s="3">
        <f t="shared" si="2"/>
        <v>178</v>
      </c>
      <c r="B185" s="4">
        <v>45596.0</v>
      </c>
      <c r="C185" s="3" t="s">
        <v>14</v>
      </c>
      <c r="D185" s="5" t="s">
        <v>15</v>
      </c>
      <c r="E185" s="6" t="s">
        <v>16</v>
      </c>
      <c r="F185" s="6" t="s">
        <v>24</v>
      </c>
      <c r="G185" s="6" t="s">
        <v>18</v>
      </c>
      <c r="H185" s="7" t="s">
        <v>19</v>
      </c>
      <c r="I185" s="7">
        <v>4.0</v>
      </c>
      <c r="J185" s="8">
        <v>0.1284722222222222</v>
      </c>
      <c r="K185" s="8">
        <v>0.13819444444444445</v>
      </c>
      <c r="L185" s="8">
        <v>0.3</v>
      </c>
      <c r="M185" s="8">
        <v>0.30416666666666664</v>
      </c>
      <c r="N185" s="10">
        <v>31.0</v>
      </c>
    </row>
    <row r="186">
      <c r="A186" s="3">
        <f t="shared" si="2"/>
        <v>179</v>
      </c>
      <c r="B186" s="4">
        <v>45596.0</v>
      </c>
      <c r="C186" s="3" t="s">
        <v>14</v>
      </c>
      <c r="D186" s="5" t="s">
        <v>15</v>
      </c>
      <c r="E186" s="6" t="s">
        <v>16</v>
      </c>
      <c r="F186" s="6" t="s">
        <v>23</v>
      </c>
      <c r="G186" s="6" t="s">
        <v>18</v>
      </c>
      <c r="H186" s="7" t="s">
        <v>19</v>
      </c>
      <c r="I186" s="7">
        <v>4.0</v>
      </c>
      <c r="J186" s="8">
        <v>0.12916666666666668</v>
      </c>
      <c r="K186" s="8">
        <v>0.1388888888888889</v>
      </c>
      <c r="L186" s="8">
        <v>0.2916666666666667</v>
      </c>
      <c r="M186" s="8">
        <v>0.2951388888888889</v>
      </c>
      <c r="N186" s="10">
        <v>35.0</v>
      </c>
    </row>
    <row r="187">
      <c r="A187" s="3">
        <f t="shared" si="2"/>
        <v>180</v>
      </c>
      <c r="B187" s="4">
        <v>45596.0</v>
      </c>
      <c r="C187" s="3" t="s">
        <v>14</v>
      </c>
      <c r="D187" s="5" t="s">
        <v>15</v>
      </c>
      <c r="E187" s="6" t="s">
        <v>16</v>
      </c>
      <c r="F187" s="6" t="s">
        <v>21</v>
      </c>
      <c r="G187" s="6" t="s">
        <v>18</v>
      </c>
      <c r="H187" s="7" t="s">
        <v>19</v>
      </c>
      <c r="I187" s="7">
        <v>4.0</v>
      </c>
      <c r="J187" s="8">
        <v>0.12986111111111112</v>
      </c>
      <c r="K187" s="8">
        <v>0.14027777777777778</v>
      </c>
      <c r="L187" s="8">
        <v>0.3194444444444444</v>
      </c>
      <c r="M187" s="8">
        <v>0.3229166666666667</v>
      </c>
      <c r="N187" s="10">
        <v>31.0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9.63"/>
    <col customWidth="1" min="6" max="6" width="16.38"/>
    <col customWidth="1" min="7" max="7" width="14.25"/>
    <col customWidth="1" min="10" max="10" width="26.25"/>
    <col customWidth="1" min="11" max="11" width="27.38"/>
    <col customWidth="1" min="12" max="12" width="25.25"/>
    <col customWidth="1" min="13" max="13" width="26.25"/>
    <col customWidth="1" min="14" max="14" width="12.75"/>
    <col customWidth="1" min="15" max="15" width="9.25"/>
    <col customWidth="1" min="16" max="16" width="15.38"/>
    <col customWidth="1" min="17" max="17" width="10.0"/>
    <col customWidth="1" min="18" max="19" width="10.88"/>
    <col customWidth="1" min="22" max="22" width="9.13"/>
    <col customWidth="1" min="24" max="24" width="12.75"/>
  </cols>
  <sheetData>
    <row r="1">
      <c r="A1" s="19" t="str">
        <f>IFERROR(__xludf.DUMMYFUNCTION("importrange(""https://docs.google.com/spreadsheets/d/1V5ZEd-OJQ0MhlEh3UBkxFIZ34SeMyfIRMJousxBGh-M/edit?gid=507610305#gid=507610305"",""Sheet1!A:N"")"),"Sr. No.")</f>
        <v>Sr. No.</v>
      </c>
      <c r="B1" s="20" t="str">
        <f>IFERROR(__xludf.DUMMYFUNCTION("""COMPUTED_VALUE"""),"DATE")</f>
        <v>DATE</v>
      </c>
      <c r="C1" s="19" t="str">
        <f>IFERROR(__xludf.DUMMYFUNCTION("""COMPUTED_VALUE"""),"HUB NAME")</f>
        <v>HUB NAME</v>
      </c>
      <c r="D1" s="21" t="str">
        <f>IFERROR(__xludf.DUMMYFUNCTION("""COMPUTED_VALUE"""),"HUB CODE
(FCPL)")</f>
        <v>HUB CODE
(FCPL)</v>
      </c>
      <c r="E1" s="19" t="str">
        <f>IFERROR(__xludf.DUMMYFUNCTION("""COMPUTED_VALUE"""),"VENDOR NAME")</f>
        <v>VENDOR NAME</v>
      </c>
      <c r="F1" s="19" t="str">
        <f>IFERROR(__xludf.DUMMYFUNCTION("""COMPUTED_VALUE"""),"VEHICLE NUMBER")</f>
        <v>VEHICLE NUMBER</v>
      </c>
      <c r="G1" s="19" t="str">
        <f>IFERROR(__xludf.DUMMYFUNCTION("""COMPUTED_VALUE"""),"VEHICLE TYPE")</f>
        <v>VEHICLE TYPE</v>
      </c>
      <c r="H1" s="19" t="str">
        <f>IFERROR(__xludf.DUMMYFUNCTION("""COMPUTED_VALUE"""),"FUEL TYPE")</f>
        <v>FUEL TYPE</v>
      </c>
      <c r="I1" s="19" t="str">
        <f>IFERROR(__xludf.DUMMYFUNCTION("""COMPUTED_VALUE"""),"SHIFT TYPE")</f>
        <v>SHIFT TYPE</v>
      </c>
      <c r="J1" s="22" t="str">
        <f>IFERROR(__xludf.DUMMYFUNCTION("""COMPUTED_VALUE"""),"BEFORE DELIVERY IN TIME")</f>
        <v>BEFORE DELIVERY IN TIME</v>
      </c>
      <c r="K1" s="22" t="str">
        <f>IFERROR(__xludf.DUMMYFUNCTION("""COMPUTED_VALUE"""),"BEFORE DELIVERY OUT TIME")</f>
        <v>BEFORE DELIVERY OUT TIME</v>
      </c>
      <c r="L1" s="22" t="str">
        <f>IFERROR(__xludf.DUMMYFUNCTION("""COMPUTED_VALUE"""),"AFTER DELIVERY IN TIME")</f>
        <v>AFTER DELIVERY IN TIME</v>
      </c>
      <c r="M1" s="22" t="str">
        <f>IFERROR(__xludf.DUMMYFUNCTION("""COMPUTED_VALUE"""),"AFTER DELIVERY OUT TIME")</f>
        <v>AFTER DELIVERY OUT TIME</v>
      </c>
      <c r="N1" s="23" t="str">
        <f>IFERROR(__xludf.DUMMYFUNCTION("""COMPUTED_VALUE"""),"TOTAL READING")</f>
        <v>TOTAL READING</v>
      </c>
      <c r="O1" s="23" t="s">
        <v>27</v>
      </c>
      <c r="P1" s="24" t="s">
        <v>28</v>
      </c>
      <c r="Q1" s="25" t="s">
        <v>29</v>
      </c>
      <c r="R1" s="25" t="s">
        <v>30</v>
      </c>
      <c r="S1" s="26" t="s">
        <v>31</v>
      </c>
      <c r="T1" s="26" t="s">
        <v>32</v>
      </c>
      <c r="U1" s="26" t="s">
        <v>33</v>
      </c>
      <c r="V1" s="26" t="s">
        <v>34</v>
      </c>
      <c r="W1" s="26" t="s">
        <v>35</v>
      </c>
      <c r="X1" s="26" t="s">
        <v>36</v>
      </c>
    </row>
    <row r="2">
      <c r="A2" s="3">
        <f>IFERROR(__xludf.DUMMYFUNCTION("""COMPUTED_VALUE"""),1.0)</f>
        <v>1</v>
      </c>
      <c r="B2" s="4">
        <f>IFERROR(__xludf.DUMMYFUNCTION("""COMPUTED_VALUE"""),45566.0)</f>
        <v>45566</v>
      </c>
      <c r="C2" s="3" t="str">
        <f>IFERROR(__xludf.DUMMYFUNCTION("""COMPUTED_VALUE"""),"INDORE")</f>
        <v>INDORE</v>
      </c>
      <c r="D2" s="5" t="str">
        <f>IFERROR(__xludf.DUMMYFUNCTION("""COMPUTED_VALUE"""),"SLK8")</f>
        <v>SLK8</v>
      </c>
      <c r="E2" s="6" t="str">
        <f>IFERROR(__xludf.DUMMYFUNCTION("""COMPUTED_VALUE"""),"ALPHABETZ SERVICES")</f>
        <v>ALPHABETZ SERVICES</v>
      </c>
      <c r="F2" s="6" t="str">
        <f>IFERROR(__xludf.DUMMYFUNCTION("""COMPUTED_VALUE"""),"MP09LR7355")</f>
        <v>MP09LR7355</v>
      </c>
      <c r="G2" s="6" t="str">
        <f>IFERROR(__xludf.DUMMYFUNCTION("""COMPUTED_VALUE"""),"ACE")</f>
        <v>ACE</v>
      </c>
      <c r="H2" s="6" t="str">
        <f>IFERROR(__xludf.DUMMYFUNCTION("""COMPUTED_VALUE"""),"DIESEL")</f>
        <v>DIESEL</v>
      </c>
      <c r="I2" s="6">
        <f>IFERROR(__xludf.DUMMYFUNCTION("""COMPUTED_VALUE"""),4.0)</f>
        <v>4</v>
      </c>
      <c r="J2" s="8">
        <f>IFERROR(__xludf.DUMMYFUNCTION("""COMPUTED_VALUE"""),0.12569444444444444)</f>
        <v>0.1256944444</v>
      </c>
      <c r="K2" s="8">
        <f>IFERROR(__xludf.DUMMYFUNCTION("""COMPUTED_VALUE"""),0.13333333333333333)</f>
        <v>0.1333333333</v>
      </c>
      <c r="L2" s="8">
        <f>IFERROR(__xludf.DUMMYFUNCTION("""COMPUTED_VALUE"""),0.3090277777777778)</f>
        <v>0.3090277778</v>
      </c>
      <c r="M2" s="8">
        <f>IFERROR(__xludf.DUMMYFUNCTION("""COMPUTED_VALUE"""),0.3125)</f>
        <v>0.3125</v>
      </c>
      <c r="N2" s="10">
        <f>IFERROR(__xludf.DUMMYFUNCTION("""COMPUTED_VALUE"""),48.0)</f>
        <v>48</v>
      </c>
      <c r="O2" s="27" t="str">
        <f t="shared" ref="O2:O187" si="1">CONCATENATE(lower(C2),lower(G2),I2)</f>
        <v>indoreace4</v>
      </c>
      <c r="P2" s="27">
        <f>vlookup(O2,'Terms and condition'!$F:$H,3,0)/day(eomonth(B2,0))</f>
        <v>806.4516129</v>
      </c>
      <c r="Q2" s="28">
        <f>countif(F:F,F2)</f>
        <v>30</v>
      </c>
      <c r="R2" s="27">
        <f t="shared" ref="R2:R187" si="2">sumif(F:F,F2,N:N)</f>
        <v>1436</v>
      </c>
      <c r="S2" s="27">
        <f t="shared" ref="S2:S187" si="3">if(G2="ace", if(R2&gt;1000,(R2-1000)/Q2,0)*8,10*if(R2&gt;1000,(R2-1000)/Q2,0))</f>
        <v>116.2666667</v>
      </c>
      <c r="T2" s="27">
        <f t="shared" ref="T2:T187" si="4">if(Q2=day(eomonth(B2,0)),1000/Q2,0)</f>
        <v>0</v>
      </c>
      <c r="U2" s="28">
        <v>0.0</v>
      </c>
      <c r="V2" s="27">
        <f t="shared" ref="V2:V187" si="5">if(J2&gt;time(4,0,0),150,0)</f>
        <v>0</v>
      </c>
      <c r="W2" s="29">
        <f t="shared" ref="W2:W187" si="6">if(((hour(M2)-8)+minute(M2)/60)&lt;0,0,if(((hour(M2)-8)+minute(M2)/60)&gt;0,1*150,0))</f>
        <v>0</v>
      </c>
      <c r="X2" s="30">
        <f t="shared" ref="X2:X187" si="7">(P2+S2+T2+U2+W2)-V2</f>
        <v>922.7182796</v>
      </c>
    </row>
    <row r="3">
      <c r="A3" s="3">
        <f>IFERROR(__xludf.DUMMYFUNCTION("""COMPUTED_VALUE"""),2.0)</f>
        <v>2</v>
      </c>
      <c r="B3" s="4">
        <f>IFERROR(__xludf.DUMMYFUNCTION("""COMPUTED_VALUE"""),45566.0)</f>
        <v>45566</v>
      </c>
      <c r="C3" s="3" t="str">
        <f>IFERROR(__xludf.DUMMYFUNCTION("""COMPUTED_VALUE"""),"INDORE")</f>
        <v>INDORE</v>
      </c>
      <c r="D3" s="5" t="str">
        <f>IFERROR(__xludf.DUMMYFUNCTION("""COMPUTED_VALUE"""),"SLK8")</f>
        <v>SLK8</v>
      </c>
      <c r="E3" s="6" t="str">
        <f>IFERROR(__xludf.DUMMYFUNCTION("""COMPUTED_VALUE"""),"ALPHABETZ SERVICES")</f>
        <v>ALPHABETZ SERVICES</v>
      </c>
      <c r="F3" s="6" t="str">
        <f>IFERROR(__xludf.DUMMYFUNCTION("""COMPUTED_VALUE"""),"MP54L0316")</f>
        <v>MP54L0316</v>
      </c>
      <c r="G3" s="6" t="str">
        <f>IFERROR(__xludf.DUMMYFUNCTION("""COMPUTED_VALUE"""),"ACE")</f>
        <v>ACE</v>
      </c>
      <c r="H3" s="6" t="str">
        <f>IFERROR(__xludf.DUMMYFUNCTION("""COMPUTED_VALUE"""),"DIESEL")</f>
        <v>DIESEL</v>
      </c>
      <c r="I3" s="6">
        <f>IFERROR(__xludf.DUMMYFUNCTION("""COMPUTED_VALUE"""),4.0)</f>
        <v>4</v>
      </c>
      <c r="J3" s="8">
        <f>IFERROR(__xludf.DUMMYFUNCTION("""COMPUTED_VALUE"""),0.12638888888888888)</f>
        <v>0.1263888889</v>
      </c>
      <c r="K3" s="8">
        <f>IFERROR(__xludf.DUMMYFUNCTION("""COMPUTED_VALUE"""),0.13472222222222222)</f>
        <v>0.1347222222</v>
      </c>
      <c r="L3" s="8">
        <f>IFERROR(__xludf.DUMMYFUNCTION("""COMPUTED_VALUE"""),0.3263888888888889)</f>
        <v>0.3263888889</v>
      </c>
      <c r="M3" s="8">
        <f>IFERROR(__xludf.DUMMYFUNCTION("""COMPUTED_VALUE"""),0.32916666666666666)</f>
        <v>0.3291666667</v>
      </c>
      <c r="N3" s="10">
        <f>IFERROR(__xludf.DUMMYFUNCTION("""COMPUTED_VALUE"""),46.0)</f>
        <v>46</v>
      </c>
      <c r="O3" s="27" t="str">
        <f t="shared" si="1"/>
        <v>indoreace4</v>
      </c>
      <c r="P3" s="27">
        <f>vlookup(O3,'Terms and condition'!$F:$H,3,0)/day(eomonth(B3,0))</f>
        <v>806.4516129</v>
      </c>
      <c r="Q3" s="27">
        <f t="shared" ref="Q3:Q187" si="8">countifs(F:F,F3)</f>
        <v>31</v>
      </c>
      <c r="R3" s="27">
        <f t="shared" si="2"/>
        <v>1390</v>
      </c>
      <c r="S3" s="27">
        <f t="shared" si="3"/>
        <v>100.6451613</v>
      </c>
      <c r="T3" s="27">
        <f t="shared" si="4"/>
        <v>32.25806452</v>
      </c>
      <c r="U3" s="28">
        <v>0.0</v>
      </c>
      <c r="V3" s="27">
        <f t="shared" si="5"/>
        <v>0</v>
      </c>
      <c r="W3" s="29">
        <f t="shared" si="6"/>
        <v>0</v>
      </c>
      <c r="X3" s="30">
        <f t="shared" si="7"/>
        <v>939.3548387</v>
      </c>
    </row>
    <row r="4">
      <c r="A4" s="3">
        <f>IFERROR(__xludf.DUMMYFUNCTION("""COMPUTED_VALUE"""),3.0)</f>
        <v>3</v>
      </c>
      <c r="B4" s="4">
        <f>IFERROR(__xludf.DUMMYFUNCTION("""COMPUTED_VALUE"""),45566.0)</f>
        <v>45566</v>
      </c>
      <c r="C4" s="3" t="str">
        <f>IFERROR(__xludf.DUMMYFUNCTION("""COMPUTED_VALUE"""),"INDORE")</f>
        <v>INDORE</v>
      </c>
      <c r="D4" s="5" t="str">
        <f>IFERROR(__xludf.DUMMYFUNCTION("""COMPUTED_VALUE"""),"SLK8")</f>
        <v>SLK8</v>
      </c>
      <c r="E4" s="6" t="str">
        <f>IFERROR(__xludf.DUMMYFUNCTION("""COMPUTED_VALUE"""),"ALPHABETZ SERVICES")</f>
        <v>ALPHABETZ SERVICES</v>
      </c>
      <c r="F4" s="6" t="str">
        <f>IFERROR(__xludf.DUMMYFUNCTION("""COMPUTED_VALUE"""),"MP09ZY2923")</f>
        <v>MP09ZY2923</v>
      </c>
      <c r="G4" s="6" t="str">
        <f>IFERROR(__xludf.DUMMYFUNCTION("""COMPUTED_VALUE"""),"ACE")</f>
        <v>ACE</v>
      </c>
      <c r="H4" s="6" t="str">
        <f>IFERROR(__xludf.DUMMYFUNCTION("""COMPUTED_VALUE"""),"DIESEL")</f>
        <v>DIESEL</v>
      </c>
      <c r="I4" s="6">
        <f>IFERROR(__xludf.DUMMYFUNCTION("""COMPUTED_VALUE"""),4.0)</f>
        <v>4</v>
      </c>
      <c r="J4" s="8">
        <f>IFERROR(__xludf.DUMMYFUNCTION("""COMPUTED_VALUE"""),0.1284722222222222)</f>
        <v>0.1284722222</v>
      </c>
      <c r="K4" s="8">
        <f>IFERROR(__xludf.DUMMYFUNCTION("""COMPUTED_VALUE"""),0.13680555555555557)</f>
        <v>0.1368055556</v>
      </c>
      <c r="L4" s="8">
        <f>IFERROR(__xludf.DUMMYFUNCTION("""COMPUTED_VALUE"""),0.2986111111111111)</f>
        <v>0.2986111111</v>
      </c>
      <c r="M4" s="8">
        <f>IFERROR(__xludf.DUMMYFUNCTION("""COMPUTED_VALUE"""),0.3055555555555556)</f>
        <v>0.3055555556</v>
      </c>
      <c r="N4" s="10">
        <f>IFERROR(__xludf.DUMMYFUNCTION("""COMPUTED_VALUE"""),31.0)</f>
        <v>31</v>
      </c>
      <c r="O4" s="27" t="str">
        <f t="shared" si="1"/>
        <v>indoreace4</v>
      </c>
      <c r="P4" s="27">
        <f>vlookup(O4,'Terms and condition'!$F:$H,3,0)/day(eomonth(B4,0))</f>
        <v>806.4516129</v>
      </c>
      <c r="Q4" s="27">
        <f t="shared" si="8"/>
        <v>31</v>
      </c>
      <c r="R4" s="27">
        <f t="shared" si="2"/>
        <v>988</v>
      </c>
      <c r="S4" s="27">
        <f t="shared" si="3"/>
        <v>0</v>
      </c>
      <c r="T4" s="27">
        <f t="shared" si="4"/>
        <v>32.25806452</v>
      </c>
      <c r="U4" s="28">
        <v>0.0</v>
      </c>
      <c r="V4" s="27">
        <f t="shared" si="5"/>
        <v>0</v>
      </c>
      <c r="W4" s="29">
        <f t="shared" si="6"/>
        <v>0</v>
      </c>
      <c r="X4" s="30">
        <f t="shared" si="7"/>
        <v>838.7096774</v>
      </c>
    </row>
    <row r="5">
      <c r="A5" s="3">
        <f>IFERROR(__xludf.DUMMYFUNCTION("""COMPUTED_VALUE"""),4.0)</f>
        <v>4</v>
      </c>
      <c r="B5" s="4">
        <f>IFERROR(__xludf.DUMMYFUNCTION("""COMPUTED_VALUE"""),45566.0)</f>
        <v>45566</v>
      </c>
      <c r="C5" s="3" t="str">
        <f>IFERROR(__xludf.DUMMYFUNCTION("""COMPUTED_VALUE"""),"INDORE")</f>
        <v>INDORE</v>
      </c>
      <c r="D5" s="5" t="str">
        <f>IFERROR(__xludf.DUMMYFUNCTION("""COMPUTED_VALUE"""),"SLK8")</f>
        <v>SLK8</v>
      </c>
      <c r="E5" s="6" t="str">
        <f>IFERROR(__xludf.DUMMYFUNCTION("""COMPUTED_VALUE"""),"ALPHABETZ SERVICES")</f>
        <v>ALPHABETZ SERVICES</v>
      </c>
      <c r="F5" s="6" t="str">
        <f>IFERROR(__xludf.DUMMYFUNCTION("""COMPUTED_VALUE"""),"MP09ZZ6272")</f>
        <v>MP09ZZ6272</v>
      </c>
      <c r="G5" s="6" t="str">
        <f>IFERROR(__xludf.DUMMYFUNCTION("""COMPUTED_VALUE"""),"ACE")</f>
        <v>ACE</v>
      </c>
      <c r="H5" s="6" t="str">
        <f>IFERROR(__xludf.DUMMYFUNCTION("""COMPUTED_VALUE"""),"DIESEL")</f>
        <v>DIESEL</v>
      </c>
      <c r="I5" s="6">
        <f>IFERROR(__xludf.DUMMYFUNCTION("""COMPUTED_VALUE"""),4.0)</f>
        <v>4</v>
      </c>
      <c r="J5" s="8">
        <f>IFERROR(__xludf.DUMMYFUNCTION("""COMPUTED_VALUE"""),0.13194444444444445)</f>
        <v>0.1319444444</v>
      </c>
      <c r="K5" s="8">
        <f>IFERROR(__xludf.DUMMYFUNCTION("""COMPUTED_VALUE"""),0.13819444444444445)</f>
        <v>0.1381944444</v>
      </c>
      <c r="L5" s="8">
        <f>IFERROR(__xludf.DUMMYFUNCTION("""COMPUTED_VALUE"""),0.3055555555555556)</f>
        <v>0.3055555556</v>
      </c>
      <c r="M5" s="8">
        <f>IFERROR(__xludf.DUMMYFUNCTION("""COMPUTED_VALUE"""),0.3125)</f>
        <v>0.3125</v>
      </c>
      <c r="N5" s="10">
        <f>IFERROR(__xludf.DUMMYFUNCTION("""COMPUTED_VALUE"""),45.0)</f>
        <v>45</v>
      </c>
      <c r="O5" s="27" t="str">
        <f t="shared" si="1"/>
        <v>indoreace4</v>
      </c>
      <c r="P5" s="27">
        <f>vlookup(O5,'Terms and condition'!$F:$H,3,0)/day(eomonth(B5,0))</f>
        <v>806.4516129</v>
      </c>
      <c r="Q5" s="27">
        <f t="shared" si="8"/>
        <v>21</v>
      </c>
      <c r="R5" s="27">
        <f t="shared" si="2"/>
        <v>953</v>
      </c>
      <c r="S5" s="27">
        <f t="shared" si="3"/>
        <v>0</v>
      </c>
      <c r="T5" s="27">
        <f t="shared" si="4"/>
        <v>0</v>
      </c>
      <c r="U5" s="28">
        <v>0.0</v>
      </c>
      <c r="V5" s="27">
        <f t="shared" si="5"/>
        <v>0</v>
      </c>
      <c r="W5" s="29">
        <f t="shared" si="6"/>
        <v>0</v>
      </c>
      <c r="X5" s="30">
        <f t="shared" si="7"/>
        <v>806.4516129</v>
      </c>
    </row>
    <row r="6">
      <c r="A6" s="3">
        <f>IFERROR(__xludf.DUMMYFUNCTION("""COMPUTED_VALUE"""),5.0)</f>
        <v>5</v>
      </c>
      <c r="B6" s="4">
        <f>IFERROR(__xludf.DUMMYFUNCTION("""COMPUTED_VALUE"""),45566.0)</f>
        <v>45566</v>
      </c>
      <c r="C6" s="3" t="str">
        <f>IFERROR(__xludf.DUMMYFUNCTION("""COMPUTED_VALUE"""),"INDORE")</f>
        <v>INDORE</v>
      </c>
      <c r="D6" s="5" t="str">
        <f>IFERROR(__xludf.DUMMYFUNCTION("""COMPUTED_VALUE"""),"SLK8")</f>
        <v>SLK8</v>
      </c>
      <c r="E6" s="6" t="str">
        <f>IFERROR(__xludf.DUMMYFUNCTION("""COMPUTED_VALUE"""),"ALPHABETZ SERVICES")</f>
        <v>ALPHABETZ SERVICES</v>
      </c>
      <c r="F6" s="6" t="str">
        <f>IFERROR(__xludf.DUMMYFUNCTION("""COMPUTED_VALUE"""),"MP09LP8407")</f>
        <v>MP09LP8407</v>
      </c>
      <c r="G6" s="6" t="str">
        <f>IFERROR(__xludf.DUMMYFUNCTION("""COMPUTED_VALUE"""),"ACE")</f>
        <v>ACE</v>
      </c>
      <c r="H6" s="6" t="str">
        <f>IFERROR(__xludf.DUMMYFUNCTION("""COMPUTED_VALUE"""),"DIESEL")</f>
        <v>DIESEL</v>
      </c>
      <c r="I6" s="6">
        <f>IFERROR(__xludf.DUMMYFUNCTION("""COMPUTED_VALUE"""),4.0)</f>
        <v>4</v>
      </c>
      <c r="J6" s="8">
        <f>IFERROR(__xludf.DUMMYFUNCTION("""COMPUTED_VALUE"""),0.1326388888888889)</f>
        <v>0.1326388889</v>
      </c>
      <c r="K6" s="8">
        <f>IFERROR(__xludf.DUMMYFUNCTION("""COMPUTED_VALUE"""),0.14305555555555555)</f>
        <v>0.1430555556</v>
      </c>
      <c r="L6" s="8">
        <f>IFERROR(__xludf.DUMMYFUNCTION("""COMPUTED_VALUE"""),0.3020833333333333)</f>
        <v>0.3020833333</v>
      </c>
      <c r="M6" s="8">
        <f>IFERROR(__xludf.DUMMYFUNCTION("""COMPUTED_VALUE"""),0.3090277777777778)</f>
        <v>0.3090277778</v>
      </c>
      <c r="N6" s="10">
        <f>IFERROR(__xludf.DUMMYFUNCTION("""COMPUTED_VALUE"""),35.0)</f>
        <v>35</v>
      </c>
      <c r="O6" s="27" t="str">
        <f t="shared" si="1"/>
        <v>indoreace4</v>
      </c>
      <c r="P6" s="27">
        <f>vlookup(O6,'Terms and condition'!$F:$H,3,0)/day(eomonth(B6,0))</f>
        <v>806.4516129</v>
      </c>
      <c r="Q6" s="27">
        <f t="shared" si="8"/>
        <v>31</v>
      </c>
      <c r="R6" s="27">
        <f t="shared" si="2"/>
        <v>1063</v>
      </c>
      <c r="S6" s="27">
        <f t="shared" si="3"/>
        <v>16.25806452</v>
      </c>
      <c r="T6" s="27">
        <f t="shared" si="4"/>
        <v>32.25806452</v>
      </c>
      <c r="U6" s="28">
        <v>0.0</v>
      </c>
      <c r="V6" s="27">
        <f t="shared" si="5"/>
        <v>0</v>
      </c>
      <c r="W6" s="29">
        <f t="shared" si="6"/>
        <v>0</v>
      </c>
      <c r="X6" s="30">
        <f t="shared" si="7"/>
        <v>854.9677419</v>
      </c>
    </row>
    <row r="7">
      <c r="A7" s="3">
        <f>IFERROR(__xludf.DUMMYFUNCTION("""COMPUTED_VALUE"""),6.0)</f>
        <v>6</v>
      </c>
      <c r="B7" s="4">
        <f>IFERROR(__xludf.DUMMYFUNCTION("""COMPUTED_VALUE"""),45566.0)</f>
        <v>45566</v>
      </c>
      <c r="C7" s="3" t="str">
        <f>IFERROR(__xludf.DUMMYFUNCTION("""COMPUTED_VALUE"""),"INDORE")</f>
        <v>INDORE</v>
      </c>
      <c r="D7" s="5" t="str">
        <f>IFERROR(__xludf.DUMMYFUNCTION("""COMPUTED_VALUE"""),"SLK8")</f>
        <v>SLK8</v>
      </c>
      <c r="E7" s="6" t="str">
        <f>IFERROR(__xludf.DUMMYFUNCTION("""COMPUTED_VALUE"""),"ALPHABETZ SERVICES")</f>
        <v>ALPHABETZ SERVICES</v>
      </c>
      <c r="F7" s="6" t="str">
        <f>IFERROR(__xludf.DUMMYFUNCTION("""COMPUTED_VALUE"""),"MP09ZV0375")</f>
        <v>MP09ZV0375</v>
      </c>
      <c r="G7" s="6" t="str">
        <f>IFERROR(__xludf.DUMMYFUNCTION("""COMPUTED_VALUE"""),"ACE")</f>
        <v>ACE</v>
      </c>
      <c r="H7" s="6" t="str">
        <f>IFERROR(__xludf.DUMMYFUNCTION("""COMPUTED_VALUE"""),"DIESEL")</f>
        <v>DIESEL</v>
      </c>
      <c r="I7" s="6">
        <f>IFERROR(__xludf.DUMMYFUNCTION("""COMPUTED_VALUE"""),4.0)</f>
        <v>4</v>
      </c>
      <c r="J7" s="8">
        <f>IFERROR(__xludf.DUMMYFUNCTION("""COMPUTED_VALUE"""),0.13333333333333333)</f>
        <v>0.1333333333</v>
      </c>
      <c r="K7" s="8">
        <f>IFERROR(__xludf.DUMMYFUNCTION("""COMPUTED_VALUE"""),0.14583333333333334)</f>
        <v>0.1458333333</v>
      </c>
      <c r="L7" s="8">
        <f>IFERROR(__xludf.DUMMYFUNCTION("""COMPUTED_VALUE"""),0.3055555555555556)</f>
        <v>0.3055555556</v>
      </c>
      <c r="M7" s="8">
        <f>IFERROR(__xludf.DUMMYFUNCTION("""COMPUTED_VALUE"""),0.3125)</f>
        <v>0.3125</v>
      </c>
      <c r="N7" s="10">
        <f>IFERROR(__xludf.DUMMYFUNCTION("""COMPUTED_VALUE"""),31.0)</f>
        <v>31</v>
      </c>
      <c r="O7" s="27" t="str">
        <f t="shared" si="1"/>
        <v>indoreace4</v>
      </c>
      <c r="P7" s="27">
        <f>vlookup(O7,'Terms and condition'!$F:$H,3,0)/day(eomonth(B7,0))</f>
        <v>806.4516129</v>
      </c>
      <c r="Q7" s="27">
        <f t="shared" si="8"/>
        <v>26</v>
      </c>
      <c r="R7" s="27">
        <f t="shared" si="2"/>
        <v>802</v>
      </c>
      <c r="S7" s="27">
        <f t="shared" si="3"/>
        <v>0</v>
      </c>
      <c r="T7" s="27">
        <f t="shared" si="4"/>
        <v>0</v>
      </c>
      <c r="U7" s="28">
        <v>0.0</v>
      </c>
      <c r="V7" s="27">
        <f t="shared" si="5"/>
        <v>0</v>
      </c>
      <c r="W7" s="29">
        <f t="shared" si="6"/>
        <v>0</v>
      </c>
      <c r="X7" s="30">
        <f t="shared" si="7"/>
        <v>806.4516129</v>
      </c>
    </row>
    <row r="8">
      <c r="A8" s="3">
        <f>IFERROR(__xludf.DUMMYFUNCTION("""COMPUTED_VALUE"""),1.0)</f>
        <v>1</v>
      </c>
      <c r="B8" s="4">
        <f>IFERROR(__xludf.DUMMYFUNCTION("""COMPUTED_VALUE"""),45567.0)</f>
        <v>45567</v>
      </c>
      <c r="C8" s="3" t="str">
        <f>IFERROR(__xludf.DUMMYFUNCTION("""COMPUTED_VALUE"""),"INDORE")</f>
        <v>INDORE</v>
      </c>
      <c r="D8" s="5" t="str">
        <f>IFERROR(__xludf.DUMMYFUNCTION("""COMPUTED_VALUE"""),"SLK8")</f>
        <v>SLK8</v>
      </c>
      <c r="E8" s="6" t="str">
        <f>IFERROR(__xludf.DUMMYFUNCTION("""COMPUTED_VALUE"""),"ALPHABETZ SERVICES")</f>
        <v>ALPHABETZ SERVICES</v>
      </c>
      <c r="F8" s="6" t="str">
        <f>IFERROR(__xludf.DUMMYFUNCTION("""COMPUTED_VALUE"""),"MP09LR7355")</f>
        <v>MP09LR7355</v>
      </c>
      <c r="G8" s="6" t="str">
        <f>IFERROR(__xludf.DUMMYFUNCTION("""COMPUTED_VALUE"""),"ACE")</f>
        <v>ACE</v>
      </c>
      <c r="H8" s="6" t="str">
        <f>IFERROR(__xludf.DUMMYFUNCTION("""COMPUTED_VALUE"""),"DIESEL")</f>
        <v>DIESEL</v>
      </c>
      <c r="I8" s="6">
        <f>IFERROR(__xludf.DUMMYFUNCTION("""COMPUTED_VALUE"""),4.0)</f>
        <v>4</v>
      </c>
      <c r="J8" s="8">
        <f>IFERROR(__xludf.DUMMYFUNCTION("""COMPUTED_VALUE"""),0.12569444444444444)</f>
        <v>0.1256944444</v>
      </c>
      <c r="K8" s="8">
        <f>IFERROR(__xludf.DUMMYFUNCTION("""COMPUTED_VALUE"""),0.13194444444444445)</f>
        <v>0.1319444444</v>
      </c>
      <c r="L8" s="8">
        <f>IFERROR(__xludf.DUMMYFUNCTION("""COMPUTED_VALUE"""),0.30069444444444443)</f>
        <v>0.3006944444</v>
      </c>
      <c r="M8" s="8">
        <f>IFERROR(__xludf.DUMMYFUNCTION("""COMPUTED_VALUE"""),0.30416666666666664)</f>
        <v>0.3041666667</v>
      </c>
      <c r="N8" s="10">
        <f>IFERROR(__xludf.DUMMYFUNCTION("""COMPUTED_VALUE"""),47.0)</f>
        <v>47</v>
      </c>
      <c r="O8" s="27" t="str">
        <f t="shared" si="1"/>
        <v>indoreace4</v>
      </c>
      <c r="P8" s="27">
        <f>vlookup(O8,'Terms and condition'!$F:$H,3,0)/day(eomonth(B8,0))</f>
        <v>806.4516129</v>
      </c>
      <c r="Q8" s="27">
        <f t="shared" si="8"/>
        <v>30</v>
      </c>
      <c r="R8" s="27">
        <f t="shared" si="2"/>
        <v>1436</v>
      </c>
      <c r="S8" s="27">
        <f t="shared" si="3"/>
        <v>116.2666667</v>
      </c>
      <c r="T8" s="27">
        <f t="shared" si="4"/>
        <v>0</v>
      </c>
      <c r="U8" s="28">
        <v>0.0</v>
      </c>
      <c r="V8" s="27">
        <f t="shared" si="5"/>
        <v>0</v>
      </c>
      <c r="W8" s="29">
        <f t="shared" si="6"/>
        <v>0</v>
      </c>
      <c r="X8" s="30">
        <f t="shared" si="7"/>
        <v>922.7182796</v>
      </c>
    </row>
    <row r="9">
      <c r="A9" s="3">
        <f>IFERROR(__xludf.DUMMYFUNCTION("""COMPUTED_VALUE"""),2.0)</f>
        <v>2</v>
      </c>
      <c r="B9" s="4">
        <f>IFERROR(__xludf.DUMMYFUNCTION("""COMPUTED_VALUE"""),45567.0)</f>
        <v>45567</v>
      </c>
      <c r="C9" s="3" t="str">
        <f>IFERROR(__xludf.DUMMYFUNCTION("""COMPUTED_VALUE"""),"INDORE")</f>
        <v>INDORE</v>
      </c>
      <c r="D9" s="5" t="str">
        <f>IFERROR(__xludf.DUMMYFUNCTION("""COMPUTED_VALUE"""),"SLK8")</f>
        <v>SLK8</v>
      </c>
      <c r="E9" s="6" t="str">
        <f>IFERROR(__xludf.DUMMYFUNCTION("""COMPUTED_VALUE"""),"ALPHABETZ SERVICES")</f>
        <v>ALPHABETZ SERVICES</v>
      </c>
      <c r="F9" s="6" t="str">
        <f>IFERROR(__xludf.DUMMYFUNCTION("""COMPUTED_VALUE"""),"MP04LD5601")</f>
        <v>MP04LD5601</v>
      </c>
      <c r="G9" s="6" t="str">
        <f>IFERROR(__xludf.DUMMYFUNCTION("""COMPUTED_VALUE"""),"ACE")</f>
        <v>ACE</v>
      </c>
      <c r="H9" s="6" t="str">
        <f>IFERROR(__xludf.DUMMYFUNCTION("""COMPUTED_VALUE"""),"DIESEL")</f>
        <v>DIESEL</v>
      </c>
      <c r="I9" s="6">
        <f>IFERROR(__xludf.DUMMYFUNCTION("""COMPUTED_VALUE"""),4.0)</f>
        <v>4</v>
      </c>
      <c r="J9" s="8">
        <f>IFERROR(__xludf.DUMMYFUNCTION("""COMPUTED_VALUE"""),0.12638888888888888)</f>
        <v>0.1263888889</v>
      </c>
      <c r="K9" s="8">
        <f>IFERROR(__xludf.DUMMYFUNCTION("""COMPUTED_VALUE"""),0.13333333333333333)</f>
        <v>0.1333333333</v>
      </c>
      <c r="L9" s="8">
        <f>IFERROR(__xludf.DUMMYFUNCTION("""COMPUTED_VALUE"""),0.2986111111111111)</f>
        <v>0.2986111111</v>
      </c>
      <c r="M9" s="8">
        <f>IFERROR(__xludf.DUMMYFUNCTION("""COMPUTED_VALUE"""),0.3020833333333333)</f>
        <v>0.3020833333</v>
      </c>
      <c r="N9" s="10">
        <f>IFERROR(__xludf.DUMMYFUNCTION("""COMPUTED_VALUE"""),49.0)</f>
        <v>49</v>
      </c>
      <c r="O9" s="27" t="str">
        <f t="shared" si="1"/>
        <v>indoreace4</v>
      </c>
      <c r="P9" s="27">
        <f>vlookup(O9,'Terms and condition'!$F:$H,3,0)/day(eomonth(B9,0))</f>
        <v>806.4516129</v>
      </c>
      <c r="Q9" s="27">
        <f t="shared" si="8"/>
        <v>12</v>
      </c>
      <c r="R9" s="27">
        <f t="shared" si="2"/>
        <v>580</v>
      </c>
      <c r="S9" s="27">
        <f t="shared" si="3"/>
        <v>0</v>
      </c>
      <c r="T9" s="27">
        <f t="shared" si="4"/>
        <v>0</v>
      </c>
      <c r="U9" s="28">
        <v>0.0</v>
      </c>
      <c r="V9" s="27">
        <f t="shared" si="5"/>
        <v>0</v>
      </c>
      <c r="W9" s="29">
        <f t="shared" si="6"/>
        <v>0</v>
      </c>
      <c r="X9" s="30">
        <f t="shared" si="7"/>
        <v>806.4516129</v>
      </c>
    </row>
    <row r="10">
      <c r="A10" s="3">
        <f>IFERROR(__xludf.DUMMYFUNCTION("""COMPUTED_VALUE"""),3.0)</f>
        <v>3</v>
      </c>
      <c r="B10" s="4">
        <f>IFERROR(__xludf.DUMMYFUNCTION("""COMPUTED_VALUE"""),45567.0)</f>
        <v>45567</v>
      </c>
      <c r="C10" s="3" t="str">
        <f>IFERROR(__xludf.DUMMYFUNCTION("""COMPUTED_VALUE"""),"INDORE")</f>
        <v>INDORE</v>
      </c>
      <c r="D10" s="5" t="str">
        <f>IFERROR(__xludf.DUMMYFUNCTION("""COMPUTED_VALUE"""),"SLK8")</f>
        <v>SLK8</v>
      </c>
      <c r="E10" s="6" t="str">
        <f>IFERROR(__xludf.DUMMYFUNCTION("""COMPUTED_VALUE"""),"ALPHABETZ SERVICES")</f>
        <v>ALPHABETZ SERVICES</v>
      </c>
      <c r="F10" s="6" t="str">
        <f>IFERROR(__xludf.DUMMYFUNCTION("""COMPUTED_VALUE"""),"MP54L0316")</f>
        <v>MP54L0316</v>
      </c>
      <c r="G10" s="6" t="str">
        <f>IFERROR(__xludf.DUMMYFUNCTION("""COMPUTED_VALUE"""),"ACE")</f>
        <v>ACE</v>
      </c>
      <c r="H10" s="6" t="str">
        <f>IFERROR(__xludf.DUMMYFUNCTION("""COMPUTED_VALUE"""),"DIESEL")</f>
        <v>DIESEL</v>
      </c>
      <c r="I10" s="6">
        <f>IFERROR(__xludf.DUMMYFUNCTION("""COMPUTED_VALUE"""),4.0)</f>
        <v>4</v>
      </c>
      <c r="J10" s="8">
        <f>IFERROR(__xludf.DUMMYFUNCTION("""COMPUTED_VALUE"""),0.1284722222222222)</f>
        <v>0.1284722222</v>
      </c>
      <c r="K10" s="8">
        <f>IFERROR(__xludf.DUMMYFUNCTION("""COMPUTED_VALUE"""),0.13541666666666666)</f>
        <v>0.1354166667</v>
      </c>
      <c r="L10" s="8">
        <f>IFERROR(__xludf.DUMMYFUNCTION("""COMPUTED_VALUE"""),0.3055555555555556)</f>
        <v>0.3055555556</v>
      </c>
      <c r="M10" s="8">
        <f>IFERROR(__xludf.DUMMYFUNCTION("""COMPUTED_VALUE"""),0.3090277777777778)</f>
        <v>0.3090277778</v>
      </c>
      <c r="N10" s="10">
        <f>IFERROR(__xludf.DUMMYFUNCTION("""COMPUTED_VALUE"""),46.0)</f>
        <v>46</v>
      </c>
      <c r="O10" s="27" t="str">
        <f t="shared" si="1"/>
        <v>indoreace4</v>
      </c>
      <c r="P10" s="27">
        <f>vlookup(O10,'Terms and condition'!$F:$H,3,0)/day(eomonth(B10,0))</f>
        <v>806.4516129</v>
      </c>
      <c r="Q10" s="27">
        <f t="shared" si="8"/>
        <v>31</v>
      </c>
      <c r="R10" s="27">
        <f t="shared" si="2"/>
        <v>1390</v>
      </c>
      <c r="S10" s="27">
        <f t="shared" si="3"/>
        <v>100.6451613</v>
      </c>
      <c r="T10" s="27">
        <f t="shared" si="4"/>
        <v>32.25806452</v>
      </c>
      <c r="U10" s="28">
        <v>0.0</v>
      </c>
      <c r="V10" s="27">
        <f t="shared" si="5"/>
        <v>0</v>
      </c>
      <c r="W10" s="29">
        <f t="shared" si="6"/>
        <v>0</v>
      </c>
      <c r="X10" s="30">
        <f t="shared" si="7"/>
        <v>939.3548387</v>
      </c>
    </row>
    <row r="11">
      <c r="A11" s="3">
        <f>IFERROR(__xludf.DUMMYFUNCTION("""COMPUTED_VALUE"""),4.0)</f>
        <v>4</v>
      </c>
      <c r="B11" s="4">
        <f>IFERROR(__xludf.DUMMYFUNCTION("""COMPUTED_VALUE"""),45567.0)</f>
        <v>45567</v>
      </c>
      <c r="C11" s="3" t="str">
        <f>IFERROR(__xludf.DUMMYFUNCTION("""COMPUTED_VALUE"""),"INDORE")</f>
        <v>INDORE</v>
      </c>
      <c r="D11" s="5" t="str">
        <f>IFERROR(__xludf.DUMMYFUNCTION("""COMPUTED_VALUE"""),"SLK8")</f>
        <v>SLK8</v>
      </c>
      <c r="E11" s="6" t="str">
        <f>IFERROR(__xludf.DUMMYFUNCTION("""COMPUTED_VALUE"""),"ALPHABETZ SERVICES")</f>
        <v>ALPHABETZ SERVICES</v>
      </c>
      <c r="F11" s="6" t="str">
        <f>IFERROR(__xludf.DUMMYFUNCTION("""COMPUTED_VALUE"""),"MP09ZY2923")</f>
        <v>MP09ZY2923</v>
      </c>
      <c r="G11" s="6" t="str">
        <f>IFERROR(__xludf.DUMMYFUNCTION("""COMPUTED_VALUE"""),"ACE")</f>
        <v>ACE</v>
      </c>
      <c r="H11" s="6" t="str">
        <f>IFERROR(__xludf.DUMMYFUNCTION("""COMPUTED_VALUE"""),"DIESEL")</f>
        <v>DIESEL</v>
      </c>
      <c r="I11" s="6">
        <f>IFERROR(__xludf.DUMMYFUNCTION("""COMPUTED_VALUE"""),4.0)</f>
        <v>4</v>
      </c>
      <c r="J11" s="8">
        <f>IFERROR(__xludf.DUMMYFUNCTION("""COMPUTED_VALUE"""),0.12916666666666668)</f>
        <v>0.1291666667</v>
      </c>
      <c r="K11" s="8">
        <f>IFERROR(__xludf.DUMMYFUNCTION("""COMPUTED_VALUE"""),0.13680555555555557)</f>
        <v>0.1368055556</v>
      </c>
      <c r="L11" s="8">
        <f>IFERROR(__xludf.DUMMYFUNCTION("""COMPUTED_VALUE"""),0.3263888888888889)</f>
        <v>0.3263888889</v>
      </c>
      <c r="M11" s="8">
        <f>IFERROR(__xludf.DUMMYFUNCTION("""COMPUTED_VALUE"""),0.33194444444444443)</f>
        <v>0.3319444444</v>
      </c>
      <c r="N11" s="10">
        <f>IFERROR(__xludf.DUMMYFUNCTION("""COMPUTED_VALUE"""),34.0)</f>
        <v>34</v>
      </c>
      <c r="O11" s="27" t="str">
        <f t="shared" si="1"/>
        <v>indoreace4</v>
      </c>
      <c r="P11" s="27">
        <f>vlookup(O11,'Terms and condition'!$F:$H,3,0)/day(eomonth(B11,0))</f>
        <v>806.4516129</v>
      </c>
      <c r="Q11" s="27">
        <f t="shared" si="8"/>
        <v>31</v>
      </c>
      <c r="R11" s="27">
        <f t="shared" si="2"/>
        <v>988</v>
      </c>
      <c r="S11" s="27">
        <f t="shared" si="3"/>
        <v>0</v>
      </c>
      <c r="T11" s="27">
        <f t="shared" si="4"/>
        <v>32.25806452</v>
      </c>
      <c r="U11" s="28">
        <v>0.0</v>
      </c>
      <c r="V11" s="27">
        <f t="shared" si="5"/>
        <v>0</v>
      </c>
      <c r="W11" s="29">
        <f t="shared" si="6"/>
        <v>0</v>
      </c>
      <c r="X11" s="30">
        <f t="shared" si="7"/>
        <v>838.7096774</v>
      </c>
    </row>
    <row r="12">
      <c r="A12" s="3">
        <f>IFERROR(__xludf.DUMMYFUNCTION("""COMPUTED_VALUE"""),5.0)</f>
        <v>5</v>
      </c>
      <c r="B12" s="4">
        <f>IFERROR(__xludf.DUMMYFUNCTION("""COMPUTED_VALUE"""),45567.0)</f>
        <v>45567</v>
      </c>
      <c r="C12" s="3" t="str">
        <f>IFERROR(__xludf.DUMMYFUNCTION("""COMPUTED_VALUE"""),"INDORE")</f>
        <v>INDORE</v>
      </c>
      <c r="D12" s="5" t="str">
        <f>IFERROR(__xludf.DUMMYFUNCTION("""COMPUTED_VALUE"""),"SLK8")</f>
        <v>SLK8</v>
      </c>
      <c r="E12" s="6" t="str">
        <f>IFERROR(__xludf.DUMMYFUNCTION("""COMPUTED_VALUE"""),"ALPHABETZ SERVICES")</f>
        <v>ALPHABETZ SERVICES</v>
      </c>
      <c r="F12" s="6" t="str">
        <f>IFERROR(__xludf.DUMMYFUNCTION("""COMPUTED_VALUE"""),"MP09ZZ6272")</f>
        <v>MP09ZZ6272</v>
      </c>
      <c r="G12" s="6" t="str">
        <f>IFERROR(__xludf.DUMMYFUNCTION("""COMPUTED_VALUE"""),"ACE")</f>
        <v>ACE</v>
      </c>
      <c r="H12" s="6" t="str">
        <f>IFERROR(__xludf.DUMMYFUNCTION("""COMPUTED_VALUE"""),"DIESEL")</f>
        <v>DIESEL</v>
      </c>
      <c r="I12" s="6">
        <f>IFERROR(__xludf.DUMMYFUNCTION("""COMPUTED_VALUE"""),4.0)</f>
        <v>4</v>
      </c>
      <c r="J12" s="8">
        <f>IFERROR(__xludf.DUMMYFUNCTION("""COMPUTED_VALUE"""),0.13055555555555556)</f>
        <v>0.1305555556</v>
      </c>
      <c r="K12" s="8">
        <f>IFERROR(__xludf.DUMMYFUNCTION("""COMPUTED_VALUE"""),0.14305555555555555)</f>
        <v>0.1430555556</v>
      </c>
      <c r="L12" s="8">
        <f>IFERROR(__xludf.DUMMYFUNCTION("""COMPUTED_VALUE"""),0.2916666666666667)</f>
        <v>0.2916666667</v>
      </c>
      <c r="M12" s="8">
        <f>IFERROR(__xludf.DUMMYFUNCTION("""COMPUTED_VALUE"""),0.2951388888888889)</f>
        <v>0.2951388889</v>
      </c>
      <c r="N12" s="10">
        <f>IFERROR(__xludf.DUMMYFUNCTION("""COMPUTED_VALUE"""),32.0)</f>
        <v>32</v>
      </c>
      <c r="O12" s="27" t="str">
        <f t="shared" si="1"/>
        <v>indoreace4</v>
      </c>
      <c r="P12" s="27">
        <f>vlookup(O12,'Terms and condition'!$F:$H,3,0)/day(eomonth(B12,0))</f>
        <v>806.4516129</v>
      </c>
      <c r="Q12" s="27">
        <f t="shared" si="8"/>
        <v>21</v>
      </c>
      <c r="R12" s="27">
        <f t="shared" si="2"/>
        <v>953</v>
      </c>
      <c r="S12" s="27">
        <f t="shared" si="3"/>
        <v>0</v>
      </c>
      <c r="T12" s="27">
        <f t="shared" si="4"/>
        <v>0</v>
      </c>
      <c r="U12" s="28">
        <v>0.0</v>
      </c>
      <c r="V12" s="27">
        <f t="shared" si="5"/>
        <v>0</v>
      </c>
      <c r="W12" s="29">
        <f t="shared" si="6"/>
        <v>0</v>
      </c>
      <c r="X12" s="30">
        <f t="shared" si="7"/>
        <v>806.4516129</v>
      </c>
    </row>
    <row r="13">
      <c r="A13" s="3">
        <f>IFERROR(__xludf.DUMMYFUNCTION("""COMPUTED_VALUE"""),6.0)</f>
        <v>6</v>
      </c>
      <c r="B13" s="4">
        <f>IFERROR(__xludf.DUMMYFUNCTION("""COMPUTED_VALUE"""),45567.0)</f>
        <v>45567</v>
      </c>
      <c r="C13" s="3" t="str">
        <f>IFERROR(__xludf.DUMMYFUNCTION("""COMPUTED_VALUE"""),"INDORE")</f>
        <v>INDORE</v>
      </c>
      <c r="D13" s="5" t="str">
        <f>IFERROR(__xludf.DUMMYFUNCTION("""COMPUTED_VALUE"""),"SLK8")</f>
        <v>SLK8</v>
      </c>
      <c r="E13" s="6" t="str">
        <f>IFERROR(__xludf.DUMMYFUNCTION("""COMPUTED_VALUE"""),"ALPHABETZ SERVICES")</f>
        <v>ALPHABETZ SERVICES</v>
      </c>
      <c r="F13" s="6" t="str">
        <f>IFERROR(__xludf.DUMMYFUNCTION("""COMPUTED_VALUE"""),"MP09LP8407")</f>
        <v>MP09LP8407</v>
      </c>
      <c r="G13" s="6" t="str">
        <f>IFERROR(__xludf.DUMMYFUNCTION("""COMPUTED_VALUE"""),"ACE")</f>
        <v>ACE</v>
      </c>
      <c r="H13" s="6" t="str">
        <f>IFERROR(__xludf.DUMMYFUNCTION("""COMPUTED_VALUE"""),"DIESEL")</f>
        <v>DIESEL</v>
      </c>
      <c r="I13" s="6">
        <f>IFERROR(__xludf.DUMMYFUNCTION("""COMPUTED_VALUE"""),4.0)</f>
        <v>4</v>
      </c>
      <c r="J13" s="8">
        <f>IFERROR(__xludf.DUMMYFUNCTION("""COMPUTED_VALUE"""),0.13194444444444445)</f>
        <v>0.1319444444</v>
      </c>
      <c r="K13" s="8">
        <f>IFERROR(__xludf.DUMMYFUNCTION("""COMPUTED_VALUE"""),0.14583333333333334)</f>
        <v>0.1458333333</v>
      </c>
      <c r="L13" s="8">
        <f>IFERROR(__xludf.DUMMYFUNCTION("""COMPUTED_VALUE"""),0.2847222222222222)</f>
        <v>0.2847222222</v>
      </c>
      <c r="M13" s="8">
        <f>IFERROR(__xludf.DUMMYFUNCTION("""COMPUTED_VALUE"""),0.3298611111111111)</f>
        <v>0.3298611111</v>
      </c>
      <c r="N13" s="10">
        <f>IFERROR(__xludf.DUMMYFUNCTION("""COMPUTED_VALUE"""),35.0)</f>
        <v>35</v>
      </c>
      <c r="O13" s="27" t="str">
        <f t="shared" si="1"/>
        <v>indoreace4</v>
      </c>
      <c r="P13" s="27">
        <f>vlookup(O13,'Terms and condition'!$F:$H,3,0)/day(eomonth(B13,0))</f>
        <v>806.4516129</v>
      </c>
      <c r="Q13" s="27">
        <f t="shared" si="8"/>
        <v>31</v>
      </c>
      <c r="R13" s="27">
        <f t="shared" si="2"/>
        <v>1063</v>
      </c>
      <c r="S13" s="27">
        <f t="shared" si="3"/>
        <v>16.25806452</v>
      </c>
      <c r="T13" s="27">
        <f t="shared" si="4"/>
        <v>32.25806452</v>
      </c>
      <c r="U13" s="28">
        <v>0.0</v>
      </c>
      <c r="V13" s="27">
        <f t="shared" si="5"/>
        <v>0</v>
      </c>
      <c r="W13" s="29">
        <f t="shared" si="6"/>
        <v>0</v>
      </c>
      <c r="X13" s="30">
        <f t="shared" si="7"/>
        <v>854.9677419</v>
      </c>
    </row>
    <row r="14">
      <c r="A14" s="3">
        <f>IFERROR(__xludf.DUMMYFUNCTION("""COMPUTED_VALUE"""),7.0)</f>
        <v>7</v>
      </c>
      <c r="B14" s="4">
        <f>IFERROR(__xludf.DUMMYFUNCTION("""COMPUTED_VALUE"""),45568.0)</f>
        <v>45568</v>
      </c>
      <c r="C14" s="3" t="str">
        <f>IFERROR(__xludf.DUMMYFUNCTION("""COMPUTED_VALUE"""),"INDORE")</f>
        <v>INDORE</v>
      </c>
      <c r="D14" s="5" t="str">
        <f>IFERROR(__xludf.DUMMYFUNCTION("""COMPUTED_VALUE"""),"SLK8")</f>
        <v>SLK8</v>
      </c>
      <c r="E14" s="6" t="str">
        <f>IFERROR(__xludf.DUMMYFUNCTION("""COMPUTED_VALUE"""),"ALPHABETZ SERVICES")</f>
        <v>ALPHABETZ SERVICES</v>
      </c>
      <c r="F14" s="6" t="str">
        <f>IFERROR(__xludf.DUMMYFUNCTION("""COMPUTED_VALUE"""),"MP09LR7355")</f>
        <v>MP09LR7355</v>
      </c>
      <c r="G14" s="6" t="str">
        <f>IFERROR(__xludf.DUMMYFUNCTION("""COMPUTED_VALUE"""),"ACE")</f>
        <v>ACE</v>
      </c>
      <c r="H14" s="6" t="str">
        <f>IFERROR(__xludf.DUMMYFUNCTION("""COMPUTED_VALUE"""),"DIESEL")</f>
        <v>DIESEL</v>
      </c>
      <c r="I14" s="6">
        <f>IFERROR(__xludf.DUMMYFUNCTION("""COMPUTED_VALUE"""),4.0)</f>
        <v>4</v>
      </c>
      <c r="J14" s="8">
        <f>IFERROR(__xludf.DUMMYFUNCTION("""COMPUTED_VALUE"""),0.125)</f>
        <v>0.125</v>
      </c>
      <c r="K14" s="8">
        <f>IFERROR(__xludf.DUMMYFUNCTION("""COMPUTED_VALUE"""),0.1326388888888889)</f>
        <v>0.1326388889</v>
      </c>
      <c r="L14" s="8">
        <f>IFERROR(__xludf.DUMMYFUNCTION("""COMPUTED_VALUE"""),0.2916666666666667)</f>
        <v>0.2916666667</v>
      </c>
      <c r="M14" s="8">
        <f>IFERROR(__xludf.DUMMYFUNCTION("""COMPUTED_VALUE"""),0.2986111111111111)</f>
        <v>0.2986111111</v>
      </c>
      <c r="N14" s="10">
        <f>IFERROR(__xludf.DUMMYFUNCTION("""COMPUTED_VALUE"""),52.0)</f>
        <v>52</v>
      </c>
      <c r="O14" s="27" t="str">
        <f t="shared" si="1"/>
        <v>indoreace4</v>
      </c>
      <c r="P14" s="27">
        <f>vlookup(O14,'Terms and condition'!$F:$H,3,0)/day(eomonth(B14,0))</f>
        <v>806.4516129</v>
      </c>
      <c r="Q14" s="27">
        <f t="shared" si="8"/>
        <v>30</v>
      </c>
      <c r="R14" s="27">
        <f t="shared" si="2"/>
        <v>1436</v>
      </c>
      <c r="S14" s="27">
        <f t="shared" si="3"/>
        <v>116.2666667</v>
      </c>
      <c r="T14" s="27">
        <f t="shared" si="4"/>
        <v>0</v>
      </c>
      <c r="U14" s="28">
        <v>0.0</v>
      </c>
      <c r="V14" s="27">
        <f t="shared" si="5"/>
        <v>0</v>
      </c>
      <c r="W14" s="29">
        <f t="shared" si="6"/>
        <v>0</v>
      </c>
      <c r="X14" s="30">
        <f t="shared" si="7"/>
        <v>922.7182796</v>
      </c>
    </row>
    <row r="15">
      <c r="A15" s="3">
        <f>IFERROR(__xludf.DUMMYFUNCTION("""COMPUTED_VALUE"""),8.0)</f>
        <v>8</v>
      </c>
      <c r="B15" s="4">
        <f>IFERROR(__xludf.DUMMYFUNCTION("""COMPUTED_VALUE"""),45568.0)</f>
        <v>45568</v>
      </c>
      <c r="C15" s="3" t="str">
        <f>IFERROR(__xludf.DUMMYFUNCTION("""COMPUTED_VALUE"""),"INDORE")</f>
        <v>INDORE</v>
      </c>
      <c r="D15" s="5" t="str">
        <f>IFERROR(__xludf.DUMMYFUNCTION("""COMPUTED_VALUE"""),"SLK8")</f>
        <v>SLK8</v>
      </c>
      <c r="E15" s="6" t="str">
        <f>IFERROR(__xludf.DUMMYFUNCTION("""COMPUTED_VALUE"""),"ALPHABETZ SERVICES")</f>
        <v>ALPHABETZ SERVICES</v>
      </c>
      <c r="F15" s="6" t="str">
        <f>IFERROR(__xludf.DUMMYFUNCTION("""COMPUTED_VALUE"""),"MP54L0316")</f>
        <v>MP54L0316</v>
      </c>
      <c r="G15" s="6" t="str">
        <f>IFERROR(__xludf.DUMMYFUNCTION("""COMPUTED_VALUE"""),"ACE")</f>
        <v>ACE</v>
      </c>
      <c r="H15" s="6" t="str">
        <f>IFERROR(__xludf.DUMMYFUNCTION("""COMPUTED_VALUE"""),"DIESEL")</f>
        <v>DIESEL</v>
      </c>
      <c r="I15" s="6">
        <f>IFERROR(__xludf.DUMMYFUNCTION("""COMPUTED_VALUE"""),4.0)</f>
        <v>4</v>
      </c>
      <c r="J15" s="8">
        <f>IFERROR(__xludf.DUMMYFUNCTION("""COMPUTED_VALUE"""),0.12777777777777777)</f>
        <v>0.1277777778</v>
      </c>
      <c r="K15" s="8">
        <f>IFERROR(__xludf.DUMMYFUNCTION("""COMPUTED_VALUE"""),0.13472222222222222)</f>
        <v>0.1347222222</v>
      </c>
      <c r="L15" s="8">
        <f>IFERROR(__xludf.DUMMYFUNCTION("""COMPUTED_VALUE"""),0.2986111111111111)</f>
        <v>0.2986111111</v>
      </c>
      <c r="M15" s="8">
        <f>IFERROR(__xludf.DUMMYFUNCTION("""COMPUTED_VALUE"""),0.3020833333333333)</f>
        <v>0.3020833333</v>
      </c>
      <c r="N15" s="10">
        <f>IFERROR(__xludf.DUMMYFUNCTION("""COMPUTED_VALUE"""),45.0)</f>
        <v>45</v>
      </c>
      <c r="O15" s="27" t="str">
        <f t="shared" si="1"/>
        <v>indoreace4</v>
      </c>
      <c r="P15" s="27">
        <f>vlookup(O15,'Terms and condition'!$F:$H,3,0)/day(eomonth(B15,0))</f>
        <v>806.4516129</v>
      </c>
      <c r="Q15" s="27">
        <f t="shared" si="8"/>
        <v>31</v>
      </c>
      <c r="R15" s="27">
        <f t="shared" si="2"/>
        <v>1390</v>
      </c>
      <c r="S15" s="27">
        <f t="shared" si="3"/>
        <v>100.6451613</v>
      </c>
      <c r="T15" s="27">
        <f t="shared" si="4"/>
        <v>32.25806452</v>
      </c>
      <c r="U15" s="28">
        <v>0.0</v>
      </c>
      <c r="V15" s="27">
        <f t="shared" si="5"/>
        <v>0</v>
      </c>
      <c r="W15" s="29">
        <f t="shared" si="6"/>
        <v>0</v>
      </c>
      <c r="X15" s="30">
        <f t="shared" si="7"/>
        <v>939.3548387</v>
      </c>
    </row>
    <row r="16">
      <c r="A16" s="3">
        <f>IFERROR(__xludf.DUMMYFUNCTION("""COMPUTED_VALUE"""),9.0)</f>
        <v>9</v>
      </c>
      <c r="B16" s="4">
        <f>IFERROR(__xludf.DUMMYFUNCTION("""COMPUTED_VALUE"""),45568.0)</f>
        <v>45568</v>
      </c>
      <c r="C16" s="3" t="str">
        <f>IFERROR(__xludf.DUMMYFUNCTION("""COMPUTED_VALUE"""),"INDORE")</f>
        <v>INDORE</v>
      </c>
      <c r="D16" s="5" t="str">
        <f>IFERROR(__xludf.DUMMYFUNCTION("""COMPUTED_VALUE"""),"SLK8")</f>
        <v>SLK8</v>
      </c>
      <c r="E16" s="6" t="str">
        <f>IFERROR(__xludf.DUMMYFUNCTION("""COMPUTED_VALUE"""),"ALPHABETZ SERVICES")</f>
        <v>ALPHABETZ SERVICES</v>
      </c>
      <c r="F16" s="6" t="str">
        <f>IFERROR(__xludf.DUMMYFUNCTION("""COMPUTED_VALUE"""),"MP09ZY2923")</f>
        <v>MP09ZY2923</v>
      </c>
      <c r="G16" s="6" t="str">
        <f>IFERROR(__xludf.DUMMYFUNCTION("""COMPUTED_VALUE"""),"ACE")</f>
        <v>ACE</v>
      </c>
      <c r="H16" s="6" t="str">
        <f>IFERROR(__xludf.DUMMYFUNCTION("""COMPUTED_VALUE"""),"DIESEL")</f>
        <v>DIESEL</v>
      </c>
      <c r="I16" s="6">
        <f>IFERROR(__xludf.DUMMYFUNCTION("""COMPUTED_VALUE"""),4.0)</f>
        <v>4</v>
      </c>
      <c r="J16" s="8">
        <f>IFERROR(__xludf.DUMMYFUNCTION("""COMPUTED_VALUE"""),0.1284722222222222)</f>
        <v>0.1284722222</v>
      </c>
      <c r="K16" s="8">
        <f>IFERROR(__xludf.DUMMYFUNCTION("""COMPUTED_VALUE"""),0.13541666666666666)</f>
        <v>0.1354166667</v>
      </c>
      <c r="L16" s="8">
        <f>IFERROR(__xludf.DUMMYFUNCTION("""COMPUTED_VALUE"""),0.3055555555555556)</f>
        <v>0.3055555556</v>
      </c>
      <c r="M16" s="8">
        <f>IFERROR(__xludf.DUMMYFUNCTION("""COMPUTED_VALUE"""),0.3090277777777778)</f>
        <v>0.3090277778</v>
      </c>
      <c r="N16" s="10">
        <f>IFERROR(__xludf.DUMMYFUNCTION("""COMPUTED_VALUE"""),31.0)</f>
        <v>31</v>
      </c>
      <c r="O16" s="27" t="str">
        <f t="shared" si="1"/>
        <v>indoreace4</v>
      </c>
      <c r="P16" s="27">
        <f>vlookup(O16,'Terms and condition'!$F:$H,3,0)/day(eomonth(B16,0))</f>
        <v>806.4516129</v>
      </c>
      <c r="Q16" s="27">
        <f t="shared" si="8"/>
        <v>31</v>
      </c>
      <c r="R16" s="27">
        <f t="shared" si="2"/>
        <v>988</v>
      </c>
      <c r="S16" s="27">
        <f t="shared" si="3"/>
        <v>0</v>
      </c>
      <c r="T16" s="27">
        <f t="shared" si="4"/>
        <v>32.25806452</v>
      </c>
      <c r="U16" s="28">
        <v>0.0</v>
      </c>
      <c r="V16" s="27">
        <f t="shared" si="5"/>
        <v>0</v>
      </c>
      <c r="W16" s="29">
        <f t="shared" si="6"/>
        <v>0</v>
      </c>
      <c r="X16" s="30">
        <f t="shared" si="7"/>
        <v>838.7096774</v>
      </c>
    </row>
    <row r="17">
      <c r="A17" s="3">
        <f>IFERROR(__xludf.DUMMYFUNCTION("""COMPUTED_VALUE"""),10.0)</f>
        <v>10</v>
      </c>
      <c r="B17" s="4">
        <f>IFERROR(__xludf.DUMMYFUNCTION("""COMPUTED_VALUE"""),45568.0)</f>
        <v>45568</v>
      </c>
      <c r="C17" s="3" t="str">
        <f>IFERROR(__xludf.DUMMYFUNCTION("""COMPUTED_VALUE"""),"INDORE")</f>
        <v>INDORE</v>
      </c>
      <c r="D17" s="5" t="str">
        <f>IFERROR(__xludf.DUMMYFUNCTION("""COMPUTED_VALUE"""),"SLK8")</f>
        <v>SLK8</v>
      </c>
      <c r="E17" s="6" t="str">
        <f>IFERROR(__xludf.DUMMYFUNCTION("""COMPUTED_VALUE"""),"ALPHABETZ SERVICES")</f>
        <v>ALPHABETZ SERVICES</v>
      </c>
      <c r="F17" s="6" t="str">
        <f>IFERROR(__xludf.DUMMYFUNCTION("""COMPUTED_VALUE"""),"MP09ZZ6272")</f>
        <v>MP09ZZ6272</v>
      </c>
      <c r="G17" s="6" t="str">
        <f>IFERROR(__xludf.DUMMYFUNCTION("""COMPUTED_VALUE"""),"ACE")</f>
        <v>ACE</v>
      </c>
      <c r="H17" s="6" t="str">
        <f>IFERROR(__xludf.DUMMYFUNCTION("""COMPUTED_VALUE"""),"DIESEL")</f>
        <v>DIESEL</v>
      </c>
      <c r="I17" s="6">
        <f>IFERROR(__xludf.DUMMYFUNCTION("""COMPUTED_VALUE"""),4.0)</f>
        <v>4</v>
      </c>
      <c r="J17" s="8">
        <f>IFERROR(__xludf.DUMMYFUNCTION("""COMPUTED_VALUE"""),0.13125)</f>
        <v>0.13125</v>
      </c>
      <c r="K17" s="8">
        <f>IFERROR(__xludf.DUMMYFUNCTION("""COMPUTED_VALUE"""),0.1388888888888889)</f>
        <v>0.1388888889</v>
      </c>
      <c r="L17" s="8">
        <f>IFERROR(__xludf.DUMMYFUNCTION("""COMPUTED_VALUE"""),0.30416666666666664)</f>
        <v>0.3041666667</v>
      </c>
      <c r="M17" s="8">
        <f>IFERROR(__xludf.DUMMYFUNCTION("""COMPUTED_VALUE"""),0.3076388888888889)</f>
        <v>0.3076388889</v>
      </c>
      <c r="N17" s="10">
        <f>IFERROR(__xludf.DUMMYFUNCTION("""COMPUTED_VALUE"""),46.0)</f>
        <v>46</v>
      </c>
      <c r="O17" s="27" t="str">
        <f t="shared" si="1"/>
        <v>indoreace4</v>
      </c>
      <c r="P17" s="27">
        <f>vlookup(O17,'Terms and condition'!$F:$H,3,0)/day(eomonth(B17,0))</f>
        <v>806.4516129</v>
      </c>
      <c r="Q17" s="27">
        <f t="shared" si="8"/>
        <v>21</v>
      </c>
      <c r="R17" s="27">
        <f t="shared" si="2"/>
        <v>953</v>
      </c>
      <c r="S17" s="27">
        <f t="shared" si="3"/>
        <v>0</v>
      </c>
      <c r="T17" s="27">
        <f t="shared" si="4"/>
        <v>0</v>
      </c>
      <c r="U17" s="28">
        <v>0.0</v>
      </c>
      <c r="V17" s="27">
        <f t="shared" si="5"/>
        <v>0</v>
      </c>
      <c r="W17" s="29">
        <f t="shared" si="6"/>
        <v>0</v>
      </c>
      <c r="X17" s="30">
        <f t="shared" si="7"/>
        <v>806.4516129</v>
      </c>
    </row>
    <row r="18">
      <c r="A18" s="3">
        <f>IFERROR(__xludf.DUMMYFUNCTION("""COMPUTED_VALUE"""),11.0)</f>
        <v>11</v>
      </c>
      <c r="B18" s="4">
        <f>IFERROR(__xludf.DUMMYFUNCTION("""COMPUTED_VALUE"""),45568.0)</f>
        <v>45568</v>
      </c>
      <c r="C18" s="3" t="str">
        <f>IFERROR(__xludf.DUMMYFUNCTION("""COMPUTED_VALUE"""),"INDORE")</f>
        <v>INDORE</v>
      </c>
      <c r="D18" s="5" t="str">
        <f>IFERROR(__xludf.DUMMYFUNCTION("""COMPUTED_VALUE"""),"SLK8")</f>
        <v>SLK8</v>
      </c>
      <c r="E18" s="6" t="str">
        <f>IFERROR(__xludf.DUMMYFUNCTION("""COMPUTED_VALUE"""),"ALPHABETZ SERVICES")</f>
        <v>ALPHABETZ SERVICES</v>
      </c>
      <c r="F18" s="6" t="str">
        <f>IFERROR(__xludf.DUMMYFUNCTION("""COMPUTED_VALUE"""),"MP09LP8407")</f>
        <v>MP09LP8407</v>
      </c>
      <c r="G18" s="6" t="str">
        <f>IFERROR(__xludf.DUMMYFUNCTION("""COMPUTED_VALUE"""),"ACE")</f>
        <v>ACE</v>
      </c>
      <c r="H18" s="6" t="str">
        <f>IFERROR(__xludf.DUMMYFUNCTION("""COMPUTED_VALUE"""),"DIESEL")</f>
        <v>DIESEL</v>
      </c>
      <c r="I18" s="6">
        <f>IFERROR(__xludf.DUMMYFUNCTION("""COMPUTED_VALUE"""),4.0)</f>
        <v>4</v>
      </c>
      <c r="J18" s="8">
        <f>IFERROR(__xludf.DUMMYFUNCTION("""COMPUTED_VALUE"""),0.13194444444444445)</f>
        <v>0.1319444444</v>
      </c>
      <c r="K18" s="8">
        <f>IFERROR(__xludf.DUMMYFUNCTION("""COMPUTED_VALUE"""),0.14166666666666666)</f>
        <v>0.1416666667</v>
      </c>
      <c r="L18" s="8">
        <f>IFERROR(__xludf.DUMMYFUNCTION("""COMPUTED_VALUE"""),0.3125)</f>
        <v>0.3125</v>
      </c>
      <c r="M18" s="8">
        <f>IFERROR(__xludf.DUMMYFUNCTION("""COMPUTED_VALUE"""),0.3159722222222222)</f>
        <v>0.3159722222</v>
      </c>
      <c r="N18" s="10">
        <f>IFERROR(__xludf.DUMMYFUNCTION("""COMPUTED_VALUE"""),35.0)</f>
        <v>35</v>
      </c>
      <c r="O18" s="27" t="str">
        <f t="shared" si="1"/>
        <v>indoreace4</v>
      </c>
      <c r="P18" s="27">
        <f>vlookup(O18,'Terms and condition'!$F:$H,3,0)/day(eomonth(B18,0))</f>
        <v>806.4516129</v>
      </c>
      <c r="Q18" s="27">
        <f t="shared" si="8"/>
        <v>31</v>
      </c>
      <c r="R18" s="27">
        <f t="shared" si="2"/>
        <v>1063</v>
      </c>
      <c r="S18" s="27">
        <f t="shared" si="3"/>
        <v>16.25806452</v>
      </c>
      <c r="T18" s="27">
        <f t="shared" si="4"/>
        <v>32.25806452</v>
      </c>
      <c r="U18" s="28">
        <v>0.0</v>
      </c>
      <c r="V18" s="27">
        <f t="shared" si="5"/>
        <v>0</v>
      </c>
      <c r="W18" s="29">
        <f t="shared" si="6"/>
        <v>0</v>
      </c>
      <c r="X18" s="30">
        <f t="shared" si="7"/>
        <v>854.9677419</v>
      </c>
    </row>
    <row r="19">
      <c r="A19" s="3">
        <f>IFERROR(__xludf.DUMMYFUNCTION("""COMPUTED_VALUE"""),12.0)</f>
        <v>12</v>
      </c>
      <c r="B19" s="4">
        <f>IFERROR(__xludf.DUMMYFUNCTION("""COMPUTED_VALUE"""),45568.0)</f>
        <v>45568</v>
      </c>
      <c r="C19" s="3" t="str">
        <f>IFERROR(__xludf.DUMMYFUNCTION("""COMPUTED_VALUE"""),"INDORE")</f>
        <v>INDORE</v>
      </c>
      <c r="D19" s="5" t="str">
        <f>IFERROR(__xludf.DUMMYFUNCTION("""COMPUTED_VALUE"""),"SLK8")</f>
        <v>SLK8</v>
      </c>
      <c r="E19" s="6" t="str">
        <f>IFERROR(__xludf.DUMMYFUNCTION("""COMPUTED_VALUE"""),"ALPHABETZ SERVICES")</f>
        <v>ALPHABETZ SERVICES</v>
      </c>
      <c r="F19" s="6" t="str">
        <f>IFERROR(__xludf.DUMMYFUNCTION("""COMPUTED_VALUE"""),"MP09ZV0375")</f>
        <v>MP09ZV0375</v>
      </c>
      <c r="G19" s="6" t="str">
        <f>IFERROR(__xludf.DUMMYFUNCTION("""COMPUTED_VALUE"""),"ACE")</f>
        <v>ACE</v>
      </c>
      <c r="H19" s="6" t="str">
        <f>IFERROR(__xludf.DUMMYFUNCTION("""COMPUTED_VALUE"""),"DIESEL")</f>
        <v>DIESEL</v>
      </c>
      <c r="I19" s="6">
        <f>IFERROR(__xludf.DUMMYFUNCTION("""COMPUTED_VALUE"""),4.0)</f>
        <v>4</v>
      </c>
      <c r="J19" s="8">
        <f>IFERROR(__xludf.DUMMYFUNCTION("""COMPUTED_VALUE"""),0.13472222222222222)</f>
        <v>0.1347222222</v>
      </c>
      <c r="K19" s="8">
        <f>IFERROR(__xludf.DUMMYFUNCTION("""COMPUTED_VALUE"""),0.1451388888888889)</f>
        <v>0.1451388889</v>
      </c>
      <c r="L19" s="8">
        <f>IFERROR(__xludf.DUMMYFUNCTION("""COMPUTED_VALUE"""),0.3055555555555556)</f>
        <v>0.3055555556</v>
      </c>
      <c r="M19" s="8">
        <f>IFERROR(__xludf.DUMMYFUNCTION("""COMPUTED_VALUE"""),0.3090277777777778)</f>
        <v>0.3090277778</v>
      </c>
      <c r="N19" s="10">
        <f>IFERROR(__xludf.DUMMYFUNCTION("""COMPUTED_VALUE"""),33.0)</f>
        <v>33</v>
      </c>
      <c r="O19" s="27" t="str">
        <f t="shared" si="1"/>
        <v>indoreace4</v>
      </c>
      <c r="P19" s="27">
        <f>vlookup(O19,'Terms and condition'!$F:$H,3,0)/day(eomonth(B19,0))</f>
        <v>806.4516129</v>
      </c>
      <c r="Q19" s="27">
        <f t="shared" si="8"/>
        <v>26</v>
      </c>
      <c r="R19" s="27">
        <f t="shared" si="2"/>
        <v>802</v>
      </c>
      <c r="S19" s="27">
        <f t="shared" si="3"/>
        <v>0</v>
      </c>
      <c r="T19" s="27">
        <f t="shared" si="4"/>
        <v>0</v>
      </c>
      <c r="U19" s="28">
        <v>0.0</v>
      </c>
      <c r="V19" s="27">
        <f t="shared" si="5"/>
        <v>0</v>
      </c>
      <c r="W19" s="29">
        <f t="shared" si="6"/>
        <v>0</v>
      </c>
      <c r="X19" s="30">
        <f t="shared" si="7"/>
        <v>806.4516129</v>
      </c>
    </row>
    <row r="20">
      <c r="A20" s="3">
        <f>IFERROR(__xludf.DUMMYFUNCTION("""COMPUTED_VALUE"""),13.0)</f>
        <v>13</v>
      </c>
      <c r="B20" s="4">
        <f>IFERROR(__xludf.DUMMYFUNCTION("""COMPUTED_VALUE"""),45569.0)</f>
        <v>45569</v>
      </c>
      <c r="C20" s="3" t="str">
        <f>IFERROR(__xludf.DUMMYFUNCTION("""COMPUTED_VALUE"""),"INDORE")</f>
        <v>INDORE</v>
      </c>
      <c r="D20" s="5" t="str">
        <f>IFERROR(__xludf.DUMMYFUNCTION("""COMPUTED_VALUE"""),"SLK8")</f>
        <v>SLK8</v>
      </c>
      <c r="E20" s="6" t="str">
        <f>IFERROR(__xludf.DUMMYFUNCTION("""COMPUTED_VALUE"""),"ALPHABETZ SERVICES")</f>
        <v>ALPHABETZ SERVICES</v>
      </c>
      <c r="F20" s="6" t="str">
        <f>IFERROR(__xludf.DUMMYFUNCTION("""COMPUTED_VALUE"""),"MP54L0316")</f>
        <v>MP54L0316</v>
      </c>
      <c r="G20" s="6" t="str">
        <f>IFERROR(__xludf.DUMMYFUNCTION("""COMPUTED_VALUE"""),"ACE")</f>
        <v>ACE</v>
      </c>
      <c r="H20" s="6" t="str">
        <f>IFERROR(__xludf.DUMMYFUNCTION("""COMPUTED_VALUE"""),"DIESEL")</f>
        <v>DIESEL</v>
      </c>
      <c r="I20" s="6">
        <f>IFERROR(__xludf.DUMMYFUNCTION("""COMPUTED_VALUE"""),4.0)</f>
        <v>4</v>
      </c>
      <c r="J20" s="8">
        <f>IFERROR(__xludf.DUMMYFUNCTION("""COMPUTED_VALUE"""),0.125)</f>
        <v>0.125</v>
      </c>
      <c r="K20" s="8">
        <f>IFERROR(__xludf.DUMMYFUNCTION("""COMPUTED_VALUE"""),0.1326388888888889)</f>
        <v>0.1326388889</v>
      </c>
      <c r="L20" s="8">
        <f>IFERROR(__xludf.DUMMYFUNCTION("""COMPUTED_VALUE"""),0.3236111111111111)</f>
        <v>0.3236111111</v>
      </c>
      <c r="M20" s="8">
        <f>IFERROR(__xludf.DUMMYFUNCTION("""COMPUTED_VALUE"""),0.3263888888888889)</f>
        <v>0.3263888889</v>
      </c>
      <c r="N20" s="10">
        <f>IFERROR(__xludf.DUMMYFUNCTION("""COMPUTED_VALUE"""),44.0)</f>
        <v>44</v>
      </c>
      <c r="O20" s="27" t="str">
        <f t="shared" si="1"/>
        <v>indoreace4</v>
      </c>
      <c r="P20" s="27">
        <f>vlookup(O20,'Terms and condition'!$F:$H,3,0)/day(eomonth(B20,0))</f>
        <v>806.4516129</v>
      </c>
      <c r="Q20" s="27">
        <f t="shared" si="8"/>
        <v>31</v>
      </c>
      <c r="R20" s="27">
        <f t="shared" si="2"/>
        <v>1390</v>
      </c>
      <c r="S20" s="27">
        <f t="shared" si="3"/>
        <v>100.6451613</v>
      </c>
      <c r="T20" s="27">
        <f t="shared" si="4"/>
        <v>32.25806452</v>
      </c>
      <c r="U20" s="28">
        <v>0.0</v>
      </c>
      <c r="V20" s="27">
        <f t="shared" si="5"/>
        <v>0</v>
      </c>
      <c r="W20" s="29">
        <f t="shared" si="6"/>
        <v>0</v>
      </c>
      <c r="X20" s="30">
        <f t="shared" si="7"/>
        <v>939.3548387</v>
      </c>
    </row>
    <row r="21">
      <c r="A21" s="3">
        <f>IFERROR(__xludf.DUMMYFUNCTION("""COMPUTED_VALUE"""),14.0)</f>
        <v>14</v>
      </c>
      <c r="B21" s="4">
        <f>IFERROR(__xludf.DUMMYFUNCTION("""COMPUTED_VALUE"""),45569.0)</f>
        <v>45569</v>
      </c>
      <c r="C21" s="3" t="str">
        <f>IFERROR(__xludf.DUMMYFUNCTION("""COMPUTED_VALUE"""),"INDORE")</f>
        <v>INDORE</v>
      </c>
      <c r="D21" s="5" t="str">
        <f>IFERROR(__xludf.DUMMYFUNCTION("""COMPUTED_VALUE"""),"SLK8")</f>
        <v>SLK8</v>
      </c>
      <c r="E21" s="6" t="str">
        <f>IFERROR(__xludf.DUMMYFUNCTION("""COMPUTED_VALUE"""),"ALPHABETZ SERVICES")</f>
        <v>ALPHABETZ SERVICES</v>
      </c>
      <c r="F21" s="6" t="str">
        <f>IFERROR(__xludf.DUMMYFUNCTION("""COMPUTED_VALUE"""),"MP09LR7355")</f>
        <v>MP09LR7355</v>
      </c>
      <c r="G21" s="6" t="str">
        <f>IFERROR(__xludf.DUMMYFUNCTION("""COMPUTED_VALUE"""),"ACE")</f>
        <v>ACE</v>
      </c>
      <c r="H21" s="6" t="str">
        <f>IFERROR(__xludf.DUMMYFUNCTION("""COMPUTED_VALUE"""),"DIESEL")</f>
        <v>DIESEL</v>
      </c>
      <c r="I21" s="6">
        <f>IFERROR(__xludf.DUMMYFUNCTION("""COMPUTED_VALUE"""),4.0)</f>
        <v>4</v>
      </c>
      <c r="J21" s="8">
        <f>IFERROR(__xludf.DUMMYFUNCTION("""COMPUTED_VALUE"""),0.12569444444444444)</f>
        <v>0.1256944444</v>
      </c>
      <c r="K21" s="8">
        <f>IFERROR(__xludf.DUMMYFUNCTION("""COMPUTED_VALUE"""),0.13472222222222222)</f>
        <v>0.1347222222</v>
      </c>
      <c r="L21" s="8">
        <f>IFERROR(__xludf.DUMMYFUNCTION("""COMPUTED_VALUE"""),0.2951388888888889)</f>
        <v>0.2951388889</v>
      </c>
      <c r="M21" s="8">
        <f>IFERROR(__xludf.DUMMYFUNCTION("""COMPUTED_VALUE"""),0.2986111111111111)</f>
        <v>0.2986111111</v>
      </c>
      <c r="N21" s="10">
        <f>IFERROR(__xludf.DUMMYFUNCTION("""COMPUTED_VALUE"""),49.0)</f>
        <v>49</v>
      </c>
      <c r="O21" s="27" t="str">
        <f t="shared" si="1"/>
        <v>indoreace4</v>
      </c>
      <c r="P21" s="27">
        <f>vlookup(O21,'Terms and condition'!$F:$H,3,0)/day(eomonth(B21,0))</f>
        <v>806.4516129</v>
      </c>
      <c r="Q21" s="27">
        <f t="shared" si="8"/>
        <v>30</v>
      </c>
      <c r="R21" s="27">
        <f t="shared" si="2"/>
        <v>1436</v>
      </c>
      <c r="S21" s="27">
        <f t="shared" si="3"/>
        <v>116.2666667</v>
      </c>
      <c r="T21" s="27">
        <f t="shared" si="4"/>
        <v>0</v>
      </c>
      <c r="U21" s="28">
        <v>0.0</v>
      </c>
      <c r="V21" s="27">
        <f t="shared" si="5"/>
        <v>0</v>
      </c>
      <c r="W21" s="29">
        <f t="shared" si="6"/>
        <v>0</v>
      </c>
      <c r="X21" s="30">
        <f t="shared" si="7"/>
        <v>922.7182796</v>
      </c>
    </row>
    <row r="22">
      <c r="A22" s="3">
        <f>IFERROR(__xludf.DUMMYFUNCTION("""COMPUTED_VALUE"""),15.0)</f>
        <v>15</v>
      </c>
      <c r="B22" s="4">
        <f>IFERROR(__xludf.DUMMYFUNCTION("""COMPUTED_VALUE"""),45569.0)</f>
        <v>45569</v>
      </c>
      <c r="C22" s="3" t="str">
        <f>IFERROR(__xludf.DUMMYFUNCTION("""COMPUTED_VALUE"""),"INDORE")</f>
        <v>INDORE</v>
      </c>
      <c r="D22" s="5" t="str">
        <f>IFERROR(__xludf.DUMMYFUNCTION("""COMPUTED_VALUE"""),"SLK8")</f>
        <v>SLK8</v>
      </c>
      <c r="E22" s="6" t="str">
        <f>IFERROR(__xludf.DUMMYFUNCTION("""COMPUTED_VALUE"""),"ALPHABETZ SERVICES")</f>
        <v>ALPHABETZ SERVICES</v>
      </c>
      <c r="F22" s="6" t="str">
        <f>IFERROR(__xludf.DUMMYFUNCTION("""COMPUTED_VALUE"""),"MP09ZY2923")</f>
        <v>MP09ZY2923</v>
      </c>
      <c r="G22" s="6" t="str">
        <f>IFERROR(__xludf.DUMMYFUNCTION("""COMPUTED_VALUE"""),"ACE")</f>
        <v>ACE</v>
      </c>
      <c r="H22" s="6" t="str">
        <f>IFERROR(__xludf.DUMMYFUNCTION("""COMPUTED_VALUE"""),"DIESEL")</f>
        <v>DIESEL</v>
      </c>
      <c r="I22" s="6">
        <f>IFERROR(__xludf.DUMMYFUNCTION("""COMPUTED_VALUE"""),4.0)</f>
        <v>4</v>
      </c>
      <c r="J22" s="8">
        <f>IFERROR(__xludf.DUMMYFUNCTION("""COMPUTED_VALUE"""),0.12777777777777777)</f>
        <v>0.1277777778</v>
      </c>
      <c r="K22" s="8">
        <f>IFERROR(__xludf.DUMMYFUNCTION("""COMPUTED_VALUE"""),0.1375)</f>
        <v>0.1375</v>
      </c>
      <c r="L22" s="8">
        <f>IFERROR(__xludf.DUMMYFUNCTION("""COMPUTED_VALUE"""),0.2972222222222222)</f>
        <v>0.2972222222</v>
      </c>
      <c r="M22" s="8">
        <f>IFERROR(__xludf.DUMMYFUNCTION("""COMPUTED_VALUE"""),0.3020833333333333)</f>
        <v>0.3020833333</v>
      </c>
      <c r="N22" s="10">
        <f>IFERROR(__xludf.DUMMYFUNCTION("""COMPUTED_VALUE"""),31.0)</f>
        <v>31</v>
      </c>
      <c r="O22" s="27" t="str">
        <f t="shared" si="1"/>
        <v>indoreace4</v>
      </c>
      <c r="P22" s="27">
        <f>vlookup(O22,'Terms and condition'!$F:$H,3,0)/day(eomonth(B22,0))</f>
        <v>806.4516129</v>
      </c>
      <c r="Q22" s="27">
        <f t="shared" si="8"/>
        <v>31</v>
      </c>
      <c r="R22" s="27">
        <f t="shared" si="2"/>
        <v>988</v>
      </c>
      <c r="S22" s="27">
        <f t="shared" si="3"/>
        <v>0</v>
      </c>
      <c r="T22" s="27">
        <f t="shared" si="4"/>
        <v>32.25806452</v>
      </c>
      <c r="U22" s="28">
        <v>0.0</v>
      </c>
      <c r="V22" s="27">
        <f t="shared" si="5"/>
        <v>0</v>
      </c>
      <c r="W22" s="29">
        <f t="shared" si="6"/>
        <v>0</v>
      </c>
      <c r="X22" s="30">
        <f t="shared" si="7"/>
        <v>838.7096774</v>
      </c>
    </row>
    <row r="23">
      <c r="A23" s="3">
        <f>IFERROR(__xludf.DUMMYFUNCTION("""COMPUTED_VALUE"""),16.0)</f>
        <v>16</v>
      </c>
      <c r="B23" s="4">
        <f>IFERROR(__xludf.DUMMYFUNCTION("""COMPUTED_VALUE"""),45569.0)</f>
        <v>45569</v>
      </c>
      <c r="C23" s="3" t="str">
        <f>IFERROR(__xludf.DUMMYFUNCTION("""COMPUTED_VALUE"""),"INDORE")</f>
        <v>INDORE</v>
      </c>
      <c r="D23" s="5" t="str">
        <f>IFERROR(__xludf.DUMMYFUNCTION("""COMPUTED_VALUE"""),"SLK8")</f>
        <v>SLK8</v>
      </c>
      <c r="E23" s="6" t="str">
        <f>IFERROR(__xludf.DUMMYFUNCTION("""COMPUTED_VALUE"""),"ALPHABETZ SERVICES")</f>
        <v>ALPHABETZ SERVICES</v>
      </c>
      <c r="F23" s="6" t="str">
        <f>IFERROR(__xludf.DUMMYFUNCTION("""COMPUTED_VALUE"""),"MP09ZZ6272")</f>
        <v>MP09ZZ6272</v>
      </c>
      <c r="G23" s="6" t="str">
        <f>IFERROR(__xludf.DUMMYFUNCTION("""COMPUTED_VALUE"""),"ACE")</f>
        <v>ACE</v>
      </c>
      <c r="H23" s="6" t="str">
        <f>IFERROR(__xludf.DUMMYFUNCTION("""COMPUTED_VALUE"""),"DIESEL")</f>
        <v>DIESEL</v>
      </c>
      <c r="I23" s="6">
        <f>IFERROR(__xludf.DUMMYFUNCTION("""COMPUTED_VALUE"""),4.0)</f>
        <v>4</v>
      </c>
      <c r="J23" s="8">
        <f>IFERROR(__xludf.DUMMYFUNCTION("""COMPUTED_VALUE"""),0.1284722222222222)</f>
        <v>0.1284722222</v>
      </c>
      <c r="K23" s="8">
        <f>IFERROR(__xludf.DUMMYFUNCTION("""COMPUTED_VALUE"""),0.1388888888888889)</f>
        <v>0.1388888889</v>
      </c>
      <c r="L23" s="8">
        <f>IFERROR(__xludf.DUMMYFUNCTION("""COMPUTED_VALUE"""),0.2951388888888889)</f>
        <v>0.2951388889</v>
      </c>
      <c r="M23" s="8">
        <f>IFERROR(__xludf.DUMMYFUNCTION("""COMPUTED_VALUE"""),0.3)</f>
        <v>0.3</v>
      </c>
      <c r="N23" s="10">
        <f>IFERROR(__xludf.DUMMYFUNCTION("""COMPUTED_VALUE"""),45.0)</f>
        <v>45</v>
      </c>
      <c r="O23" s="27" t="str">
        <f t="shared" si="1"/>
        <v>indoreace4</v>
      </c>
      <c r="P23" s="27">
        <f>vlookup(O23,'Terms and condition'!$F:$H,3,0)/day(eomonth(B23,0))</f>
        <v>806.4516129</v>
      </c>
      <c r="Q23" s="27">
        <f t="shared" si="8"/>
        <v>21</v>
      </c>
      <c r="R23" s="27">
        <f t="shared" si="2"/>
        <v>953</v>
      </c>
      <c r="S23" s="27">
        <f t="shared" si="3"/>
        <v>0</v>
      </c>
      <c r="T23" s="27">
        <f t="shared" si="4"/>
        <v>0</v>
      </c>
      <c r="U23" s="28">
        <v>0.0</v>
      </c>
      <c r="V23" s="27">
        <f t="shared" si="5"/>
        <v>0</v>
      </c>
      <c r="W23" s="29">
        <f t="shared" si="6"/>
        <v>0</v>
      </c>
      <c r="X23" s="30">
        <f t="shared" si="7"/>
        <v>806.4516129</v>
      </c>
    </row>
    <row r="24">
      <c r="A24" s="3">
        <f>IFERROR(__xludf.DUMMYFUNCTION("""COMPUTED_VALUE"""),17.0)</f>
        <v>17</v>
      </c>
      <c r="B24" s="4">
        <f>IFERROR(__xludf.DUMMYFUNCTION("""COMPUTED_VALUE"""),45569.0)</f>
        <v>45569</v>
      </c>
      <c r="C24" s="3" t="str">
        <f>IFERROR(__xludf.DUMMYFUNCTION("""COMPUTED_VALUE"""),"INDORE")</f>
        <v>INDORE</v>
      </c>
      <c r="D24" s="5" t="str">
        <f>IFERROR(__xludf.DUMMYFUNCTION("""COMPUTED_VALUE"""),"SLK8")</f>
        <v>SLK8</v>
      </c>
      <c r="E24" s="6" t="str">
        <f>IFERROR(__xludf.DUMMYFUNCTION("""COMPUTED_VALUE"""),"ALPHABETZ SERVICES")</f>
        <v>ALPHABETZ SERVICES</v>
      </c>
      <c r="F24" s="6" t="str">
        <f>IFERROR(__xludf.DUMMYFUNCTION("""COMPUTED_VALUE"""),"MP09LP8407")</f>
        <v>MP09LP8407</v>
      </c>
      <c r="G24" s="6" t="str">
        <f>IFERROR(__xludf.DUMMYFUNCTION("""COMPUTED_VALUE"""),"ACE")</f>
        <v>ACE</v>
      </c>
      <c r="H24" s="6" t="str">
        <f>IFERROR(__xludf.DUMMYFUNCTION("""COMPUTED_VALUE"""),"DIESEL")</f>
        <v>DIESEL</v>
      </c>
      <c r="I24" s="6">
        <f>IFERROR(__xludf.DUMMYFUNCTION("""COMPUTED_VALUE"""),4.0)</f>
        <v>4</v>
      </c>
      <c r="J24" s="8">
        <f>IFERROR(__xludf.DUMMYFUNCTION("""COMPUTED_VALUE"""),0.12916666666666668)</f>
        <v>0.1291666667</v>
      </c>
      <c r="K24" s="8">
        <f>IFERROR(__xludf.DUMMYFUNCTION("""COMPUTED_VALUE"""),0.13958333333333334)</f>
        <v>0.1395833333</v>
      </c>
      <c r="L24" s="8">
        <f>IFERROR(__xludf.DUMMYFUNCTION("""COMPUTED_VALUE"""),0.2916666666666667)</f>
        <v>0.2916666667</v>
      </c>
      <c r="M24" s="8">
        <f>IFERROR(__xludf.DUMMYFUNCTION("""COMPUTED_VALUE"""),0.29791666666666666)</f>
        <v>0.2979166667</v>
      </c>
      <c r="N24" s="10">
        <f>IFERROR(__xludf.DUMMYFUNCTION("""COMPUTED_VALUE"""),30.0)</f>
        <v>30</v>
      </c>
      <c r="O24" s="27" t="str">
        <f t="shared" si="1"/>
        <v>indoreace4</v>
      </c>
      <c r="P24" s="27">
        <f>vlookup(O24,'Terms and condition'!$F:$H,3,0)/day(eomonth(B24,0))</f>
        <v>806.4516129</v>
      </c>
      <c r="Q24" s="27">
        <f t="shared" si="8"/>
        <v>31</v>
      </c>
      <c r="R24" s="27">
        <f t="shared" si="2"/>
        <v>1063</v>
      </c>
      <c r="S24" s="27">
        <f t="shared" si="3"/>
        <v>16.25806452</v>
      </c>
      <c r="T24" s="27">
        <f t="shared" si="4"/>
        <v>32.25806452</v>
      </c>
      <c r="U24" s="28">
        <v>0.0</v>
      </c>
      <c r="V24" s="27">
        <f t="shared" si="5"/>
        <v>0</v>
      </c>
      <c r="W24" s="29">
        <f t="shared" si="6"/>
        <v>0</v>
      </c>
      <c r="X24" s="30">
        <f t="shared" si="7"/>
        <v>854.9677419</v>
      </c>
    </row>
    <row r="25">
      <c r="A25" s="3">
        <f>IFERROR(__xludf.DUMMYFUNCTION("""COMPUTED_VALUE"""),18.0)</f>
        <v>18</v>
      </c>
      <c r="B25" s="4">
        <f>IFERROR(__xludf.DUMMYFUNCTION("""COMPUTED_VALUE"""),45569.0)</f>
        <v>45569</v>
      </c>
      <c r="C25" s="3" t="str">
        <f>IFERROR(__xludf.DUMMYFUNCTION("""COMPUTED_VALUE"""),"INDORE")</f>
        <v>INDORE</v>
      </c>
      <c r="D25" s="5" t="str">
        <f>IFERROR(__xludf.DUMMYFUNCTION("""COMPUTED_VALUE"""),"SLK8")</f>
        <v>SLK8</v>
      </c>
      <c r="E25" s="6" t="str">
        <f>IFERROR(__xludf.DUMMYFUNCTION("""COMPUTED_VALUE"""),"ALPHABETZ SERVICES")</f>
        <v>ALPHABETZ SERVICES</v>
      </c>
      <c r="F25" s="6" t="str">
        <f>IFERROR(__xludf.DUMMYFUNCTION("""COMPUTED_VALUE"""),"MP09ZV0375")</f>
        <v>MP09ZV0375</v>
      </c>
      <c r="G25" s="6" t="str">
        <f>IFERROR(__xludf.DUMMYFUNCTION("""COMPUTED_VALUE"""),"ACE")</f>
        <v>ACE</v>
      </c>
      <c r="H25" s="6" t="str">
        <f>IFERROR(__xludf.DUMMYFUNCTION("""COMPUTED_VALUE"""),"DIESEL")</f>
        <v>DIESEL</v>
      </c>
      <c r="I25" s="6">
        <f>IFERROR(__xludf.DUMMYFUNCTION("""COMPUTED_VALUE"""),4.0)</f>
        <v>4</v>
      </c>
      <c r="J25" s="8">
        <f>IFERROR(__xludf.DUMMYFUNCTION("""COMPUTED_VALUE"""),0.13125)</f>
        <v>0.13125</v>
      </c>
      <c r="K25" s="8">
        <f>IFERROR(__xludf.DUMMYFUNCTION("""COMPUTED_VALUE"""),0.14375)</f>
        <v>0.14375</v>
      </c>
      <c r="L25" s="8">
        <f>IFERROR(__xludf.DUMMYFUNCTION("""COMPUTED_VALUE"""),0.3020833333333333)</f>
        <v>0.3020833333</v>
      </c>
      <c r="M25" s="8">
        <f>IFERROR(__xludf.DUMMYFUNCTION("""COMPUTED_VALUE"""),0.30625)</f>
        <v>0.30625</v>
      </c>
      <c r="N25" s="10">
        <f>IFERROR(__xludf.DUMMYFUNCTION("""COMPUTED_VALUE"""),31.0)</f>
        <v>31</v>
      </c>
      <c r="O25" s="27" t="str">
        <f t="shared" si="1"/>
        <v>indoreace4</v>
      </c>
      <c r="P25" s="27">
        <f>vlookup(O25,'Terms and condition'!$F:$H,3,0)/day(eomonth(B25,0))</f>
        <v>806.4516129</v>
      </c>
      <c r="Q25" s="27">
        <f t="shared" si="8"/>
        <v>26</v>
      </c>
      <c r="R25" s="27">
        <f t="shared" si="2"/>
        <v>802</v>
      </c>
      <c r="S25" s="27">
        <f t="shared" si="3"/>
        <v>0</v>
      </c>
      <c r="T25" s="27">
        <f t="shared" si="4"/>
        <v>0</v>
      </c>
      <c r="U25" s="28">
        <v>0.0</v>
      </c>
      <c r="V25" s="27">
        <f t="shared" si="5"/>
        <v>0</v>
      </c>
      <c r="W25" s="29">
        <f t="shared" si="6"/>
        <v>0</v>
      </c>
      <c r="X25" s="30">
        <f t="shared" si="7"/>
        <v>806.4516129</v>
      </c>
    </row>
    <row r="26">
      <c r="A26" s="3">
        <f>IFERROR(__xludf.DUMMYFUNCTION("""COMPUTED_VALUE"""),19.0)</f>
        <v>19</v>
      </c>
      <c r="B26" s="4">
        <f>IFERROR(__xludf.DUMMYFUNCTION("""COMPUTED_VALUE"""),45570.0)</f>
        <v>45570</v>
      </c>
      <c r="C26" s="3" t="str">
        <f>IFERROR(__xludf.DUMMYFUNCTION("""COMPUTED_VALUE"""),"INDORE")</f>
        <v>INDORE</v>
      </c>
      <c r="D26" s="5" t="str">
        <f>IFERROR(__xludf.DUMMYFUNCTION("""COMPUTED_VALUE"""),"SLK8")</f>
        <v>SLK8</v>
      </c>
      <c r="E26" s="6" t="str">
        <f>IFERROR(__xludf.DUMMYFUNCTION("""COMPUTED_VALUE"""),"ALPHABETZ SERVICES")</f>
        <v>ALPHABETZ SERVICES</v>
      </c>
      <c r="F26" s="6" t="str">
        <f>IFERROR(__xludf.DUMMYFUNCTION("""COMPUTED_VALUE"""),"MP54L0316")</f>
        <v>MP54L0316</v>
      </c>
      <c r="G26" s="6" t="str">
        <f>IFERROR(__xludf.DUMMYFUNCTION("""COMPUTED_VALUE"""),"ACE")</f>
        <v>ACE</v>
      </c>
      <c r="H26" s="6" t="str">
        <f>IFERROR(__xludf.DUMMYFUNCTION("""COMPUTED_VALUE"""),"DIESEL")</f>
        <v>DIESEL</v>
      </c>
      <c r="I26" s="6">
        <f>IFERROR(__xludf.DUMMYFUNCTION("""COMPUTED_VALUE"""),4.0)</f>
        <v>4</v>
      </c>
      <c r="J26" s="8">
        <f>IFERROR(__xludf.DUMMYFUNCTION("""COMPUTED_VALUE"""),0.125)</f>
        <v>0.125</v>
      </c>
      <c r="K26" s="8">
        <f>IFERROR(__xludf.DUMMYFUNCTION("""COMPUTED_VALUE"""),0.13194444444444445)</f>
        <v>0.1319444444</v>
      </c>
      <c r="L26" s="8">
        <f>IFERROR(__xludf.DUMMYFUNCTION("""COMPUTED_VALUE"""),0.3263888888888889)</f>
        <v>0.3263888889</v>
      </c>
      <c r="M26" s="8">
        <f>IFERROR(__xludf.DUMMYFUNCTION("""COMPUTED_VALUE"""),0.3298611111111111)</f>
        <v>0.3298611111</v>
      </c>
      <c r="N26" s="10">
        <f>IFERROR(__xludf.DUMMYFUNCTION("""COMPUTED_VALUE"""),44.0)</f>
        <v>44</v>
      </c>
      <c r="O26" s="27" t="str">
        <f t="shared" si="1"/>
        <v>indoreace4</v>
      </c>
      <c r="P26" s="27">
        <f>vlookup(O26,'Terms and condition'!$F:$H,3,0)/day(eomonth(B26,0))</f>
        <v>806.4516129</v>
      </c>
      <c r="Q26" s="27">
        <f t="shared" si="8"/>
        <v>31</v>
      </c>
      <c r="R26" s="27">
        <f t="shared" si="2"/>
        <v>1390</v>
      </c>
      <c r="S26" s="27">
        <f t="shared" si="3"/>
        <v>100.6451613</v>
      </c>
      <c r="T26" s="27">
        <f t="shared" si="4"/>
        <v>32.25806452</v>
      </c>
      <c r="U26" s="28">
        <v>0.0</v>
      </c>
      <c r="V26" s="27">
        <f t="shared" si="5"/>
        <v>0</v>
      </c>
      <c r="W26" s="29">
        <f t="shared" si="6"/>
        <v>0</v>
      </c>
      <c r="X26" s="30">
        <f t="shared" si="7"/>
        <v>939.3548387</v>
      </c>
    </row>
    <row r="27">
      <c r="A27" s="3">
        <f>IFERROR(__xludf.DUMMYFUNCTION("""COMPUTED_VALUE"""),20.0)</f>
        <v>20</v>
      </c>
      <c r="B27" s="4">
        <f>IFERROR(__xludf.DUMMYFUNCTION("""COMPUTED_VALUE"""),45570.0)</f>
        <v>45570</v>
      </c>
      <c r="C27" s="3" t="str">
        <f>IFERROR(__xludf.DUMMYFUNCTION("""COMPUTED_VALUE"""),"INDORE")</f>
        <v>INDORE</v>
      </c>
      <c r="D27" s="5" t="str">
        <f>IFERROR(__xludf.DUMMYFUNCTION("""COMPUTED_VALUE"""),"SLK8")</f>
        <v>SLK8</v>
      </c>
      <c r="E27" s="6" t="str">
        <f>IFERROR(__xludf.DUMMYFUNCTION("""COMPUTED_VALUE"""),"ALPHABETZ SERVICES")</f>
        <v>ALPHABETZ SERVICES</v>
      </c>
      <c r="F27" s="6" t="str">
        <f>IFERROR(__xludf.DUMMYFUNCTION("""COMPUTED_VALUE"""),"MP09LR7355")</f>
        <v>MP09LR7355</v>
      </c>
      <c r="G27" s="6" t="str">
        <f>IFERROR(__xludf.DUMMYFUNCTION("""COMPUTED_VALUE"""),"ACE")</f>
        <v>ACE</v>
      </c>
      <c r="H27" s="6" t="str">
        <f>IFERROR(__xludf.DUMMYFUNCTION("""COMPUTED_VALUE"""),"DIESEL")</f>
        <v>DIESEL</v>
      </c>
      <c r="I27" s="6">
        <f>IFERROR(__xludf.DUMMYFUNCTION("""COMPUTED_VALUE"""),4.0)</f>
        <v>4</v>
      </c>
      <c r="J27" s="8">
        <f>IFERROR(__xludf.DUMMYFUNCTION("""COMPUTED_VALUE"""),0.12569444444444444)</f>
        <v>0.1256944444</v>
      </c>
      <c r="K27" s="8">
        <f>IFERROR(__xludf.DUMMYFUNCTION("""COMPUTED_VALUE"""),0.13333333333333333)</f>
        <v>0.1333333333</v>
      </c>
      <c r="L27" s="8">
        <f>IFERROR(__xludf.DUMMYFUNCTION("""COMPUTED_VALUE"""),0.3055555555555556)</f>
        <v>0.3055555556</v>
      </c>
      <c r="M27" s="8">
        <f>IFERROR(__xludf.DUMMYFUNCTION("""COMPUTED_VALUE"""),0.3090277777777778)</f>
        <v>0.3090277778</v>
      </c>
      <c r="N27" s="10">
        <f>IFERROR(__xludf.DUMMYFUNCTION("""COMPUTED_VALUE"""),51.0)</f>
        <v>51</v>
      </c>
      <c r="O27" s="27" t="str">
        <f t="shared" si="1"/>
        <v>indoreace4</v>
      </c>
      <c r="P27" s="27">
        <f>vlookup(O27,'Terms and condition'!$F:$H,3,0)/day(eomonth(B27,0))</f>
        <v>806.4516129</v>
      </c>
      <c r="Q27" s="27">
        <f t="shared" si="8"/>
        <v>30</v>
      </c>
      <c r="R27" s="27">
        <f t="shared" si="2"/>
        <v>1436</v>
      </c>
      <c r="S27" s="27">
        <f t="shared" si="3"/>
        <v>116.2666667</v>
      </c>
      <c r="T27" s="27">
        <f t="shared" si="4"/>
        <v>0</v>
      </c>
      <c r="U27" s="28">
        <v>0.0</v>
      </c>
      <c r="V27" s="27">
        <f t="shared" si="5"/>
        <v>0</v>
      </c>
      <c r="W27" s="29">
        <f t="shared" si="6"/>
        <v>0</v>
      </c>
      <c r="X27" s="30">
        <f t="shared" si="7"/>
        <v>922.7182796</v>
      </c>
    </row>
    <row r="28">
      <c r="A28" s="3">
        <f>IFERROR(__xludf.DUMMYFUNCTION("""COMPUTED_VALUE"""),21.0)</f>
        <v>21</v>
      </c>
      <c r="B28" s="4">
        <f>IFERROR(__xludf.DUMMYFUNCTION("""COMPUTED_VALUE"""),45570.0)</f>
        <v>45570</v>
      </c>
      <c r="C28" s="3" t="str">
        <f>IFERROR(__xludf.DUMMYFUNCTION("""COMPUTED_VALUE"""),"INDORE")</f>
        <v>INDORE</v>
      </c>
      <c r="D28" s="5" t="str">
        <f>IFERROR(__xludf.DUMMYFUNCTION("""COMPUTED_VALUE"""),"SLK8")</f>
        <v>SLK8</v>
      </c>
      <c r="E28" s="6" t="str">
        <f>IFERROR(__xludf.DUMMYFUNCTION("""COMPUTED_VALUE"""),"ALPHABETZ SERVICES")</f>
        <v>ALPHABETZ SERVICES</v>
      </c>
      <c r="F28" s="6" t="str">
        <f>IFERROR(__xludf.DUMMYFUNCTION("""COMPUTED_VALUE"""),"MP09ZZ6272")</f>
        <v>MP09ZZ6272</v>
      </c>
      <c r="G28" s="6" t="str">
        <f>IFERROR(__xludf.DUMMYFUNCTION("""COMPUTED_VALUE"""),"ACE")</f>
        <v>ACE</v>
      </c>
      <c r="H28" s="6" t="str">
        <f>IFERROR(__xludf.DUMMYFUNCTION("""COMPUTED_VALUE"""),"DIESEL")</f>
        <v>DIESEL</v>
      </c>
      <c r="I28" s="6">
        <f>IFERROR(__xludf.DUMMYFUNCTION("""COMPUTED_VALUE"""),4.0)</f>
        <v>4</v>
      </c>
      <c r="J28" s="8">
        <f>IFERROR(__xludf.DUMMYFUNCTION("""COMPUTED_VALUE"""),0.12638888888888888)</f>
        <v>0.1263888889</v>
      </c>
      <c r="K28" s="8">
        <f>IFERROR(__xludf.DUMMYFUNCTION("""COMPUTED_VALUE"""),0.13541666666666666)</f>
        <v>0.1354166667</v>
      </c>
      <c r="L28" s="8">
        <f>IFERROR(__xludf.DUMMYFUNCTION("""COMPUTED_VALUE"""),0.2916666666666667)</f>
        <v>0.2916666667</v>
      </c>
      <c r="M28" s="8">
        <f>IFERROR(__xludf.DUMMYFUNCTION("""COMPUTED_VALUE"""),0.2951388888888889)</f>
        <v>0.2951388889</v>
      </c>
      <c r="N28" s="10">
        <f>IFERROR(__xludf.DUMMYFUNCTION("""COMPUTED_VALUE"""),48.0)</f>
        <v>48</v>
      </c>
      <c r="O28" s="27" t="str">
        <f t="shared" si="1"/>
        <v>indoreace4</v>
      </c>
      <c r="P28" s="27">
        <f>vlookup(O28,'Terms and condition'!$F:$H,3,0)/day(eomonth(B28,0))</f>
        <v>806.4516129</v>
      </c>
      <c r="Q28" s="27">
        <f t="shared" si="8"/>
        <v>21</v>
      </c>
      <c r="R28" s="27">
        <f t="shared" si="2"/>
        <v>953</v>
      </c>
      <c r="S28" s="27">
        <f t="shared" si="3"/>
        <v>0</v>
      </c>
      <c r="T28" s="27">
        <f t="shared" si="4"/>
        <v>0</v>
      </c>
      <c r="U28" s="28">
        <v>0.0</v>
      </c>
      <c r="V28" s="27">
        <f t="shared" si="5"/>
        <v>0</v>
      </c>
      <c r="W28" s="29">
        <f t="shared" si="6"/>
        <v>0</v>
      </c>
      <c r="X28" s="30">
        <f t="shared" si="7"/>
        <v>806.4516129</v>
      </c>
    </row>
    <row r="29">
      <c r="A29" s="3">
        <f>IFERROR(__xludf.DUMMYFUNCTION("""COMPUTED_VALUE"""),22.0)</f>
        <v>22</v>
      </c>
      <c r="B29" s="4">
        <f>IFERROR(__xludf.DUMMYFUNCTION("""COMPUTED_VALUE"""),45570.0)</f>
        <v>45570</v>
      </c>
      <c r="C29" s="3" t="str">
        <f>IFERROR(__xludf.DUMMYFUNCTION("""COMPUTED_VALUE"""),"INDORE")</f>
        <v>INDORE</v>
      </c>
      <c r="D29" s="5" t="str">
        <f>IFERROR(__xludf.DUMMYFUNCTION("""COMPUTED_VALUE"""),"SLK8")</f>
        <v>SLK8</v>
      </c>
      <c r="E29" s="6" t="str">
        <f>IFERROR(__xludf.DUMMYFUNCTION("""COMPUTED_VALUE"""),"ALPHABETZ SERVICES")</f>
        <v>ALPHABETZ SERVICES</v>
      </c>
      <c r="F29" s="6" t="str">
        <f>IFERROR(__xludf.DUMMYFUNCTION("""COMPUTED_VALUE"""),"MP09ZY2923")</f>
        <v>MP09ZY2923</v>
      </c>
      <c r="G29" s="6" t="str">
        <f>IFERROR(__xludf.DUMMYFUNCTION("""COMPUTED_VALUE"""),"ACE")</f>
        <v>ACE</v>
      </c>
      <c r="H29" s="6" t="str">
        <f>IFERROR(__xludf.DUMMYFUNCTION("""COMPUTED_VALUE"""),"DIESEL")</f>
        <v>DIESEL</v>
      </c>
      <c r="I29" s="6">
        <f>IFERROR(__xludf.DUMMYFUNCTION("""COMPUTED_VALUE"""),4.0)</f>
        <v>4</v>
      </c>
      <c r="J29" s="8">
        <f>IFERROR(__xludf.DUMMYFUNCTION("""COMPUTED_VALUE"""),0.12777777777777777)</f>
        <v>0.1277777778</v>
      </c>
      <c r="K29" s="8">
        <f>IFERROR(__xludf.DUMMYFUNCTION("""COMPUTED_VALUE"""),0.1375)</f>
        <v>0.1375</v>
      </c>
      <c r="L29" s="8">
        <f>IFERROR(__xludf.DUMMYFUNCTION("""COMPUTED_VALUE"""),0.3090277777777778)</f>
        <v>0.3090277778</v>
      </c>
      <c r="M29" s="8">
        <f>IFERROR(__xludf.DUMMYFUNCTION("""COMPUTED_VALUE"""),0.3125)</f>
        <v>0.3125</v>
      </c>
      <c r="N29" s="10">
        <f>IFERROR(__xludf.DUMMYFUNCTION("""COMPUTED_VALUE"""),31.0)</f>
        <v>31</v>
      </c>
      <c r="O29" s="27" t="str">
        <f t="shared" si="1"/>
        <v>indoreace4</v>
      </c>
      <c r="P29" s="27">
        <f>vlookup(O29,'Terms and condition'!$F:$H,3,0)/day(eomonth(B29,0))</f>
        <v>806.4516129</v>
      </c>
      <c r="Q29" s="27">
        <f t="shared" si="8"/>
        <v>31</v>
      </c>
      <c r="R29" s="27">
        <f t="shared" si="2"/>
        <v>988</v>
      </c>
      <c r="S29" s="27">
        <f t="shared" si="3"/>
        <v>0</v>
      </c>
      <c r="T29" s="27">
        <f t="shared" si="4"/>
        <v>32.25806452</v>
      </c>
      <c r="U29" s="28">
        <v>0.0</v>
      </c>
      <c r="V29" s="27">
        <f t="shared" si="5"/>
        <v>0</v>
      </c>
      <c r="W29" s="29">
        <f t="shared" si="6"/>
        <v>0</v>
      </c>
      <c r="X29" s="30">
        <f t="shared" si="7"/>
        <v>838.7096774</v>
      </c>
    </row>
    <row r="30">
      <c r="A30" s="3">
        <f>IFERROR(__xludf.DUMMYFUNCTION("""COMPUTED_VALUE"""),23.0)</f>
        <v>23</v>
      </c>
      <c r="B30" s="4">
        <f>IFERROR(__xludf.DUMMYFUNCTION("""COMPUTED_VALUE"""),45570.0)</f>
        <v>45570</v>
      </c>
      <c r="C30" s="3" t="str">
        <f>IFERROR(__xludf.DUMMYFUNCTION("""COMPUTED_VALUE"""),"INDORE")</f>
        <v>INDORE</v>
      </c>
      <c r="D30" s="5" t="str">
        <f>IFERROR(__xludf.DUMMYFUNCTION("""COMPUTED_VALUE"""),"SLK8")</f>
        <v>SLK8</v>
      </c>
      <c r="E30" s="6" t="str">
        <f>IFERROR(__xludf.DUMMYFUNCTION("""COMPUTED_VALUE"""),"ALPHABETZ SERVICES")</f>
        <v>ALPHABETZ SERVICES</v>
      </c>
      <c r="F30" s="6" t="str">
        <f>IFERROR(__xludf.DUMMYFUNCTION("""COMPUTED_VALUE"""),"MP09LP8407")</f>
        <v>MP09LP8407</v>
      </c>
      <c r="G30" s="6" t="str">
        <f>IFERROR(__xludf.DUMMYFUNCTION("""COMPUTED_VALUE"""),"ACE")</f>
        <v>ACE</v>
      </c>
      <c r="H30" s="6" t="str">
        <f>IFERROR(__xludf.DUMMYFUNCTION("""COMPUTED_VALUE"""),"DIESEL")</f>
        <v>DIESEL</v>
      </c>
      <c r="I30" s="6">
        <f>IFERROR(__xludf.DUMMYFUNCTION("""COMPUTED_VALUE"""),4.0)</f>
        <v>4</v>
      </c>
      <c r="J30" s="8">
        <f>IFERROR(__xludf.DUMMYFUNCTION("""COMPUTED_VALUE"""),0.12916666666666668)</f>
        <v>0.1291666667</v>
      </c>
      <c r="K30" s="8">
        <f>IFERROR(__xludf.DUMMYFUNCTION("""COMPUTED_VALUE"""),0.14027777777777778)</f>
        <v>0.1402777778</v>
      </c>
      <c r="L30" s="8">
        <f>IFERROR(__xludf.DUMMYFUNCTION("""COMPUTED_VALUE"""),0.2951388888888889)</f>
        <v>0.2951388889</v>
      </c>
      <c r="M30" s="8">
        <f>IFERROR(__xludf.DUMMYFUNCTION("""COMPUTED_VALUE"""),0.2986111111111111)</f>
        <v>0.2986111111</v>
      </c>
      <c r="N30" s="10">
        <f>IFERROR(__xludf.DUMMYFUNCTION("""COMPUTED_VALUE"""),30.0)</f>
        <v>30</v>
      </c>
      <c r="O30" s="27" t="str">
        <f t="shared" si="1"/>
        <v>indoreace4</v>
      </c>
      <c r="P30" s="27">
        <f>vlookup(O30,'Terms and condition'!$F:$H,3,0)/day(eomonth(B30,0))</f>
        <v>806.4516129</v>
      </c>
      <c r="Q30" s="27">
        <f t="shared" si="8"/>
        <v>31</v>
      </c>
      <c r="R30" s="27">
        <f t="shared" si="2"/>
        <v>1063</v>
      </c>
      <c r="S30" s="27">
        <f t="shared" si="3"/>
        <v>16.25806452</v>
      </c>
      <c r="T30" s="27">
        <f t="shared" si="4"/>
        <v>32.25806452</v>
      </c>
      <c r="U30" s="28">
        <v>0.0</v>
      </c>
      <c r="V30" s="27">
        <f t="shared" si="5"/>
        <v>0</v>
      </c>
      <c r="W30" s="29">
        <f t="shared" si="6"/>
        <v>0</v>
      </c>
      <c r="X30" s="30">
        <f t="shared" si="7"/>
        <v>854.9677419</v>
      </c>
    </row>
    <row r="31">
      <c r="A31" s="3">
        <f>IFERROR(__xludf.DUMMYFUNCTION("""COMPUTED_VALUE"""),24.0)</f>
        <v>24</v>
      </c>
      <c r="B31" s="4">
        <f>IFERROR(__xludf.DUMMYFUNCTION("""COMPUTED_VALUE"""),45570.0)</f>
        <v>45570</v>
      </c>
      <c r="C31" s="3" t="str">
        <f>IFERROR(__xludf.DUMMYFUNCTION("""COMPUTED_VALUE"""),"INDORE")</f>
        <v>INDORE</v>
      </c>
      <c r="D31" s="5" t="str">
        <f>IFERROR(__xludf.DUMMYFUNCTION("""COMPUTED_VALUE"""),"SLK8")</f>
        <v>SLK8</v>
      </c>
      <c r="E31" s="6" t="str">
        <f>IFERROR(__xludf.DUMMYFUNCTION("""COMPUTED_VALUE"""),"ALPHABETZ SERVICES")</f>
        <v>ALPHABETZ SERVICES</v>
      </c>
      <c r="F31" s="6" t="str">
        <f>IFERROR(__xludf.DUMMYFUNCTION("""COMPUTED_VALUE"""),"MP09ZV0375")</f>
        <v>MP09ZV0375</v>
      </c>
      <c r="G31" s="6" t="str">
        <f>IFERROR(__xludf.DUMMYFUNCTION("""COMPUTED_VALUE"""),"ACE")</f>
        <v>ACE</v>
      </c>
      <c r="H31" s="6" t="str">
        <f>IFERROR(__xludf.DUMMYFUNCTION("""COMPUTED_VALUE"""),"DIESEL")</f>
        <v>DIESEL</v>
      </c>
      <c r="I31" s="6">
        <f>IFERROR(__xludf.DUMMYFUNCTION("""COMPUTED_VALUE"""),4.0)</f>
        <v>4</v>
      </c>
      <c r="J31" s="8">
        <f>IFERROR(__xludf.DUMMYFUNCTION("""COMPUTED_VALUE"""),0.13055555555555556)</f>
        <v>0.1305555556</v>
      </c>
      <c r="K31" s="8">
        <f>IFERROR(__xludf.DUMMYFUNCTION("""COMPUTED_VALUE"""),0.14583333333333334)</f>
        <v>0.1458333333</v>
      </c>
      <c r="L31" s="8">
        <f>IFERROR(__xludf.DUMMYFUNCTION("""COMPUTED_VALUE"""),0.3055555555555556)</f>
        <v>0.3055555556</v>
      </c>
      <c r="M31" s="8">
        <f>IFERROR(__xludf.DUMMYFUNCTION("""COMPUTED_VALUE"""),0.3090277777777778)</f>
        <v>0.3090277778</v>
      </c>
      <c r="N31" s="10">
        <f>IFERROR(__xludf.DUMMYFUNCTION("""COMPUTED_VALUE"""),31.0)</f>
        <v>31</v>
      </c>
      <c r="O31" s="27" t="str">
        <f t="shared" si="1"/>
        <v>indoreace4</v>
      </c>
      <c r="P31" s="27">
        <f>vlookup(O31,'Terms and condition'!$F:$H,3,0)/day(eomonth(B31,0))</f>
        <v>806.4516129</v>
      </c>
      <c r="Q31" s="27">
        <f t="shared" si="8"/>
        <v>26</v>
      </c>
      <c r="R31" s="27">
        <f t="shared" si="2"/>
        <v>802</v>
      </c>
      <c r="S31" s="27">
        <f t="shared" si="3"/>
        <v>0</v>
      </c>
      <c r="T31" s="27">
        <f t="shared" si="4"/>
        <v>0</v>
      </c>
      <c r="U31" s="28">
        <v>0.0</v>
      </c>
      <c r="V31" s="27">
        <f t="shared" si="5"/>
        <v>0</v>
      </c>
      <c r="W31" s="29">
        <f t="shared" si="6"/>
        <v>0</v>
      </c>
      <c r="X31" s="30">
        <f t="shared" si="7"/>
        <v>806.4516129</v>
      </c>
    </row>
    <row r="32">
      <c r="A32" s="3">
        <f>IFERROR(__xludf.DUMMYFUNCTION("""COMPUTED_VALUE"""),25.0)</f>
        <v>25</v>
      </c>
      <c r="B32" s="4">
        <f>IFERROR(__xludf.DUMMYFUNCTION("""COMPUTED_VALUE"""),45571.0)</f>
        <v>45571</v>
      </c>
      <c r="C32" s="3" t="str">
        <f>IFERROR(__xludf.DUMMYFUNCTION("""COMPUTED_VALUE"""),"INDORE")</f>
        <v>INDORE</v>
      </c>
      <c r="D32" s="5" t="str">
        <f>IFERROR(__xludf.DUMMYFUNCTION("""COMPUTED_VALUE"""),"SLK8")</f>
        <v>SLK8</v>
      </c>
      <c r="E32" s="6" t="str">
        <f>IFERROR(__xludf.DUMMYFUNCTION("""COMPUTED_VALUE"""),"ALPHABETZ SERVICES")</f>
        <v>ALPHABETZ SERVICES</v>
      </c>
      <c r="F32" s="6" t="str">
        <f>IFERROR(__xludf.DUMMYFUNCTION("""COMPUTED_VALUE"""),"MP09LR7355")</f>
        <v>MP09LR7355</v>
      </c>
      <c r="G32" s="6" t="str">
        <f>IFERROR(__xludf.DUMMYFUNCTION("""COMPUTED_VALUE"""),"ACE")</f>
        <v>ACE</v>
      </c>
      <c r="H32" s="6" t="str">
        <f>IFERROR(__xludf.DUMMYFUNCTION("""COMPUTED_VALUE"""),"DIESEL")</f>
        <v>DIESEL</v>
      </c>
      <c r="I32" s="6">
        <f>IFERROR(__xludf.DUMMYFUNCTION("""COMPUTED_VALUE"""),4.0)</f>
        <v>4</v>
      </c>
      <c r="J32" s="8">
        <f>IFERROR(__xludf.DUMMYFUNCTION("""COMPUTED_VALUE"""),0.125)</f>
        <v>0.125</v>
      </c>
      <c r="K32" s="8">
        <f>IFERROR(__xludf.DUMMYFUNCTION("""COMPUTED_VALUE"""),0.13541666666666666)</f>
        <v>0.1354166667</v>
      </c>
      <c r="L32" s="8">
        <f>IFERROR(__xludf.DUMMYFUNCTION("""COMPUTED_VALUE"""),0.2916666666666667)</f>
        <v>0.2916666667</v>
      </c>
      <c r="M32" s="8">
        <f>IFERROR(__xludf.DUMMYFUNCTION("""COMPUTED_VALUE"""),0.2951388888888889)</f>
        <v>0.2951388889</v>
      </c>
      <c r="N32" s="10">
        <f>IFERROR(__xludf.DUMMYFUNCTION("""COMPUTED_VALUE"""),48.0)</f>
        <v>48</v>
      </c>
      <c r="O32" s="27" t="str">
        <f t="shared" si="1"/>
        <v>indoreace4</v>
      </c>
      <c r="P32" s="27">
        <f>vlookup(O32,'Terms and condition'!$F:$H,3,0)/day(eomonth(B32,0))</f>
        <v>806.4516129</v>
      </c>
      <c r="Q32" s="27">
        <f t="shared" si="8"/>
        <v>30</v>
      </c>
      <c r="R32" s="27">
        <f t="shared" si="2"/>
        <v>1436</v>
      </c>
      <c r="S32" s="27">
        <f t="shared" si="3"/>
        <v>116.2666667</v>
      </c>
      <c r="T32" s="27">
        <f t="shared" si="4"/>
        <v>0</v>
      </c>
      <c r="U32" s="28">
        <v>0.0</v>
      </c>
      <c r="V32" s="27">
        <f t="shared" si="5"/>
        <v>0</v>
      </c>
      <c r="W32" s="29">
        <f t="shared" si="6"/>
        <v>0</v>
      </c>
      <c r="X32" s="30">
        <f t="shared" si="7"/>
        <v>922.7182796</v>
      </c>
    </row>
    <row r="33">
      <c r="A33" s="3">
        <f>IFERROR(__xludf.DUMMYFUNCTION("""COMPUTED_VALUE"""),26.0)</f>
        <v>26</v>
      </c>
      <c r="B33" s="4">
        <f>IFERROR(__xludf.DUMMYFUNCTION("""COMPUTED_VALUE"""),45571.0)</f>
        <v>45571</v>
      </c>
      <c r="C33" s="3" t="str">
        <f>IFERROR(__xludf.DUMMYFUNCTION("""COMPUTED_VALUE"""),"INDORE")</f>
        <v>INDORE</v>
      </c>
      <c r="D33" s="5" t="str">
        <f>IFERROR(__xludf.DUMMYFUNCTION("""COMPUTED_VALUE"""),"SLK8")</f>
        <v>SLK8</v>
      </c>
      <c r="E33" s="6" t="str">
        <f>IFERROR(__xludf.DUMMYFUNCTION("""COMPUTED_VALUE"""),"ALPHABETZ SERVICES")</f>
        <v>ALPHABETZ SERVICES</v>
      </c>
      <c r="F33" s="6" t="str">
        <f>IFERROR(__xludf.DUMMYFUNCTION("""COMPUTED_VALUE"""),"MP54L0316")</f>
        <v>MP54L0316</v>
      </c>
      <c r="G33" s="6" t="str">
        <f>IFERROR(__xludf.DUMMYFUNCTION("""COMPUTED_VALUE"""),"ACE")</f>
        <v>ACE</v>
      </c>
      <c r="H33" s="6" t="str">
        <f>IFERROR(__xludf.DUMMYFUNCTION("""COMPUTED_VALUE"""),"DIESEL")</f>
        <v>DIESEL</v>
      </c>
      <c r="I33" s="6">
        <f>IFERROR(__xludf.DUMMYFUNCTION("""COMPUTED_VALUE"""),4.0)</f>
        <v>4</v>
      </c>
      <c r="J33" s="8">
        <f>IFERROR(__xludf.DUMMYFUNCTION("""COMPUTED_VALUE"""),0.12569444444444444)</f>
        <v>0.1256944444</v>
      </c>
      <c r="K33" s="8">
        <f>IFERROR(__xludf.DUMMYFUNCTION("""COMPUTED_VALUE"""),0.13680555555555557)</f>
        <v>0.1368055556</v>
      </c>
      <c r="L33" s="8">
        <f>IFERROR(__xludf.DUMMYFUNCTION("""COMPUTED_VALUE"""),0.29375)</f>
        <v>0.29375</v>
      </c>
      <c r="M33" s="8">
        <f>IFERROR(__xludf.DUMMYFUNCTION("""COMPUTED_VALUE"""),0.3)</f>
        <v>0.3</v>
      </c>
      <c r="N33" s="10">
        <f>IFERROR(__xludf.DUMMYFUNCTION("""COMPUTED_VALUE"""),52.0)</f>
        <v>52</v>
      </c>
      <c r="O33" s="27" t="str">
        <f t="shared" si="1"/>
        <v>indoreace4</v>
      </c>
      <c r="P33" s="27">
        <f>vlookup(O33,'Terms and condition'!$F:$H,3,0)/day(eomonth(B33,0))</f>
        <v>806.4516129</v>
      </c>
      <c r="Q33" s="27">
        <f t="shared" si="8"/>
        <v>31</v>
      </c>
      <c r="R33" s="27">
        <f t="shared" si="2"/>
        <v>1390</v>
      </c>
      <c r="S33" s="27">
        <f t="shared" si="3"/>
        <v>100.6451613</v>
      </c>
      <c r="T33" s="27">
        <f t="shared" si="4"/>
        <v>32.25806452</v>
      </c>
      <c r="U33" s="28">
        <v>0.0</v>
      </c>
      <c r="V33" s="27">
        <f t="shared" si="5"/>
        <v>0</v>
      </c>
      <c r="W33" s="29">
        <f t="shared" si="6"/>
        <v>0</v>
      </c>
      <c r="X33" s="30">
        <f t="shared" si="7"/>
        <v>939.3548387</v>
      </c>
    </row>
    <row r="34">
      <c r="A34" s="3">
        <f>IFERROR(__xludf.DUMMYFUNCTION("""COMPUTED_VALUE"""),27.0)</f>
        <v>27</v>
      </c>
      <c r="B34" s="4">
        <f>IFERROR(__xludf.DUMMYFUNCTION("""COMPUTED_VALUE"""),45571.0)</f>
        <v>45571</v>
      </c>
      <c r="C34" s="3" t="str">
        <f>IFERROR(__xludf.DUMMYFUNCTION("""COMPUTED_VALUE"""),"INDORE")</f>
        <v>INDORE</v>
      </c>
      <c r="D34" s="5" t="str">
        <f>IFERROR(__xludf.DUMMYFUNCTION("""COMPUTED_VALUE"""),"SLK8")</f>
        <v>SLK8</v>
      </c>
      <c r="E34" s="6" t="str">
        <f>IFERROR(__xludf.DUMMYFUNCTION("""COMPUTED_VALUE"""),"ALPHABETZ SERVICES")</f>
        <v>ALPHABETZ SERVICES</v>
      </c>
      <c r="F34" s="6" t="str">
        <f>IFERROR(__xludf.DUMMYFUNCTION("""COMPUTED_VALUE"""),"MP09LP8407")</f>
        <v>MP09LP8407</v>
      </c>
      <c r="G34" s="6" t="str">
        <f>IFERROR(__xludf.DUMMYFUNCTION("""COMPUTED_VALUE"""),"ACE")</f>
        <v>ACE</v>
      </c>
      <c r="H34" s="6" t="str">
        <f>IFERROR(__xludf.DUMMYFUNCTION("""COMPUTED_VALUE"""),"DIESEL")</f>
        <v>DIESEL</v>
      </c>
      <c r="I34" s="6">
        <f>IFERROR(__xludf.DUMMYFUNCTION("""COMPUTED_VALUE"""),4.0)</f>
        <v>4</v>
      </c>
      <c r="J34" s="8">
        <f>IFERROR(__xludf.DUMMYFUNCTION("""COMPUTED_VALUE"""),0.12638888888888888)</f>
        <v>0.1263888889</v>
      </c>
      <c r="K34" s="8">
        <f>IFERROR(__xludf.DUMMYFUNCTION("""COMPUTED_VALUE"""),0.1375)</f>
        <v>0.1375</v>
      </c>
      <c r="L34" s="8">
        <f>IFERROR(__xludf.DUMMYFUNCTION("""COMPUTED_VALUE"""),0.3034722222222222)</f>
        <v>0.3034722222</v>
      </c>
      <c r="M34" s="8">
        <f>IFERROR(__xludf.DUMMYFUNCTION("""COMPUTED_VALUE"""),0.3125)</f>
        <v>0.3125</v>
      </c>
      <c r="N34" s="10">
        <f>IFERROR(__xludf.DUMMYFUNCTION("""COMPUTED_VALUE"""),36.0)</f>
        <v>36</v>
      </c>
      <c r="O34" s="27" t="str">
        <f t="shared" si="1"/>
        <v>indoreace4</v>
      </c>
      <c r="P34" s="27">
        <f>vlookup(O34,'Terms and condition'!$F:$H,3,0)/day(eomonth(B34,0))</f>
        <v>806.4516129</v>
      </c>
      <c r="Q34" s="27">
        <f t="shared" si="8"/>
        <v>31</v>
      </c>
      <c r="R34" s="27">
        <f t="shared" si="2"/>
        <v>1063</v>
      </c>
      <c r="S34" s="27">
        <f t="shared" si="3"/>
        <v>16.25806452</v>
      </c>
      <c r="T34" s="27">
        <f t="shared" si="4"/>
        <v>32.25806452</v>
      </c>
      <c r="U34" s="28">
        <v>0.0</v>
      </c>
      <c r="V34" s="27">
        <f t="shared" si="5"/>
        <v>0</v>
      </c>
      <c r="W34" s="29">
        <f t="shared" si="6"/>
        <v>0</v>
      </c>
      <c r="X34" s="30">
        <f t="shared" si="7"/>
        <v>854.9677419</v>
      </c>
    </row>
    <row r="35">
      <c r="A35" s="3">
        <f>IFERROR(__xludf.DUMMYFUNCTION("""COMPUTED_VALUE"""),28.0)</f>
        <v>28</v>
      </c>
      <c r="B35" s="4">
        <f>IFERROR(__xludf.DUMMYFUNCTION("""COMPUTED_VALUE"""),45571.0)</f>
        <v>45571</v>
      </c>
      <c r="C35" s="3" t="str">
        <f>IFERROR(__xludf.DUMMYFUNCTION("""COMPUTED_VALUE"""),"INDORE")</f>
        <v>INDORE</v>
      </c>
      <c r="D35" s="5" t="str">
        <f>IFERROR(__xludf.DUMMYFUNCTION("""COMPUTED_VALUE"""),"SLK8")</f>
        <v>SLK8</v>
      </c>
      <c r="E35" s="6" t="str">
        <f>IFERROR(__xludf.DUMMYFUNCTION("""COMPUTED_VALUE"""),"ALPHABETZ SERVICES")</f>
        <v>ALPHABETZ SERVICES</v>
      </c>
      <c r="F35" s="6" t="str">
        <f>IFERROR(__xludf.DUMMYFUNCTION("""COMPUTED_VALUE"""),"MP07L8679")</f>
        <v>MP07L8679</v>
      </c>
      <c r="G35" s="6" t="str">
        <f>IFERROR(__xludf.DUMMYFUNCTION("""COMPUTED_VALUE"""),"ACE")</f>
        <v>ACE</v>
      </c>
      <c r="H35" s="6" t="str">
        <f>IFERROR(__xludf.DUMMYFUNCTION("""COMPUTED_VALUE"""),"DIESEL")</f>
        <v>DIESEL</v>
      </c>
      <c r="I35" s="6">
        <f>IFERROR(__xludf.DUMMYFUNCTION("""COMPUTED_VALUE"""),4.0)</f>
        <v>4</v>
      </c>
      <c r="J35" s="8">
        <f>IFERROR(__xludf.DUMMYFUNCTION("""COMPUTED_VALUE"""),0.12777777777777777)</f>
        <v>0.1277777778</v>
      </c>
      <c r="K35" s="8">
        <f>IFERROR(__xludf.DUMMYFUNCTION("""COMPUTED_VALUE"""),0.1388888888888889)</f>
        <v>0.1388888889</v>
      </c>
      <c r="L35" s="8">
        <f>IFERROR(__xludf.DUMMYFUNCTION("""COMPUTED_VALUE"""),0.2986111111111111)</f>
        <v>0.2986111111</v>
      </c>
      <c r="M35" s="8">
        <f>IFERROR(__xludf.DUMMYFUNCTION("""COMPUTED_VALUE"""),0.30416666666666664)</f>
        <v>0.3041666667</v>
      </c>
      <c r="N35" s="10">
        <f>IFERROR(__xludf.DUMMYFUNCTION("""COMPUTED_VALUE"""),31.0)</f>
        <v>31</v>
      </c>
      <c r="O35" s="27" t="str">
        <f t="shared" si="1"/>
        <v>indoreace4</v>
      </c>
      <c r="P35" s="27">
        <f>vlookup(O35,'Terms and condition'!$F:$H,3,0)/day(eomonth(B35,0))</f>
        <v>806.4516129</v>
      </c>
      <c r="Q35" s="27">
        <f t="shared" si="8"/>
        <v>4</v>
      </c>
      <c r="R35" s="27">
        <f t="shared" si="2"/>
        <v>126</v>
      </c>
      <c r="S35" s="27">
        <f t="shared" si="3"/>
        <v>0</v>
      </c>
      <c r="T35" s="27">
        <f t="shared" si="4"/>
        <v>0</v>
      </c>
      <c r="U35" s="28">
        <v>0.0</v>
      </c>
      <c r="V35" s="27">
        <f t="shared" si="5"/>
        <v>0</v>
      </c>
      <c r="W35" s="29">
        <f t="shared" si="6"/>
        <v>0</v>
      </c>
      <c r="X35" s="30">
        <f t="shared" si="7"/>
        <v>806.4516129</v>
      </c>
    </row>
    <row r="36">
      <c r="A36" s="3">
        <f>IFERROR(__xludf.DUMMYFUNCTION("""COMPUTED_VALUE"""),29.0)</f>
        <v>29</v>
      </c>
      <c r="B36" s="4">
        <f>IFERROR(__xludf.DUMMYFUNCTION("""COMPUTED_VALUE"""),45571.0)</f>
        <v>45571</v>
      </c>
      <c r="C36" s="3" t="str">
        <f>IFERROR(__xludf.DUMMYFUNCTION("""COMPUTED_VALUE"""),"INDORE")</f>
        <v>INDORE</v>
      </c>
      <c r="D36" s="5" t="str">
        <f>IFERROR(__xludf.DUMMYFUNCTION("""COMPUTED_VALUE"""),"SLK8")</f>
        <v>SLK8</v>
      </c>
      <c r="E36" s="6" t="str">
        <f>IFERROR(__xludf.DUMMYFUNCTION("""COMPUTED_VALUE"""),"ALPHABETZ SERVICES")</f>
        <v>ALPHABETZ SERVICES</v>
      </c>
      <c r="F36" s="6" t="str">
        <f>IFERROR(__xludf.DUMMYFUNCTION("""COMPUTED_VALUE"""),"MP09ZY2923")</f>
        <v>MP09ZY2923</v>
      </c>
      <c r="G36" s="6" t="str">
        <f>IFERROR(__xludf.DUMMYFUNCTION("""COMPUTED_VALUE"""),"ACE")</f>
        <v>ACE</v>
      </c>
      <c r="H36" s="6" t="str">
        <f>IFERROR(__xludf.DUMMYFUNCTION("""COMPUTED_VALUE"""),"DIESEL")</f>
        <v>DIESEL</v>
      </c>
      <c r="I36" s="6">
        <f>IFERROR(__xludf.DUMMYFUNCTION("""COMPUTED_VALUE"""),4.0)</f>
        <v>4</v>
      </c>
      <c r="J36" s="8">
        <f>IFERROR(__xludf.DUMMYFUNCTION("""COMPUTED_VALUE"""),0.12916666666666668)</f>
        <v>0.1291666667</v>
      </c>
      <c r="K36" s="8">
        <f>IFERROR(__xludf.DUMMYFUNCTION("""COMPUTED_VALUE"""),0.1423611111111111)</f>
        <v>0.1423611111</v>
      </c>
      <c r="L36" s="8">
        <f>IFERROR(__xludf.DUMMYFUNCTION("""COMPUTED_VALUE"""),0.2951388888888889)</f>
        <v>0.2951388889</v>
      </c>
      <c r="M36" s="8">
        <f>IFERROR(__xludf.DUMMYFUNCTION("""COMPUTED_VALUE"""),0.2986111111111111)</f>
        <v>0.2986111111</v>
      </c>
      <c r="N36" s="10">
        <f>IFERROR(__xludf.DUMMYFUNCTION("""COMPUTED_VALUE"""),42.0)</f>
        <v>42</v>
      </c>
      <c r="O36" s="27" t="str">
        <f t="shared" si="1"/>
        <v>indoreace4</v>
      </c>
      <c r="P36" s="27">
        <f>vlookup(O36,'Terms and condition'!$F:$H,3,0)/day(eomonth(B36,0))</f>
        <v>806.4516129</v>
      </c>
      <c r="Q36" s="27">
        <f t="shared" si="8"/>
        <v>31</v>
      </c>
      <c r="R36" s="27">
        <f t="shared" si="2"/>
        <v>988</v>
      </c>
      <c r="S36" s="27">
        <f t="shared" si="3"/>
        <v>0</v>
      </c>
      <c r="T36" s="27">
        <f t="shared" si="4"/>
        <v>32.25806452</v>
      </c>
      <c r="U36" s="28">
        <v>0.0</v>
      </c>
      <c r="V36" s="27">
        <f t="shared" si="5"/>
        <v>0</v>
      </c>
      <c r="W36" s="29">
        <f t="shared" si="6"/>
        <v>0</v>
      </c>
      <c r="X36" s="30">
        <f t="shared" si="7"/>
        <v>838.7096774</v>
      </c>
    </row>
    <row r="37">
      <c r="A37" s="3">
        <f>IFERROR(__xludf.DUMMYFUNCTION("""COMPUTED_VALUE"""),30.0)</f>
        <v>30</v>
      </c>
      <c r="B37" s="4">
        <f>IFERROR(__xludf.DUMMYFUNCTION("""COMPUTED_VALUE"""),45571.0)</f>
        <v>45571</v>
      </c>
      <c r="C37" s="3" t="str">
        <f>IFERROR(__xludf.DUMMYFUNCTION("""COMPUTED_VALUE"""),"INDORE")</f>
        <v>INDORE</v>
      </c>
      <c r="D37" s="5" t="str">
        <f>IFERROR(__xludf.DUMMYFUNCTION("""COMPUTED_VALUE"""),"SLK8")</f>
        <v>SLK8</v>
      </c>
      <c r="E37" s="6" t="str">
        <f>IFERROR(__xludf.DUMMYFUNCTION("""COMPUTED_VALUE"""),"ALPHABETZ SERVICES")</f>
        <v>ALPHABETZ SERVICES</v>
      </c>
      <c r="F37" s="6" t="str">
        <f>IFERROR(__xludf.DUMMYFUNCTION("""COMPUTED_VALUE"""),"MP09ZV0375")</f>
        <v>MP09ZV0375</v>
      </c>
      <c r="G37" s="6" t="str">
        <f>IFERROR(__xludf.DUMMYFUNCTION("""COMPUTED_VALUE"""),"ACE")</f>
        <v>ACE</v>
      </c>
      <c r="H37" s="6" t="str">
        <f>IFERROR(__xludf.DUMMYFUNCTION("""COMPUTED_VALUE"""),"DIESEL")</f>
        <v>DIESEL</v>
      </c>
      <c r="I37" s="6">
        <f>IFERROR(__xludf.DUMMYFUNCTION("""COMPUTED_VALUE"""),4.0)</f>
        <v>4</v>
      </c>
      <c r="J37" s="8">
        <f>IFERROR(__xludf.DUMMYFUNCTION("""COMPUTED_VALUE"""),0.13333333333333333)</f>
        <v>0.1333333333</v>
      </c>
      <c r="K37" s="8">
        <f>IFERROR(__xludf.DUMMYFUNCTION("""COMPUTED_VALUE"""),0.14583333333333334)</f>
        <v>0.1458333333</v>
      </c>
      <c r="L37" s="8">
        <f>IFERROR(__xludf.DUMMYFUNCTION("""COMPUTED_VALUE"""),0.2951388888888889)</f>
        <v>0.2951388889</v>
      </c>
      <c r="M37" s="8">
        <f>IFERROR(__xludf.DUMMYFUNCTION("""COMPUTED_VALUE"""),0.3020833333333333)</f>
        <v>0.3020833333</v>
      </c>
      <c r="N37" s="10">
        <f>IFERROR(__xludf.DUMMYFUNCTION("""COMPUTED_VALUE"""),31.0)</f>
        <v>31</v>
      </c>
      <c r="O37" s="27" t="str">
        <f t="shared" si="1"/>
        <v>indoreace4</v>
      </c>
      <c r="P37" s="27">
        <f>vlookup(O37,'Terms and condition'!$F:$H,3,0)/day(eomonth(B37,0))</f>
        <v>806.4516129</v>
      </c>
      <c r="Q37" s="27">
        <f t="shared" si="8"/>
        <v>26</v>
      </c>
      <c r="R37" s="27">
        <f t="shared" si="2"/>
        <v>802</v>
      </c>
      <c r="S37" s="27">
        <f t="shared" si="3"/>
        <v>0</v>
      </c>
      <c r="T37" s="27">
        <f t="shared" si="4"/>
        <v>0</v>
      </c>
      <c r="U37" s="28">
        <v>0.0</v>
      </c>
      <c r="V37" s="27">
        <f t="shared" si="5"/>
        <v>0</v>
      </c>
      <c r="W37" s="29">
        <f t="shared" si="6"/>
        <v>0</v>
      </c>
      <c r="X37" s="30">
        <f t="shared" si="7"/>
        <v>806.4516129</v>
      </c>
    </row>
    <row r="38">
      <c r="A38" s="12">
        <f>IFERROR(__xludf.DUMMYFUNCTION("""COMPUTED_VALUE"""),31.0)</f>
        <v>31</v>
      </c>
      <c r="B38" s="13">
        <f>IFERROR(__xludf.DUMMYFUNCTION("""COMPUTED_VALUE"""),45572.0)</f>
        <v>45572</v>
      </c>
      <c r="C38" s="12" t="str">
        <f>IFERROR(__xludf.DUMMYFUNCTION("""COMPUTED_VALUE"""),"INDORE")</f>
        <v>INDORE</v>
      </c>
      <c r="D38" s="14" t="str">
        <f>IFERROR(__xludf.DUMMYFUNCTION("""COMPUTED_VALUE"""),"SLK8")</f>
        <v>SLK8</v>
      </c>
      <c r="E38" s="6" t="str">
        <f>IFERROR(__xludf.DUMMYFUNCTION("""COMPUTED_VALUE"""),"ALPHABETZ SERVICES")</f>
        <v>ALPHABETZ SERVICES</v>
      </c>
      <c r="F38" s="6" t="str">
        <f>IFERROR(__xludf.DUMMYFUNCTION("""COMPUTED_VALUE"""),"MP09LR7355")</f>
        <v>MP09LR7355</v>
      </c>
      <c r="G38" s="6" t="str">
        <f>IFERROR(__xludf.DUMMYFUNCTION("""COMPUTED_VALUE"""),"ACE")</f>
        <v>ACE</v>
      </c>
      <c r="H38" s="6" t="str">
        <f>IFERROR(__xludf.DUMMYFUNCTION("""COMPUTED_VALUE"""),"DIESEL")</f>
        <v>DIESEL</v>
      </c>
      <c r="I38" s="6">
        <f>IFERROR(__xludf.DUMMYFUNCTION("""COMPUTED_VALUE"""),4.0)</f>
        <v>4</v>
      </c>
      <c r="J38" s="15">
        <f>IFERROR(__xludf.DUMMYFUNCTION("""COMPUTED_VALUE"""),0.12569444444444444)</f>
        <v>0.1256944444</v>
      </c>
      <c r="K38" s="15">
        <f>IFERROR(__xludf.DUMMYFUNCTION("""COMPUTED_VALUE"""),0.13333333333333333)</f>
        <v>0.1333333333</v>
      </c>
      <c r="L38" s="15">
        <f>IFERROR(__xludf.DUMMYFUNCTION("""COMPUTED_VALUE"""),0.2986111111111111)</f>
        <v>0.2986111111</v>
      </c>
      <c r="M38" s="15">
        <f>IFERROR(__xludf.DUMMYFUNCTION("""COMPUTED_VALUE"""),0.3111111111111111)</f>
        <v>0.3111111111</v>
      </c>
      <c r="N38" s="17">
        <f>IFERROR(__xludf.DUMMYFUNCTION("""COMPUTED_VALUE"""),51.0)</f>
        <v>51</v>
      </c>
      <c r="O38" s="27" t="str">
        <f t="shared" si="1"/>
        <v>indoreace4</v>
      </c>
      <c r="P38" s="27">
        <f>vlookup(O38,'Terms and condition'!$F:$H,3,0)/day(eomonth(B38,0))</f>
        <v>806.4516129</v>
      </c>
      <c r="Q38" s="27">
        <f t="shared" si="8"/>
        <v>30</v>
      </c>
      <c r="R38" s="27">
        <f t="shared" si="2"/>
        <v>1436</v>
      </c>
      <c r="S38" s="27">
        <f t="shared" si="3"/>
        <v>116.2666667</v>
      </c>
      <c r="T38" s="27">
        <f t="shared" si="4"/>
        <v>0</v>
      </c>
      <c r="U38" s="28">
        <v>0.0</v>
      </c>
      <c r="V38" s="27">
        <f t="shared" si="5"/>
        <v>0</v>
      </c>
      <c r="W38" s="29">
        <f t="shared" si="6"/>
        <v>0</v>
      </c>
      <c r="X38" s="30">
        <f t="shared" si="7"/>
        <v>922.7182796</v>
      </c>
    </row>
    <row r="39">
      <c r="A39" s="3">
        <f>IFERROR(__xludf.DUMMYFUNCTION("""COMPUTED_VALUE"""),32.0)</f>
        <v>32</v>
      </c>
      <c r="B39" s="4">
        <f>IFERROR(__xludf.DUMMYFUNCTION("""COMPUTED_VALUE"""),45572.0)</f>
        <v>45572</v>
      </c>
      <c r="C39" s="3" t="str">
        <f>IFERROR(__xludf.DUMMYFUNCTION("""COMPUTED_VALUE"""),"INDORE")</f>
        <v>INDORE</v>
      </c>
      <c r="D39" s="5" t="str">
        <f>IFERROR(__xludf.DUMMYFUNCTION("""COMPUTED_VALUE"""),"SLK8")</f>
        <v>SLK8</v>
      </c>
      <c r="E39" s="6" t="str">
        <f>IFERROR(__xludf.DUMMYFUNCTION("""COMPUTED_VALUE"""),"ALPHABETZ SERVICES")</f>
        <v>ALPHABETZ SERVICES</v>
      </c>
      <c r="F39" s="6" t="str">
        <f>IFERROR(__xludf.DUMMYFUNCTION("""COMPUTED_VALUE"""),"MP54L0316")</f>
        <v>MP54L0316</v>
      </c>
      <c r="G39" s="6" t="str">
        <f>IFERROR(__xludf.DUMMYFUNCTION("""COMPUTED_VALUE"""),"ACE")</f>
        <v>ACE</v>
      </c>
      <c r="H39" s="6" t="str">
        <f>IFERROR(__xludf.DUMMYFUNCTION("""COMPUTED_VALUE"""),"DIESEL")</f>
        <v>DIESEL</v>
      </c>
      <c r="I39" s="6">
        <f>IFERROR(__xludf.DUMMYFUNCTION("""COMPUTED_VALUE"""),4.0)</f>
        <v>4</v>
      </c>
      <c r="J39" s="8">
        <f>IFERROR(__xludf.DUMMYFUNCTION("""COMPUTED_VALUE"""),0.12638888888888888)</f>
        <v>0.1263888889</v>
      </c>
      <c r="K39" s="8">
        <f>IFERROR(__xludf.DUMMYFUNCTION("""COMPUTED_VALUE"""),0.13472222222222222)</f>
        <v>0.1347222222</v>
      </c>
      <c r="L39" s="8">
        <f>IFERROR(__xludf.DUMMYFUNCTION("""COMPUTED_VALUE"""),0.3402777777777778)</f>
        <v>0.3402777778</v>
      </c>
      <c r="M39" s="8">
        <f>IFERROR(__xludf.DUMMYFUNCTION("""COMPUTED_VALUE"""),0.34305555555555556)</f>
        <v>0.3430555556</v>
      </c>
      <c r="N39" s="10">
        <f>IFERROR(__xludf.DUMMYFUNCTION("""COMPUTED_VALUE"""),52.0)</f>
        <v>52</v>
      </c>
      <c r="O39" s="27" t="str">
        <f t="shared" si="1"/>
        <v>indoreace4</v>
      </c>
      <c r="P39" s="27">
        <f>vlookup(O39,'Terms and condition'!$F:$H,3,0)/day(eomonth(B39,0))</f>
        <v>806.4516129</v>
      </c>
      <c r="Q39" s="27">
        <f t="shared" si="8"/>
        <v>31</v>
      </c>
      <c r="R39" s="27">
        <f t="shared" si="2"/>
        <v>1390</v>
      </c>
      <c r="S39" s="27">
        <f t="shared" si="3"/>
        <v>100.6451613</v>
      </c>
      <c r="T39" s="27">
        <f t="shared" si="4"/>
        <v>32.25806452</v>
      </c>
      <c r="U39" s="28">
        <v>0.0</v>
      </c>
      <c r="V39" s="27">
        <f t="shared" si="5"/>
        <v>0</v>
      </c>
      <c r="W39" s="29">
        <f t="shared" si="6"/>
        <v>150</v>
      </c>
      <c r="X39" s="30">
        <f t="shared" si="7"/>
        <v>1089.354839</v>
      </c>
    </row>
    <row r="40">
      <c r="A40" s="3">
        <f>IFERROR(__xludf.DUMMYFUNCTION("""COMPUTED_VALUE"""),33.0)</f>
        <v>33</v>
      </c>
      <c r="B40" s="4">
        <f>IFERROR(__xludf.DUMMYFUNCTION("""COMPUTED_VALUE"""),45572.0)</f>
        <v>45572</v>
      </c>
      <c r="C40" s="3" t="str">
        <f>IFERROR(__xludf.DUMMYFUNCTION("""COMPUTED_VALUE"""),"INDORE")</f>
        <v>INDORE</v>
      </c>
      <c r="D40" s="5" t="str">
        <f>IFERROR(__xludf.DUMMYFUNCTION("""COMPUTED_VALUE"""),"SLK8")</f>
        <v>SLK8</v>
      </c>
      <c r="E40" s="6" t="str">
        <f>IFERROR(__xludf.DUMMYFUNCTION("""COMPUTED_VALUE"""),"ALPHABETZ SERVICES")</f>
        <v>ALPHABETZ SERVICES</v>
      </c>
      <c r="F40" s="6" t="str">
        <f>IFERROR(__xludf.DUMMYFUNCTION("""COMPUTED_VALUE"""),"MP09LP8407")</f>
        <v>MP09LP8407</v>
      </c>
      <c r="G40" s="6" t="str">
        <f>IFERROR(__xludf.DUMMYFUNCTION("""COMPUTED_VALUE"""),"ACE")</f>
        <v>ACE</v>
      </c>
      <c r="H40" s="6" t="str">
        <f>IFERROR(__xludf.DUMMYFUNCTION("""COMPUTED_VALUE"""),"DIESEL")</f>
        <v>DIESEL</v>
      </c>
      <c r="I40" s="6">
        <f>IFERROR(__xludf.DUMMYFUNCTION("""COMPUTED_VALUE"""),4.0)</f>
        <v>4</v>
      </c>
      <c r="J40" s="8">
        <f>IFERROR(__xludf.DUMMYFUNCTION("""COMPUTED_VALUE"""),0.12638888888888888)</f>
        <v>0.1263888889</v>
      </c>
      <c r="K40" s="8">
        <f>IFERROR(__xludf.DUMMYFUNCTION("""COMPUTED_VALUE"""),0.13541666666666666)</f>
        <v>0.1354166667</v>
      </c>
      <c r="L40" s="8">
        <f>IFERROR(__xludf.DUMMYFUNCTION("""COMPUTED_VALUE"""),0.2916666666666667)</f>
        <v>0.2916666667</v>
      </c>
      <c r="M40" s="8">
        <f>IFERROR(__xludf.DUMMYFUNCTION("""COMPUTED_VALUE"""),0.2986111111111111)</f>
        <v>0.2986111111</v>
      </c>
      <c r="N40" s="10">
        <f>IFERROR(__xludf.DUMMYFUNCTION("""COMPUTED_VALUE"""),36.0)</f>
        <v>36</v>
      </c>
      <c r="O40" s="27" t="str">
        <f t="shared" si="1"/>
        <v>indoreace4</v>
      </c>
      <c r="P40" s="27">
        <f>vlookup(O40,'Terms and condition'!$F:$H,3,0)/day(eomonth(B40,0))</f>
        <v>806.4516129</v>
      </c>
      <c r="Q40" s="27">
        <f t="shared" si="8"/>
        <v>31</v>
      </c>
      <c r="R40" s="27">
        <f t="shared" si="2"/>
        <v>1063</v>
      </c>
      <c r="S40" s="27">
        <f t="shared" si="3"/>
        <v>16.25806452</v>
      </c>
      <c r="T40" s="27">
        <f t="shared" si="4"/>
        <v>32.25806452</v>
      </c>
      <c r="U40" s="28">
        <v>0.0</v>
      </c>
      <c r="V40" s="27">
        <f t="shared" si="5"/>
        <v>0</v>
      </c>
      <c r="W40" s="29">
        <f t="shared" si="6"/>
        <v>0</v>
      </c>
      <c r="X40" s="30">
        <f t="shared" si="7"/>
        <v>854.9677419</v>
      </c>
    </row>
    <row r="41">
      <c r="A41" s="3">
        <f>IFERROR(__xludf.DUMMYFUNCTION("""COMPUTED_VALUE"""),34.0)</f>
        <v>34</v>
      </c>
      <c r="B41" s="4">
        <f>IFERROR(__xludf.DUMMYFUNCTION("""COMPUTED_VALUE"""),45572.0)</f>
        <v>45572</v>
      </c>
      <c r="C41" s="3" t="str">
        <f>IFERROR(__xludf.DUMMYFUNCTION("""COMPUTED_VALUE"""),"INDORE")</f>
        <v>INDORE</v>
      </c>
      <c r="D41" s="5" t="str">
        <f>IFERROR(__xludf.DUMMYFUNCTION("""COMPUTED_VALUE"""),"SLK8")</f>
        <v>SLK8</v>
      </c>
      <c r="E41" s="6" t="str">
        <f>IFERROR(__xludf.DUMMYFUNCTION("""COMPUTED_VALUE"""),"ALPHABETZ SERVICES")</f>
        <v>ALPHABETZ SERVICES</v>
      </c>
      <c r="F41" s="6" t="str">
        <f>IFERROR(__xludf.DUMMYFUNCTION("""COMPUTED_VALUE"""),"MP09ZZ6272")</f>
        <v>MP09ZZ6272</v>
      </c>
      <c r="G41" s="6" t="str">
        <f>IFERROR(__xludf.DUMMYFUNCTION("""COMPUTED_VALUE"""),"ACE")</f>
        <v>ACE</v>
      </c>
      <c r="H41" s="6" t="str">
        <f>IFERROR(__xludf.DUMMYFUNCTION("""COMPUTED_VALUE"""),"DIESEL")</f>
        <v>DIESEL</v>
      </c>
      <c r="I41" s="6">
        <f>IFERROR(__xludf.DUMMYFUNCTION("""COMPUTED_VALUE"""),4.0)</f>
        <v>4</v>
      </c>
      <c r="J41" s="8">
        <f>IFERROR(__xludf.DUMMYFUNCTION("""COMPUTED_VALUE"""),0.12777777777777777)</f>
        <v>0.1277777778</v>
      </c>
      <c r="K41" s="8">
        <f>IFERROR(__xludf.DUMMYFUNCTION("""COMPUTED_VALUE"""),0.1361111111111111)</f>
        <v>0.1361111111</v>
      </c>
      <c r="L41" s="8">
        <f>IFERROR(__xludf.DUMMYFUNCTION("""COMPUTED_VALUE"""),0.3194444444444444)</f>
        <v>0.3194444444</v>
      </c>
      <c r="M41" s="8">
        <f>IFERROR(__xludf.DUMMYFUNCTION("""COMPUTED_VALUE"""),0.3229166666666667)</f>
        <v>0.3229166667</v>
      </c>
      <c r="N41" s="10">
        <f>IFERROR(__xludf.DUMMYFUNCTION("""COMPUTED_VALUE"""),47.0)</f>
        <v>47</v>
      </c>
      <c r="O41" s="27" t="str">
        <f t="shared" si="1"/>
        <v>indoreace4</v>
      </c>
      <c r="P41" s="27">
        <f>vlookup(O41,'Terms and condition'!$F:$H,3,0)/day(eomonth(B41,0))</f>
        <v>806.4516129</v>
      </c>
      <c r="Q41" s="27">
        <f t="shared" si="8"/>
        <v>21</v>
      </c>
      <c r="R41" s="27">
        <f t="shared" si="2"/>
        <v>953</v>
      </c>
      <c r="S41" s="27">
        <f t="shared" si="3"/>
        <v>0</v>
      </c>
      <c r="T41" s="27">
        <f t="shared" si="4"/>
        <v>0</v>
      </c>
      <c r="U41" s="28">
        <v>0.0</v>
      </c>
      <c r="V41" s="27">
        <f t="shared" si="5"/>
        <v>0</v>
      </c>
      <c r="W41" s="29">
        <f t="shared" si="6"/>
        <v>0</v>
      </c>
      <c r="X41" s="30">
        <f t="shared" si="7"/>
        <v>806.4516129</v>
      </c>
    </row>
    <row r="42">
      <c r="A42" s="3">
        <f>IFERROR(__xludf.DUMMYFUNCTION("""COMPUTED_VALUE"""),35.0)</f>
        <v>35</v>
      </c>
      <c r="B42" s="4">
        <f>IFERROR(__xludf.DUMMYFUNCTION("""COMPUTED_VALUE"""),45572.0)</f>
        <v>45572</v>
      </c>
      <c r="C42" s="3" t="str">
        <f>IFERROR(__xludf.DUMMYFUNCTION("""COMPUTED_VALUE"""),"INDORE")</f>
        <v>INDORE</v>
      </c>
      <c r="D42" s="5" t="str">
        <f>IFERROR(__xludf.DUMMYFUNCTION("""COMPUTED_VALUE"""),"SLK8")</f>
        <v>SLK8</v>
      </c>
      <c r="E42" s="6" t="str">
        <f>IFERROR(__xludf.DUMMYFUNCTION("""COMPUTED_VALUE"""),"ALPHABETZ SERVICES")</f>
        <v>ALPHABETZ SERVICES</v>
      </c>
      <c r="F42" s="6" t="str">
        <f>IFERROR(__xludf.DUMMYFUNCTION("""COMPUTED_VALUE"""),"MP09ZY2923")</f>
        <v>MP09ZY2923</v>
      </c>
      <c r="G42" s="6" t="str">
        <f>IFERROR(__xludf.DUMMYFUNCTION("""COMPUTED_VALUE"""),"ACE")</f>
        <v>ACE</v>
      </c>
      <c r="H42" s="6" t="str">
        <f>IFERROR(__xludf.DUMMYFUNCTION("""COMPUTED_VALUE"""),"DIESEL")</f>
        <v>DIESEL</v>
      </c>
      <c r="I42" s="6">
        <f>IFERROR(__xludf.DUMMYFUNCTION("""COMPUTED_VALUE"""),4.0)</f>
        <v>4</v>
      </c>
      <c r="J42" s="8">
        <f>IFERROR(__xludf.DUMMYFUNCTION("""COMPUTED_VALUE"""),0.12916666666666668)</f>
        <v>0.1291666667</v>
      </c>
      <c r="K42" s="8">
        <f>IFERROR(__xludf.DUMMYFUNCTION("""COMPUTED_VALUE"""),0.1375)</f>
        <v>0.1375</v>
      </c>
      <c r="L42" s="8">
        <f>IFERROR(__xludf.DUMMYFUNCTION("""COMPUTED_VALUE"""),0.3125)</f>
        <v>0.3125</v>
      </c>
      <c r="M42" s="8">
        <f>IFERROR(__xludf.DUMMYFUNCTION("""COMPUTED_VALUE"""),0.3159722222222222)</f>
        <v>0.3159722222</v>
      </c>
      <c r="N42" s="10">
        <f>IFERROR(__xludf.DUMMYFUNCTION("""COMPUTED_VALUE"""),32.0)</f>
        <v>32</v>
      </c>
      <c r="O42" s="27" t="str">
        <f t="shared" si="1"/>
        <v>indoreace4</v>
      </c>
      <c r="P42" s="27">
        <f>vlookup(O42,'Terms and condition'!$F:$H,3,0)/day(eomonth(B42,0))</f>
        <v>806.4516129</v>
      </c>
      <c r="Q42" s="27">
        <f t="shared" si="8"/>
        <v>31</v>
      </c>
      <c r="R42" s="27">
        <f t="shared" si="2"/>
        <v>988</v>
      </c>
      <c r="S42" s="27">
        <f t="shared" si="3"/>
        <v>0</v>
      </c>
      <c r="T42" s="27">
        <f t="shared" si="4"/>
        <v>32.25806452</v>
      </c>
      <c r="U42" s="28">
        <v>0.0</v>
      </c>
      <c r="V42" s="27">
        <f t="shared" si="5"/>
        <v>0</v>
      </c>
      <c r="W42" s="29">
        <f t="shared" si="6"/>
        <v>0</v>
      </c>
      <c r="X42" s="30">
        <f t="shared" si="7"/>
        <v>838.7096774</v>
      </c>
    </row>
    <row r="43">
      <c r="A43" s="3">
        <f>IFERROR(__xludf.DUMMYFUNCTION("""COMPUTED_VALUE"""),36.0)</f>
        <v>36</v>
      </c>
      <c r="B43" s="4">
        <f>IFERROR(__xludf.DUMMYFUNCTION("""COMPUTED_VALUE"""),45572.0)</f>
        <v>45572</v>
      </c>
      <c r="C43" s="3" t="str">
        <f>IFERROR(__xludf.DUMMYFUNCTION("""COMPUTED_VALUE"""),"INDORE")</f>
        <v>INDORE</v>
      </c>
      <c r="D43" s="5" t="str">
        <f>IFERROR(__xludf.DUMMYFUNCTION("""COMPUTED_VALUE"""),"SLK8")</f>
        <v>SLK8</v>
      </c>
      <c r="E43" s="6" t="str">
        <f>IFERROR(__xludf.DUMMYFUNCTION("""COMPUTED_VALUE"""),"ALPHABETZ SERVICES")</f>
        <v>ALPHABETZ SERVICES</v>
      </c>
      <c r="F43" s="6" t="str">
        <f>IFERROR(__xludf.DUMMYFUNCTION("""COMPUTED_VALUE"""),"MP09ZV0375")</f>
        <v>MP09ZV0375</v>
      </c>
      <c r="G43" s="6" t="str">
        <f>IFERROR(__xludf.DUMMYFUNCTION("""COMPUTED_VALUE"""),"ACE")</f>
        <v>ACE</v>
      </c>
      <c r="H43" s="6" t="str">
        <f>IFERROR(__xludf.DUMMYFUNCTION("""COMPUTED_VALUE"""),"DIESEL")</f>
        <v>DIESEL</v>
      </c>
      <c r="I43" s="6">
        <f>IFERROR(__xludf.DUMMYFUNCTION("""COMPUTED_VALUE"""),4.0)</f>
        <v>4</v>
      </c>
      <c r="J43" s="8">
        <f>IFERROR(__xludf.DUMMYFUNCTION("""COMPUTED_VALUE"""),0.13125)</f>
        <v>0.13125</v>
      </c>
      <c r="K43" s="8">
        <f>IFERROR(__xludf.DUMMYFUNCTION("""COMPUTED_VALUE"""),0.14305555555555555)</f>
        <v>0.1430555556</v>
      </c>
      <c r="L43" s="8">
        <f>IFERROR(__xludf.DUMMYFUNCTION("""COMPUTED_VALUE"""),0.2986111111111111)</f>
        <v>0.2986111111</v>
      </c>
      <c r="M43" s="8">
        <f>IFERROR(__xludf.DUMMYFUNCTION("""COMPUTED_VALUE"""),0.3020833333333333)</f>
        <v>0.3020833333</v>
      </c>
      <c r="N43" s="10">
        <f>IFERROR(__xludf.DUMMYFUNCTION("""COMPUTED_VALUE"""),31.0)</f>
        <v>31</v>
      </c>
      <c r="O43" s="27" t="str">
        <f t="shared" si="1"/>
        <v>indoreace4</v>
      </c>
      <c r="P43" s="27">
        <f>vlookup(O43,'Terms and condition'!$F:$H,3,0)/day(eomonth(B43,0))</f>
        <v>806.4516129</v>
      </c>
      <c r="Q43" s="27">
        <f t="shared" si="8"/>
        <v>26</v>
      </c>
      <c r="R43" s="27">
        <f t="shared" si="2"/>
        <v>802</v>
      </c>
      <c r="S43" s="27">
        <f t="shared" si="3"/>
        <v>0</v>
      </c>
      <c r="T43" s="27">
        <f t="shared" si="4"/>
        <v>0</v>
      </c>
      <c r="U43" s="28">
        <v>0.0</v>
      </c>
      <c r="V43" s="27">
        <f t="shared" si="5"/>
        <v>0</v>
      </c>
      <c r="W43" s="29">
        <f t="shared" si="6"/>
        <v>0</v>
      </c>
      <c r="X43" s="30">
        <f t="shared" si="7"/>
        <v>806.4516129</v>
      </c>
    </row>
    <row r="44">
      <c r="A44" s="3">
        <f>IFERROR(__xludf.DUMMYFUNCTION("""COMPUTED_VALUE"""),37.0)</f>
        <v>37</v>
      </c>
      <c r="B44" s="4">
        <f>IFERROR(__xludf.DUMMYFUNCTION("""COMPUTED_VALUE"""),45573.0)</f>
        <v>45573</v>
      </c>
      <c r="C44" s="3" t="str">
        <f>IFERROR(__xludf.DUMMYFUNCTION("""COMPUTED_VALUE"""),"INDORE")</f>
        <v>INDORE</v>
      </c>
      <c r="D44" s="5" t="str">
        <f>IFERROR(__xludf.DUMMYFUNCTION("""COMPUTED_VALUE"""),"SLK8")</f>
        <v>SLK8</v>
      </c>
      <c r="E44" s="6" t="str">
        <f>IFERROR(__xludf.DUMMYFUNCTION("""COMPUTED_VALUE"""),"ALPHABETZ SERVICES")</f>
        <v>ALPHABETZ SERVICES</v>
      </c>
      <c r="F44" s="6" t="str">
        <f>IFERROR(__xludf.DUMMYFUNCTION("""COMPUTED_VALUE"""),"MP09LR7355")</f>
        <v>MP09LR7355</v>
      </c>
      <c r="G44" s="6" t="str">
        <f>IFERROR(__xludf.DUMMYFUNCTION("""COMPUTED_VALUE"""),"ACE")</f>
        <v>ACE</v>
      </c>
      <c r="H44" s="6" t="str">
        <f>IFERROR(__xludf.DUMMYFUNCTION("""COMPUTED_VALUE"""),"DIESEL")</f>
        <v>DIESEL</v>
      </c>
      <c r="I44" s="6">
        <f>IFERROR(__xludf.DUMMYFUNCTION("""COMPUTED_VALUE"""),4.0)</f>
        <v>4</v>
      </c>
      <c r="J44" s="8">
        <f>IFERROR(__xludf.DUMMYFUNCTION("""COMPUTED_VALUE"""),0.125)</f>
        <v>0.125</v>
      </c>
      <c r="K44" s="8">
        <f>IFERROR(__xludf.DUMMYFUNCTION("""COMPUTED_VALUE"""),0.12916666666666668)</f>
        <v>0.1291666667</v>
      </c>
      <c r="L44" s="8">
        <f>IFERROR(__xludf.DUMMYFUNCTION("""COMPUTED_VALUE"""),0.2986111111111111)</f>
        <v>0.2986111111</v>
      </c>
      <c r="M44" s="8">
        <f>IFERROR(__xludf.DUMMYFUNCTION("""COMPUTED_VALUE"""),0.3020833333333333)</f>
        <v>0.3020833333</v>
      </c>
      <c r="N44" s="10">
        <f>IFERROR(__xludf.DUMMYFUNCTION("""COMPUTED_VALUE"""),47.0)</f>
        <v>47</v>
      </c>
      <c r="O44" s="27" t="str">
        <f t="shared" si="1"/>
        <v>indoreace4</v>
      </c>
      <c r="P44" s="27">
        <f>vlookup(O44,'Terms and condition'!$F:$H,3,0)/day(eomonth(B44,0))</f>
        <v>806.4516129</v>
      </c>
      <c r="Q44" s="27">
        <f t="shared" si="8"/>
        <v>30</v>
      </c>
      <c r="R44" s="27">
        <f t="shared" si="2"/>
        <v>1436</v>
      </c>
      <c r="S44" s="27">
        <f t="shared" si="3"/>
        <v>116.2666667</v>
      </c>
      <c r="T44" s="27">
        <f t="shared" si="4"/>
        <v>0</v>
      </c>
      <c r="U44" s="28">
        <v>0.0</v>
      </c>
      <c r="V44" s="27">
        <f t="shared" si="5"/>
        <v>0</v>
      </c>
      <c r="W44" s="29">
        <f t="shared" si="6"/>
        <v>0</v>
      </c>
      <c r="X44" s="30">
        <f t="shared" si="7"/>
        <v>922.7182796</v>
      </c>
    </row>
    <row r="45">
      <c r="A45" s="3">
        <f>IFERROR(__xludf.DUMMYFUNCTION("""COMPUTED_VALUE"""),38.0)</f>
        <v>38</v>
      </c>
      <c r="B45" s="4">
        <f>IFERROR(__xludf.DUMMYFUNCTION("""COMPUTED_VALUE"""),45573.0)</f>
        <v>45573</v>
      </c>
      <c r="C45" s="3" t="str">
        <f>IFERROR(__xludf.DUMMYFUNCTION("""COMPUTED_VALUE"""),"INDORE")</f>
        <v>INDORE</v>
      </c>
      <c r="D45" s="5" t="str">
        <f>IFERROR(__xludf.DUMMYFUNCTION("""COMPUTED_VALUE"""),"SLK8")</f>
        <v>SLK8</v>
      </c>
      <c r="E45" s="6" t="str">
        <f>IFERROR(__xludf.DUMMYFUNCTION("""COMPUTED_VALUE"""),"ALPHABETZ SERVICES")</f>
        <v>ALPHABETZ SERVICES</v>
      </c>
      <c r="F45" s="6" t="str">
        <f>IFERROR(__xludf.DUMMYFUNCTION("""COMPUTED_VALUE"""),"MP54L0316")</f>
        <v>MP54L0316</v>
      </c>
      <c r="G45" s="6" t="str">
        <f>IFERROR(__xludf.DUMMYFUNCTION("""COMPUTED_VALUE"""),"ACE")</f>
        <v>ACE</v>
      </c>
      <c r="H45" s="6" t="str">
        <f>IFERROR(__xludf.DUMMYFUNCTION("""COMPUTED_VALUE"""),"DIESEL")</f>
        <v>DIESEL</v>
      </c>
      <c r="I45" s="6">
        <f>IFERROR(__xludf.DUMMYFUNCTION("""COMPUTED_VALUE"""),4.0)</f>
        <v>4</v>
      </c>
      <c r="J45" s="8">
        <f>IFERROR(__xludf.DUMMYFUNCTION("""COMPUTED_VALUE"""),0.125)</f>
        <v>0.125</v>
      </c>
      <c r="K45" s="8">
        <f>IFERROR(__xludf.DUMMYFUNCTION("""COMPUTED_VALUE"""),0.13194444444444445)</f>
        <v>0.1319444444</v>
      </c>
      <c r="L45" s="8">
        <f>IFERROR(__xludf.DUMMYFUNCTION("""COMPUTED_VALUE"""),0.3194444444444444)</f>
        <v>0.3194444444</v>
      </c>
      <c r="M45" s="8">
        <f>IFERROR(__xludf.DUMMYFUNCTION("""COMPUTED_VALUE"""),0.3229166666666667)</f>
        <v>0.3229166667</v>
      </c>
      <c r="N45" s="10">
        <f>IFERROR(__xludf.DUMMYFUNCTION("""COMPUTED_VALUE"""),44.0)</f>
        <v>44</v>
      </c>
      <c r="O45" s="27" t="str">
        <f t="shared" si="1"/>
        <v>indoreace4</v>
      </c>
      <c r="P45" s="27">
        <f>vlookup(O45,'Terms and condition'!$F:$H,3,0)/day(eomonth(B45,0))</f>
        <v>806.4516129</v>
      </c>
      <c r="Q45" s="27">
        <f t="shared" si="8"/>
        <v>31</v>
      </c>
      <c r="R45" s="27">
        <f t="shared" si="2"/>
        <v>1390</v>
      </c>
      <c r="S45" s="27">
        <f t="shared" si="3"/>
        <v>100.6451613</v>
      </c>
      <c r="T45" s="27">
        <f t="shared" si="4"/>
        <v>32.25806452</v>
      </c>
      <c r="U45" s="28">
        <v>0.0</v>
      </c>
      <c r="V45" s="27">
        <f t="shared" si="5"/>
        <v>0</v>
      </c>
      <c r="W45" s="29">
        <f t="shared" si="6"/>
        <v>0</v>
      </c>
      <c r="X45" s="30">
        <f t="shared" si="7"/>
        <v>939.3548387</v>
      </c>
    </row>
    <row r="46">
      <c r="A46" s="3">
        <f>IFERROR(__xludf.DUMMYFUNCTION("""COMPUTED_VALUE"""),39.0)</f>
        <v>39</v>
      </c>
      <c r="B46" s="4">
        <f>IFERROR(__xludf.DUMMYFUNCTION("""COMPUTED_VALUE"""),45573.0)</f>
        <v>45573</v>
      </c>
      <c r="C46" s="3" t="str">
        <f>IFERROR(__xludf.DUMMYFUNCTION("""COMPUTED_VALUE"""),"INDORE")</f>
        <v>INDORE</v>
      </c>
      <c r="D46" s="5" t="str">
        <f>IFERROR(__xludf.DUMMYFUNCTION("""COMPUTED_VALUE"""),"SLK8")</f>
        <v>SLK8</v>
      </c>
      <c r="E46" s="6" t="str">
        <f>IFERROR(__xludf.DUMMYFUNCTION("""COMPUTED_VALUE"""),"ALPHABETZ SERVICES")</f>
        <v>ALPHABETZ SERVICES</v>
      </c>
      <c r="F46" s="6" t="str">
        <f>IFERROR(__xludf.DUMMYFUNCTION("""COMPUTED_VALUE"""),"MP09LP8407")</f>
        <v>MP09LP8407</v>
      </c>
      <c r="G46" s="6" t="str">
        <f>IFERROR(__xludf.DUMMYFUNCTION("""COMPUTED_VALUE"""),"ACE")</f>
        <v>ACE</v>
      </c>
      <c r="H46" s="6" t="str">
        <f>IFERROR(__xludf.DUMMYFUNCTION("""COMPUTED_VALUE"""),"DIESEL")</f>
        <v>DIESEL</v>
      </c>
      <c r="I46" s="6">
        <f>IFERROR(__xludf.DUMMYFUNCTION("""COMPUTED_VALUE"""),4.0)</f>
        <v>4</v>
      </c>
      <c r="J46" s="8">
        <f>IFERROR(__xludf.DUMMYFUNCTION("""COMPUTED_VALUE"""),0.125)</f>
        <v>0.125</v>
      </c>
      <c r="K46" s="8">
        <f>IFERROR(__xludf.DUMMYFUNCTION("""COMPUTED_VALUE"""),0.13541666666666666)</f>
        <v>0.1354166667</v>
      </c>
      <c r="L46" s="8">
        <f>IFERROR(__xludf.DUMMYFUNCTION("""COMPUTED_VALUE"""),0.2847222222222222)</f>
        <v>0.2847222222</v>
      </c>
      <c r="M46" s="8">
        <f>IFERROR(__xludf.DUMMYFUNCTION("""COMPUTED_VALUE"""),0.2881944444444444)</f>
        <v>0.2881944444</v>
      </c>
      <c r="N46" s="10">
        <f>IFERROR(__xludf.DUMMYFUNCTION("""COMPUTED_VALUE"""),35.0)</f>
        <v>35</v>
      </c>
      <c r="O46" s="27" t="str">
        <f t="shared" si="1"/>
        <v>indoreace4</v>
      </c>
      <c r="P46" s="27">
        <f>vlookup(O46,'Terms and condition'!$F:$H,3,0)/day(eomonth(B46,0))</f>
        <v>806.4516129</v>
      </c>
      <c r="Q46" s="27">
        <f t="shared" si="8"/>
        <v>31</v>
      </c>
      <c r="R46" s="27">
        <f t="shared" si="2"/>
        <v>1063</v>
      </c>
      <c r="S46" s="27">
        <f t="shared" si="3"/>
        <v>16.25806452</v>
      </c>
      <c r="T46" s="27">
        <f t="shared" si="4"/>
        <v>32.25806452</v>
      </c>
      <c r="U46" s="28">
        <v>0.0</v>
      </c>
      <c r="V46" s="27">
        <f t="shared" si="5"/>
        <v>0</v>
      </c>
      <c r="W46" s="29">
        <f t="shared" si="6"/>
        <v>0</v>
      </c>
      <c r="X46" s="30">
        <f t="shared" si="7"/>
        <v>854.9677419</v>
      </c>
    </row>
    <row r="47">
      <c r="A47" s="3">
        <f>IFERROR(__xludf.DUMMYFUNCTION("""COMPUTED_VALUE"""),40.0)</f>
        <v>40</v>
      </c>
      <c r="B47" s="4">
        <f>IFERROR(__xludf.DUMMYFUNCTION("""COMPUTED_VALUE"""),45573.0)</f>
        <v>45573</v>
      </c>
      <c r="C47" s="3" t="str">
        <f>IFERROR(__xludf.DUMMYFUNCTION("""COMPUTED_VALUE"""),"INDORE")</f>
        <v>INDORE</v>
      </c>
      <c r="D47" s="5" t="str">
        <f>IFERROR(__xludf.DUMMYFUNCTION("""COMPUTED_VALUE"""),"SLK8")</f>
        <v>SLK8</v>
      </c>
      <c r="E47" s="6" t="str">
        <f>IFERROR(__xludf.DUMMYFUNCTION("""COMPUTED_VALUE"""),"ALPHABETZ SERVICES")</f>
        <v>ALPHABETZ SERVICES</v>
      </c>
      <c r="F47" s="6" t="str">
        <f>IFERROR(__xludf.DUMMYFUNCTION("""COMPUTED_VALUE"""),"MP09ZY2923")</f>
        <v>MP09ZY2923</v>
      </c>
      <c r="G47" s="6" t="str">
        <f>IFERROR(__xludf.DUMMYFUNCTION("""COMPUTED_VALUE"""),"ACE")</f>
        <v>ACE</v>
      </c>
      <c r="H47" s="6" t="str">
        <f>IFERROR(__xludf.DUMMYFUNCTION("""COMPUTED_VALUE"""),"DIESEL")</f>
        <v>DIESEL</v>
      </c>
      <c r="I47" s="6">
        <f>IFERROR(__xludf.DUMMYFUNCTION("""COMPUTED_VALUE"""),4.0)</f>
        <v>4</v>
      </c>
      <c r="J47" s="8">
        <f>IFERROR(__xludf.DUMMYFUNCTION("""COMPUTED_VALUE"""),0.12569444444444444)</f>
        <v>0.1256944444</v>
      </c>
      <c r="K47" s="8">
        <f>IFERROR(__xludf.DUMMYFUNCTION("""COMPUTED_VALUE"""),0.13680555555555557)</f>
        <v>0.1368055556</v>
      </c>
      <c r="L47" s="8">
        <f>IFERROR(__xludf.DUMMYFUNCTION("""COMPUTED_VALUE"""),0.3125)</f>
        <v>0.3125</v>
      </c>
      <c r="M47" s="8">
        <f>IFERROR(__xludf.DUMMYFUNCTION("""COMPUTED_VALUE"""),0.3159722222222222)</f>
        <v>0.3159722222</v>
      </c>
      <c r="N47" s="10">
        <f>IFERROR(__xludf.DUMMYFUNCTION("""COMPUTED_VALUE"""),31.0)</f>
        <v>31</v>
      </c>
      <c r="O47" s="27" t="str">
        <f t="shared" si="1"/>
        <v>indoreace4</v>
      </c>
      <c r="P47" s="27">
        <f>vlookup(O47,'Terms and condition'!$F:$H,3,0)/day(eomonth(B47,0))</f>
        <v>806.4516129</v>
      </c>
      <c r="Q47" s="27">
        <f t="shared" si="8"/>
        <v>31</v>
      </c>
      <c r="R47" s="27">
        <f t="shared" si="2"/>
        <v>988</v>
      </c>
      <c r="S47" s="27">
        <f t="shared" si="3"/>
        <v>0</v>
      </c>
      <c r="T47" s="27">
        <f t="shared" si="4"/>
        <v>32.25806452</v>
      </c>
      <c r="U47" s="28">
        <v>0.0</v>
      </c>
      <c r="V47" s="27">
        <f t="shared" si="5"/>
        <v>0</v>
      </c>
      <c r="W47" s="29">
        <f t="shared" si="6"/>
        <v>0</v>
      </c>
      <c r="X47" s="30">
        <f t="shared" si="7"/>
        <v>838.7096774</v>
      </c>
    </row>
    <row r="48">
      <c r="A48" s="3">
        <f>IFERROR(__xludf.DUMMYFUNCTION("""COMPUTED_VALUE"""),41.0)</f>
        <v>41</v>
      </c>
      <c r="B48" s="4">
        <f>IFERROR(__xludf.DUMMYFUNCTION("""COMPUTED_VALUE"""),45573.0)</f>
        <v>45573</v>
      </c>
      <c r="C48" s="3" t="str">
        <f>IFERROR(__xludf.DUMMYFUNCTION("""COMPUTED_VALUE"""),"INDORE")</f>
        <v>INDORE</v>
      </c>
      <c r="D48" s="5" t="str">
        <f>IFERROR(__xludf.DUMMYFUNCTION("""COMPUTED_VALUE"""),"SLK8")</f>
        <v>SLK8</v>
      </c>
      <c r="E48" s="6" t="str">
        <f>IFERROR(__xludf.DUMMYFUNCTION("""COMPUTED_VALUE"""),"ALPHABETZ SERVICES")</f>
        <v>ALPHABETZ SERVICES</v>
      </c>
      <c r="F48" s="6" t="str">
        <f>IFERROR(__xludf.DUMMYFUNCTION("""COMPUTED_VALUE"""),"MP09ZZ6272")</f>
        <v>MP09ZZ6272</v>
      </c>
      <c r="G48" s="6" t="str">
        <f>IFERROR(__xludf.DUMMYFUNCTION("""COMPUTED_VALUE"""),"ACE")</f>
        <v>ACE</v>
      </c>
      <c r="H48" s="6" t="str">
        <f>IFERROR(__xludf.DUMMYFUNCTION("""COMPUTED_VALUE"""),"DIESEL")</f>
        <v>DIESEL</v>
      </c>
      <c r="I48" s="6">
        <f>IFERROR(__xludf.DUMMYFUNCTION("""COMPUTED_VALUE"""),4.0)</f>
        <v>4</v>
      </c>
      <c r="J48" s="8">
        <f>IFERROR(__xludf.DUMMYFUNCTION("""COMPUTED_VALUE"""),0.12777777777777777)</f>
        <v>0.1277777778</v>
      </c>
      <c r="K48" s="8">
        <f>IFERROR(__xludf.DUMMYFUNCTION("""COMPUTED_VALUE"""),0.1388888888888889)</f>
        <v>0.1388888889</v>
      </c>
      <c r="L48" s="8">
        <f>IFERROR(__xludf.DUMMYFUNCTION("""COMPUTED_VALUE"""),0.3020833333333333)</f>
        <v>0.3020833333</v>
      </c>
      <c r="M48" s="8">
        <f>IFERROR(__xludf.DUMMYFUNCTION("""COMPUTED_VALUE"""),0.3055555555555556)</f>
        <v>0.3055555556</v>
      </c>
      <c r="N48" s="10">
        <f>IFERROR(__xludf.DUMMYFUNCTION("""COMPUTED_VALUE"""),45.0)</f>
        <v>45</v>
      </c>
      <c r="O48" s="27" t="str">
        <f t="shared" si="1"/>
        <v>indoreace4</v>
      </c>
      <c r="P48" s="27">
        <f>vlookup(O48,'Terms and condition'!$F:$H,3,0)/day(eomonth(B48,0))</f>
        <v>806.4516129</v>
      </c>
      <c r="Q48" s="27">
        <f t="shared" si="8"/>
        <v>21</v>
      </c>
      <c r="R48" s="27">
        <f t="shared" si="2"/>
        <v>953</v>
      </c>
      <c r="S48" s="27">
        <f t="shared" si="3"/>
        <v>0</v>
      </c>
      <c r="T48" s="27">
        <f t="shared" si="4"/>
        <v>0</v>
      </c>
      <c r="U48" s="28">
        <v>0.0</v>
      </c>
      <c r="V48" s="27">
        <f t="shared" si="5"/>
        <v>0</v>
      </c>
      <c r="W48" s="29">
        <f t="shared" si="6"/>
        <v>0</v>
      </c>
      <c r="X48" s="30">
        <f t="shared" si="7"/>
        <v>806.4516129</v>
      </c>
    </row>
    <row r="49">
      <c r="A49" s="3">
        <f>IFERROR(__xludf.DUMMYFUNCTION("""COMPUTED_VALUE"""),42.0)</f>
        <v>42</v>
      </c>
      <c r="B49" s="4">
        <f>IFERROR(__xludf.DUMMYFUNCTION("""COMPUTED_VALUE"""),45573.0)</f>
        <v>45573</v>
      </c>
      <c r="C49" s="3" t="str">
        <f>IFERROR(__xludf.DUMMYFUNCTION("""COMPUTED_VALUE"""),"INDORE")</f>
        <v>INDORE</v>
      </c>
      <c r="D49" s="5" t="str">
        <f>IFERROR(__xludf.DUMMYFUNCTION("""COMPUTED_VALUE"""),"SLK8")</f>
        <v>SLK8</v>
      </c>
      <c r="E49" s="6" t="str">
        <f>IFERROR(__xludf.DUMMYFUNCTION("""COMPUTED_VALUE"""),"ALPHABETZ SERVICES")</f>
        <v>ALPHABETZ SERVICES</v>
      </c>
      <c r="F49" s="6" t="str">
        <f>IFERROR(__xludf.DUMMYFUNCTION("""COMPUTED_VALUE"""),"MP09ZV0375")</f>
        <v>MP09ZV0375</v>
      </c>
      <c r="G49" s="6" t="str">
        <f>IFERROR(__xludf.DUMMYFUNCTION("""COMPUTED_VALUE"""),"ACE")</f>
        <v>ACE</v>
      </c>
      <c r="H49" s="6" t="str">
        <f>IFERROR(__xludf.DUMMYFUNCTION("""COMPUTED_VALUE"""),"DIESEL")</f>
        <v>DIESEL</v>
      </c>
      <c r="I49" s="6">
        <f>IFERROR(__xludf.DUMMYFUNCTION("""COMPUTED_VALUE"""),4.0)</f>
        <v>4</v>
      </c>
      <c r="J49" s="8">
        <f>IFERROR(__xludf.DUMMYFUNCTION("""COMPUTED_VALUE"""),0.13541666666666666)</f>
        <v>0.1354166667</v>
      </c>
      <c r="K49" s="8">
        <f>IFERROR(__xludf.DUMMYFUNCTION("""COMPUTED_VALUE"""),0.14375)</f>
        <v>0.14375</v>
      </c>
      <c r="L49" s="8">
        <f>IFERROR(__xludf.DUMMYFUNCTION("""COMPUTED_VALUE"""),0.3055555555555556)</f>
        <v>0.3055555556</v>
      </c>
      <c r="M49" s="8">
        <f>IFERROR(__xludf.DUMMYFUNCTION("""COMPUTED_VALUE"""),0.3090277777777778)</f>
        <v>0.3090277778</v>
      </c>
      <c r="N49" s="10">
        <f>IFERROR(__xludf.DUMMYFUNCTION("""COMPUTED_VALUE"""),31.0)</f>
        <v>31</v>
      </c>
      <c r="O49" s="27" t="str">
        <f t="shared" si="1"/>
        <v>indoreace4</v>
      </c>
      <c r="P49" s="27">
        <f>vlookup(O49,'Terms and condition'!$F:$H,3,0)/day(eomonth(B49,0))</f>
        <v>806.4516129</v>
      </c>
      <c r="Q49" s="27">
        <f t="shared" si="8"/>
        <v>26</v>
      </c>
      <c r="R49" s="27">
        <f t="shared" si="2"/>
        <v>802</v>
      </c>
      <c r="S49" s="27">
        <f t="shared" si="3"/>
        <v>0</v>
      </c>
      <c r="T49" s="27">
        <f t="shared" si="4"/>
        <v>0</v>
      </c>
      <c r="U49" s="28">
        <v>0.0</v>
      </c>
      <c r="V49" s="27">
        <f t="shared" si="5"/>
        <v>0</v>
      </c>
      <c r="W49" s="29">
        <f t="shared" si="6"/>
        <v>0</v>
      </c>
      <c r="X49" s="30">
        <f t="shared" si="7"/>
        <v>806.4516129</v>
      </c>
    </row>
    <row r="50">
      <c r="A50" s="3">
        <f>IFERROR(__xludf.DUMMYFUNCTION("""COMPUTED_VALUE"""),43.0)</f>
        <v>43</v>
      </c>
      <c r="B50" s="4">
        <f>IFERROR(__xludf.DUMMYFUNCTION("""COMPUTED_VALUE"""),45574.0)</f>
        <v>45574</v>
      </c>
      <c r="C50" s="3" t="str">
        <f>IFERROR(__xludf.DUMMYFUNCTION("""COMPUTED_VALUE"""),"INDORE")</f>
        <v>INDORE</v>
      </c>
      <c r="D50" s="5" t="str">
        <f>IFERROR(__xludf.DUMMYFUNCTION("""COMPUTED_VALUE"""),"SLK8")</f>
        <v>SLK8</v>
      </c>
      <c r="E50" s="6" t="str">
        <f>IFERROR(__xludf.DUMMYFUNCTION("""COMPUTED_VALUE"""),"ALPHABETZ SERVICES")</f>
        <v>ALPHABETZ SERVICES</v>
      </c>
      <c r="F50" s="6" t="str">
        <f>IFERROR(__xludf.DUMMYFUNCTION("""COMPUTED_VALUE"""),"MP09LR7355")</f>
        <v>MP09LR7355</v>
      </c>
      <c r="G50" s="6" t="str">
        <f>IFERROR(__xludf.DUMMYFUNCTION("""COMPUTED_VALUE"""),"ACE")</f>
        <v>ACE</v>
      </c>
      <c r="H50" s="6" t="str">
        <f>IFERROR(__xludf.DUMMYFUNCTION("""COMPUTED_VALUE"""),"DIESEL")</f>
        <v>DIESEL</v>
      </c>
      <c r="I50" s="6">
        <f>IFERROR(__xludf.DUMMYFUNCTION("""COMPUTED_VALUE"""),4.0)</f>
        <v>4</v>
      </c>
      <c r="J50" s="8">
        <f>IFERROR(__xludf.DUMMYFUNCTION("""COMPUTED_VALUE"""),0.125)</f>
        <v>0.125</v>
      </c>
      <c r="K50" s="8">
        <f>IFERROR(__xludf.DUMMYFUNCTION("""COMPUTED_VALUE"""),0.13194444444444445)</f>
        <v>0.1319444444</v>
      </c>
      <c r="L50" s="8">
        <f>IFERROR(__xludf.DUMMYFUNCTION("""COMPUTED_VALUE"""),0.3159722222222222)</f>
        <v>0.3159722222</v>
      </c>
      <c r="M50" s="8">
        <f>IFERROR(__xludf.DUMMYFUNCTION("""COMPUTED_VALUE"""),0.3194444444444444)</f>
        <v>0.3194444444</v>
      </c>
      <c r="N50" s="10">
        <f>IFERROR(__xludf.DUMMYFUNCTION("""COMPUTED_VALUE"""),53.0)</f>
        <v>53</v>
      </c>
      <c r="O50" s="27" t="str">
        <f t="shared" si="1"/>
        <v>indoreace4</v>
      </c>
      <c r="P50" s="27">
        <f>vlookup(O50,'Terms and condition'!$F:$H,3,0)/day(eomonth(B50,0))</f>
        <v>806.4516129</v>
      </c>
      <c r="Q50" s="27">
        <f t="shared" si="8"/>
        <v>30</v>
      </c>
      <c r="R50" s="27">
        <f t="shared" si="2"/>
        <v>1436</v>
      </c>
      <c r="S50" s="27">
        <f t="shared" si="3"/>
        <v>116.2666667</v>
      </c>
      <c r="T50" s="27">
        <f t="shared" si="4"/>
        <v>0</v>
      </c>
      <c r="U50" s="28">
        <v>0.0</v>
      </c>
      <c r="V50" s="27">
        <f t="shared" si="5"/>
        <v>0</v>
      </c>
      <c r="W50" s="29">
        <f t="shared" si="6"/>
        <v>0</v>
      </c>
      <c r="X50" s="30">
        <f t="shared" si="7"/>
        <v>922.7182796</v>
      </c>
    </row>
    <row r="51">
      <c r="A51" s="3">
        <f>IFERROR(__xludf.DUMMYFUNCTION("""COMPUTED_VALUE"""),44.0)</f>
        <v>44</v>
      </c>
      <c r="B51" s="4">
        <f>IFERROR(__xludf.DUMMYFUNCTION("""COMPUTED_VALUE"""),45574.0)</f>
        <v>45574</v>
      </c>
      <c r="C51" s="3" t="str">
        <f>IFERROR(__xludf.DUMMYFUNCTION("""COMPUTED_VALUE"""),"INDORE")</f>
        <v>INDORE</v>
      </c>
      <c r="D51" s="5" t="str">
        <f>IFERROR(__xludf.DUMMYFUNCTION("""COMPUTED_VALUE"""),"SLK8")</f>
        <v>SLK8</v>
      </c>
      <c r="E51" s="6" t="str">
        <f>IFERROR(__xludf.DUMMYFUNCTION("""COMPUTED_VALUE"""),"ALPHABETZ SERVICES")</f>
        <v>ALPHABETZ SERVICES</v>
      </c>
      <c r="F51" s="6" t="str">
        <f>IFERROR(__xludf.DUMMYFUNCTION("""COMPUTED_VALUE"""),"MP54L0316")</f>
        <v>MP54L0316</v>
      </c>
      <c r="G51" s="6" t="str">
        <f>IFERROR(__xludf.DUMMYFUNCTION("""COMPUTED_VALUE"""),"ACE")</f>
        <v>ACE</v>
      </c>
      <c r="H51" s="6" t="str">
        <f>IFERROR(__xludf.DUMMYFUNCTION("""COMPUTED_VALUE"""),"DIESEL")</f>
        <v>DIESEL</v>
      </c>
      <c r="I51" s="6">
        <f>IFERROR(__xludf.DUMMYFUNCTION("""COMPUTED_VALUE"""),4.0)</f>
        <v>4</v>
      </c>
      <c r="J51" s="8">
        <f>IFERROR(__xludf.DUMMYFUNCTION("""COMPUTED_VALUE"""),0.12569444444444444)</f>
        <v>0.1256944444</v>
      </c>
      <c r="K51" s="8">
        <f>IFERROR(__xludf.DUMMYFUNCTION("""COMPUTED_VALUE"""),0.13333333333333333)</f>
        <v>0.1333333333</v>
      </c>
      <c r="L51" s="8">
        <f>IFERROR(__xludf.DUMMYFUNCTION("""COMPUTED_VALUE"""),0.3125)</f>
        <v>0.3125</v>
      </c>
      <c r="M51" s="8">
        <f>IFERROR(__xludf.DUMMYFUNCTION("""COMPUTED_VALUE"""),0.3159722222222222)</f>
        <v>0.3159722222</v>
      </c>
      <c r="N51" s="10">
        <f>IFERROR(__xludf.DUMMYFUNCTION("""COMPUTED_VALUE"""),44.0)</f>
        <v>44</v>
      </c>
      <c r="O51" s="27" t="str">
        <f t="shared" si="1"/>
        <v>indoreace4</v>
      </c>
      <c r="P51" s="27">
        <f>vlookup(O51,'Terms and condition'!$F:$H,3,0)/day(eomonth(B51,0))</f>
        <v>806.4516129</v>
      </c>
      <c r="Q51" s="27">
        <f t="shared" si="8"/>
        <v>31</v>
      </c>
      <c r="R51" s="27">
        <f t="shared" si="2"/>
        <v>1390</v>
      </c>
      <c r="S51" s="27">
        <f t="shared" si="3"/>
        <v>100.6451613</v>
      </c>
      <c r="T51" s="27">
        <f t="shared" si="4"/>
        <v>32.25806452</v>
      </c>
      <c r="U51" s="28">
        <v>0.0</v>
      </c>
      <c r="V51" s="27">
        <f t="shared" si="5"/>
        <v>0</v>
      </c>
      <c r="W51" s="29">
        <f t="shared" si="6"/>
        <v>0</v>
      </c>
      <c r="X51" s="30">
        <f t="shared" si="7"/>
        <v>939.3548387</v>
      </c>
    </row>
    <row r="52">
      <c r="A52" s="3">
        <f>IFERROR(__xludf.DUMMYFUNCTION("""COMPUTED_VALUE"""),45.0)</f>
        <v>45</v>
      </c>
      <c r="B52" s="4">
        <f>IFERROR(__xludf.DUMMYFUNCTION("""COMPUTED_VALUE"""),45574.0)</f>
        <v>45574</v>
      </c>
      <c r="C52" s="3" t="str">
        <f>IFERROR(__xludf.DUMMYFUNCTION("""COMPUTED_VALUE"""),"INDORE")</f>
        <v>INDORE</v>
      </c>
      <c r="D52" s="5" t="str">
        <f>IFERROR(__xludf.DUMMYFUNCTION("""COMPUTED_VALUE"""),"SLK8")</f>
        <v>SLK8</v>
      </c>
      <c r="E52" s="6" t="str">
        <f>IFERROR(__xludf.DUMMYFUNCTION("""COMPUTED_VALUE"""),"ALPHABETZ SERVICES")</f>
        <v>ALPHABETZ SERVICES</v>
      </c>
      <c r="F52" s="6" t="str">
        <f>IFERROR(__xludf.DUMMYFUNCTION("""COMPUTED_VALUE"""),"MP09ZY2923")</f>
        <v>MP09ZY2923</v>
      </c>
      <c r="G52" s="6" t="str">
        <f>IFERROR(__xludf.DUMMYFUNCTION("""COMPUTED_VALUE"""),"ACE")</f>
        <v>ACE</v>
      </c>
      <c r="H52" s="6" t="str">
        <f>IFERROR(__xludf.DUMMYFUNCTION("""COMPUTED_VALUE"""),"DIESEL")</f>
        <v>DIESEL</v>
      </c>
      <c r="I52" s="6">
        <f>IFERROR(__xludf.DUMMYFUNCTION("""COMPUTED_VALUE"""),4.0)</f>
        <v>4</v>
      </c>
      <c r="J52" s="8">
        <f>IFERROR(__xludf.DUMMYFUNCTION("""COMPUTED_VALUE"""),0.12777777777777777)</f>
        <v>0.1277777778</v>
      </c>
      <c r="K52" s="8">
        <f>IFERROR(__xludf.DUMMYFUNCTION("""COMPUTED_VALUE"""),0.13472222222222222)</f>
        <v>0.1347222222</v>
      </c>
      <c r="L52" s="8">
        <f>IFERROR(__xludf.DUMMYFUNCTION("""COMPUTED_VALUE"""),0.3125)</f>
        <v>0.3125</v>
      </c>
      <c r="M52" s="8">
        <f>IFERROR(__xludf.DUMMYFUNCTION("""COMPUTED_VALUE"""),0.31666666666666665)</f>
        <v>0.3166666667</v>
      </c>
      <c r="N52" s="10">
        <f>IFERROR(__xludf.DUMMYFUNCTION("""COMPUTED_VALUE"""),34.0)</f>
        <v>34</v>
      </c>
      <c r="O52" s="27" t="str">
        <f t="shared" si="1"/>
        <v>indoreace4</v>
      </c>
      <c r="P52" s="27">
        <f>vlookup(O52,'Terms and condition'!$F:$H,3,0)/day(eomonth(B52,0))</f>
        <v>806.4516129</v>
      </c>
      <c r="Q52" s="27">
        <f t="shared" si="8"/>
        <v>31</v>
      </c>
      <c r="R52" s="27">
        <f t="shared" si="2"/>
        <v>988</v>
      </c>
      <c r="S52" s="27">
        <f t="shared" si="3"/>
        <v>0</v>
      </c>
      <c r="T52" s="27">
        <f t="shared" si="4"/>
        <v>32.25806452</v>
      </c>
      <c r="U52" s="28">
        <v>0.0</v>
      </c>
      <c r="V52" s="27">
        <f t="shared" si="5"/>
        <v>0</v>
      </c>
      <c r="W52" s="29">
        <f t="shared" si="6"/>
        <v>0</v>
      </c>
      <c r="X52" s="30">
        <f t="shared" si="7"/>
        <v>838.7096774</v>
      </c>
    </row>
    <row r="53">
      <c r="A53" s="3">
        <f>IFERROR(__xludf.DUMMYFUNCTION("""COMPUTED_VALUE"""),46.0)</f>
        <v>46</v>
      </c>
      <c r="B53" s="4">
        <f>IFERROR(__xludf.DUMMYFUNCTION("""COMPUTED_VALUE"""),45574.0)</f>
        <v>45574</v>
      </c>
      <c r="C53" s="3" t="str">
        <f>IFERROR(__xludf.DUMMYFUNCTION("""COMPUTED_VALUE"""),"INDORE")</f>
        <v>INDORE</v>
      </c>
      <c r="D53" s="5" t="str">
        <f>IFERROR(__xludf.DUMMYFUNCTION("""COMPUTED_VALUE"""),"SLK8")</f>
        <v>SLK8</v>
      </c>
      <c r="E53" s="6" t="str">
        <f>IFERROR(__xludf.DUMMYFUNCTION("""COMPUTED_VALUE"""),"ALPHABETZ SERVICES")</f>
        <v>ALPHABETZ SERVICES</v>
      </c>
      <c r="F53" s="6" t="str">
        <f>IFERROR(__xludf.DUMMYFUNCTION("""COMPUTED_VALUE"""),"MP09ZV0375")</f>
        <v>MP09ZV0375</v>
      </c>
      <c r="G53" s="6" t="str">
        <f>IFERROR(__xludf.DUMMYFUNCTION("""COMPUTED_VALUE"""),"ACE")</f>
        <v>ACE</v>
      </c>
      <c r="H53" s="6" t="str">
        <f>IFERROR(__xludf.DUMMYFUNCTION("""COMPUTED_VALUE"""),"DIESEL")</f>
        <v>DIESEL</v>
      </c>
      <c r="I53" s="6">
        <f>IFERROR(__xludf.DUMMYFUNCTION("""COMPUTED_VALUE"""),4.0)</f>
        <v>4</v>
      </c>
      <c r="J53" s="8">
        <f>IFERROR(__xludf.DUMMYFUNCTION("""COMPUTED_VALUE"""),0.12777777777777777)</f>
        <v>0.1277777778</v>
      </c>
      <c r="K53" s="8">
        <f>IFERROR(__xludf.DUMMYFUNCTION("""COMPUTED_VALUE"""),0.13541666666666666)</f>
        <v>0.1354166667</v>
      </c>
      <c r="L53" s="8">
        <f>IFERROR(__xludf.DUMMYFUNCTION("""COMPUTED_VALUE"""),0.3125)</f>
        <v>0.3125</v>
      </c>
      <c r="M53" s="8">
        <f>IFERROR(__xludf.DUMMYFUNCTION("""COMPUTED_VALUE"""),0.3173611111111111)</f>
        <v>0.3173611111</v>
      </c>
      <c r="N53" s="10">
        <f>IFERROR(__xludf.DUMMYFUNCTION("""COMPUTED_VALUE"""),31.0)</f>
        <v>31</v>
      </c>
      <c r="O53" s="27" t="str">
        <f t="shared" si="1"/>
        <v>indoreace4</v>
      </c>
      <c r="P53" s="27">
        <f>vlookup(O53,'Terms and condition'!$F:$H,3,0)/day(eomonth(B53,0))</f>
        <v>806.4516129</v>
      </c>
      <c r="Q53" s="27">
        <f t="shared" si="8"/>
        <v>26</v>
      </c>
      <c r="R53" s="27">
        <f t="shared" si="2"/>
        <v>802</v>
      </c>
      <c r="S53" s="27">
        <f t="shared" si="3"/>
        <v>0</v>
      </c>
      <c r="T53" s="27">
        <f t="shared" si="4"/>
        <v>0</v>
      </c>
      <c r="U53" s="28">
        <v>0.0</v>
      </c>
      <c r="V53" s="27">
        <f t="shared" si="5"/>
        <v>0</v>
      </c>
      <c r="W53" s="29">
        <f t="shared" si="6"/>
        <v>0</v>
      </c>
      <c r="X53" s="30">
        <f t="shared" si="7"/>
        <v>806.4516129</v>
      </c>
    </row>
    <row r="54">
      <c r="A54" s="3">
        <f>IFERROR(__xludf.DUMMYFUNCTION("""COMPUTED_VALUE"""),47.0)</f>
        <v>47</v>
      </c>
      <c r="B54" s="4">
        <f>IFERROR(__xludf.DUMMYFUNCTION("""COMPUTED_VALUE"""),45574.0)</f>
        <v>45574</v>
      </c>
      <c r="C54" s="3" t="str">
        <f>IFERROR(__xludf.DUMMYFUNCTION("""COMPUTED_VALUE"""),"INDORE")</f>
        <v>INDORE</v>
      </c>
      <c r="D54" s="5" t="str">
        <f>IFERROR(__xludf.DUMMYFUNCTION("""COMPUTED_VALUE"""),"SLK8")</f>
        <v>SLK8</v>
      </c>
      <c r="E54" s="6" t="str">
        <f>IFERROR(__xludf.DUMMYFUNCTION("""COMPUTED_VALUE"""),"ALPHABETZ SERVICES")</f>
        <v>ALPHABETZ SERVICES</v>
      </c>
      <c r="F54" s="6" t="str">
        <f>IFERROR(__xludf.DUMMYFUNCTION("""COMPUTED_VALUE"""),"MP09LP8407")</f>
        <v>MP09LP8407</v>
      </c>
      <c r="G54" s="6" t="str">
        <f>IFERROR(__xludf.DUMMYFUNCTION("""COMPUTED_VALUE"""),"ACE")</f>
        <v>ACE</v>
      </c>
      <c r="H54" s="6" t="str">
        <f>IFERROR(__xludf.DUMMYFUNCTION("""COMPUTED_VALUE"""),"DIESEL")</f>
        <v>DIESEL</v>
      </c>
      <c r="I54" s="6">
        <f>IFERROR(__xludf.DUMMYFUNCTION("""COMPUTED_VALUE"""),4.0)</f>
        <v>4</v>
      </c>
      <c r="J54" s="8">
        <f>IFERROR(__xludf.DUMMYFUNCTION("""COMPUTED_VALUE"""),0.1284722222222222)</f>
        <v>0.1284722222</v>
      </c>
      <c r="K54" s="8">
        <f>IFERROR(__xludf.DUMMYFUNCTION("""COMPUTED_VALUE"""),0.1361111111111111)</f>
        <v>0.1361111111</v>
      </c>
      <c r="L54" s="8">
        <f>IFERROR(__xludf.DUMMYFUNCTION("""COMPUTED_VALUE"""),0.3020833333333333)</f>
        <v>0.3020833333</v>
      </c>
      <c r="M54" s="8">
        <f>IFERROR(__xludf.DUMMYFUNCTION("""COMPUTED_VALUE"""),0.3055555555555556)</f>
        <v>0.3055555556</v>
      </c>
      <c r="N54" s="10">
        <f>IFERROR(__xludf.DUMMYFUNCTION("""COMPUTED_VALUE"""),35.0)</f>
        <v>35</v>
      </c>
      <c r="O54" s="27" t="str">
        <f t="shared" si="1"/>
        <v>indoreace4</v>
      </c>
      <c r="P54" s="27">
        <f>vlookup(O54,'Terms and condition'!$F:$H,3,0)/day(eomonth(B54,0))</f>
        <v>806.4516129</v>
      </c>
      <c r="Q54" s="27">
        <f t="shared" si="8"/>
        <v>31</v>
      </c>
      <c r="R54" s="27">
        <f t="shared" si="2"/>
        <v>1063</v>
      </c>
      <c r="S54" s="27">
        <f t="shared" si="3"/>
        <v>16.25806452</v>
      </c>
      <c r="T54" s="27">
        <f t="shared" si="4"/>
        <v>32.25806452</v>
      </c>
      <c r="U54" s="28">
        <v>0.0</v>
      </c>
      <c r="V54" s="27">
        <f t="shared" si="5"/>
        <v>0</v>
      </c>
      <c r="W54" s="29">
        <f t="shared" si="6"/>
        <v>0</v>
      </c>
      <c r="X54" s="30">
        <f t="shared" si="7"/>
        <v>854.9677419</v>
      </c>
    </row>
    <row r="55">
      <c r="A55" s="3">
        <f>IFERROR(__xludf.DUMMYFUNCTION("""COMPUTED_VALUE"""),48.0)</f>
        <v>48</v>
      </c>
      <c r="B55" s="4">
        <f>IFERROR(__xludf.DUMMYFUNCTION("""COMPUTED_VALUE"""),45574.0)</f>
        <v>45574</v>
      </c>
      <c r="C55" s="3" t="str">
        <f>IFERROR(__xludf.DUMMYFUNCTION("""COMPUTED_VALUE"""),"INDORE")</f>
        <v>INDORE</v>
      </c>
      <c r="D55" s="5" t="str">
        <f>IFERROR(__xludf.DUMMYFUNCTION("""COMPUTED_VALUE"""),"SLK8")</f>
        <v>SLK8</v>
      </c>
      <c r="E55" s="6" t="str">
        <f>IFERROR(__xludf.DUMMYFUNCTION("""COMPUTED_VALUE"""),"ALPHABETZ SERVICES")</f>
        <v>ALPHABETZ SERVICES</v>
      </c>
      <c r="F55" s="6" t="str">
        <f>IFERROR(__xludf.DUMMYFUNCTION("""COMPUTED_VALUE"""),"MP09ZZ6272")</f>
        <v>MP09ZZ6272</v>
      </c>
      <c r="G55" s="6" t="str">
        <f>IFERROR(__xludf.DUMMYFUNCTION("""COMPUTED_VALUE"""),"ACE")</f>
        <v>ACE</v>
      </c>
      <c r="H55" s="6" t="str">
        <f>IFERROR(__xludf.DUMMYFUNCTION("""COMPUTED_VALUE"""),"DIESEL")</f>
        <v>DIESEL</v>
      </c>
      <c r="I55" s="6">
        <f>IFERROR(__xludf.DUMMYFUNCTION("""COMPUTED_VALUE"""),4.0)</f>
        <v>4</v>
      </c>
      <c r="J55" s="8">
        <f>IFERROR(__xludf.DUMMYFUNCTION("""COMPUTED_VALUE"""),0.13194444444444445)</f>
        <v>0.1319444444</v>
      </c>
      <c r="K55" s="8">
        <f>IFERROR(__xludf.DUMMYFUNCTION("""COMPUTED_VALUE"""),0.14444444444444443)</f>
        <v>0.1444444444</v>
      </c>
      <c r="L55" s="8">
        <f>IFERROR(__xludf.DUMMYFUNCTION("""COMPUTED_VALUE"""),0.3020833333333333)</f>
        <v>0.3020833333</v>
      </c>
      <c r="M55" s="8">
        <f>IFERROR(__xludf.DUMMYFUNCTION("""COMPUTED_VALUE"""),0.3055555555555556)</f>
        <v>0.3055555556</v>
      </c>
      <c r="N55" s="10">
        <f>IFERROR(__xludf.DUMMYFUNCTION("""COMPUTED_VALUE"""),46.0)</f>
        <v>46</v>
      </c>
      <c r="O55" s="27" t="str">
        <f t="shared" si="1"/>
        <v>indoreace4</v>
      </c>
      <c r="P55" s="27">
        <f>vlookup(O55,'Terms and condition'!$F:$H,3,0)/day(eomonth(B55,0))</f>
        <v>806.4516129</v>
      </c>
      <c r="Q55" s="27">
        <f t="shared" si="8"/>
        <v>21</v>
      </c>
      <c r="R55" s="27">
        <f t="shared" si="2"/>
        <v>953</v>
      </c>
      <c r="S55" s="27">
        <f t="shared" si="3"/>
        <v>0</v>
      </c>
      <c r="T55" s="27">
        <f t="shared" si="4"/>
        <v>0</v>
      </c>
      <c r="U55" s="28">
        <v>0.0</v>
      </c>
      <c r="V55" s="27">
        <f t="shared" si="5"/>
        <v>0</v>
      </c>
      <c r="W55" s="29">
        <f t="shared" si="6"/>
        <v>0</v>
      </c>
      <c r="X55" s="30">
        <f t="shared" si="7"/>
        <v>806.4516129</v>
      </c>
    </row>
    <row r="56">
      <c r="A56" s="12">
        <f>IFERROR(__xludf.DUMMYFUNCTION("""COMPUTED_VALUE"""),49.0)</f>
        <v>49</v>
      </c>
      <c r="B56" s="13">
        <f>IFERROR(__xludf.DUMMYFUNCTION("""COMPUTED_VALUE"""),45575.0)</f>
        <v>45575</v>
      </c>
      <c r="C56" s="12" t="str">
        <f>IFERROR(__xludf.DUMMYFUNCTION("""COMPUTED_VALUE"""),"INDORE")</f>
        <v>INDORE</v>
      </c>
      <c r="D56" s="14" t="str">
        <f>IFERROR(__xludf.DUMMYFUNCTION("""COMPUTED_VALUE"""),"SLK8")</f>
        <v>SLK8</v>
      </c>
      <c r="E56" s="6" t="str">
        <f>IFERROR(__xludf.DUMMYFUNCTION("""COMPUTED_VALUE"""),"ALPHABETZ SERVICES")</f>
        <v>ALPHABETZ SERVICES</v>
      </c>
      <c r="F56" s="6" t="str">
        <f>IFERROR(__xludf.DUMMYFUNCTION("""COMPUTED_VALUE"""),"MP09LR7355")</f>
        <v>MP09LR7355</v>
      </c>
      <c r="G56" s="6" t="str">
        <f>IFERROR(__xludf.DUMMYFUNCTION("""COMPUTED_VALUE"""),"ACE")</f>
        <v>ACE</v>
      </c>
      <c r="H56" s="6" t="str">
        <f>IFERROR(__xludf.DUMMYFUNCTION("""COMPUTED_VALUE"""),"DIESEL")</f>
        <v>DIESEL</v>
      </c>
      <c r="I56" s="6">
        <f>IFERROR(__xludf.DUMMYFUNCTION("""COMPUTED_VALUE"""),4.0)</f>
        <v>4</v>
      </c>
      <c r="J56" s="15">
        <f>IFERROR(__xludf.DUMMYFUNCTION("""COMPUTED_VALUE"""),0.125)</f>
        <v>0.125</v>
      </c>
      <c r="K56" s="15">
        <f>IFERROR(__xludf.DUMMYFUNCTION("""COMPUTED_VALUE"""),0.13194444444444445)</f>
        <v>0.1319444444</v>
      </c>
      <c r="L56" s="15">
        <f>IFERROR(__xludf.DUMMYFUNCTION("""COMPUTED_VALUE"""),0.3138888888888889)</f>
        <v>0.3138888889</v>
      </c>
      <c r="M56" s="15">
        <f>IFERROR(__xludf.DUMMYFUNCTION("""COMPUTED_VALUE"""),0.31666666666666665)</f>
        <v>0.3166666667</v>
      </c>
      <c r="N56" s="18">
        <f>IFERROR(__xludf.DUMMYFUNCTION("""COMPUTED_VALUE"""),46.0)</f>
        <v>46</v>
      </c>
      <c r="O56" s="27" t="str">
        <f t="shared" si="1"/>
        <v>indoreace4</v>
      </c>
      <c r="P56" s="27">
        <f>vlookup(O56,'Terms and condition'!$F:$H,3,0)/day(eomonth(B56,0))</f>
        <v>806.4516129</v>
      </c>
      <c r="Q56" s="27">
        <f t="shared" si="8"/>
        <v>30</v>
      </c>
      <c r="R56" s="27">
        <f t="shared" si="2"/>
        <v>1436</v>
      </c>
      <c r="S56" s="27">
        <f t="shared" si="3"/>
        <v>116.2666667</v>
      </c>
      <c r="T56" s="27">
        <f t="shared" si="4"/>
        <v>0</v>
      </c>
      <c r="U56" s="28">
        <v>0.0</v>
      </c>
      <c r="V56" s="27">
        <f t="shared" si="5"/>
        <v>0</v>
      </c>
      <c r="W56" s="29">
        <f t="shared" si="6"/>
        <v>0</v>
      </c>
      <c r="X56" s="30">
        <f t="shared" si="7"/>
        <v>922.7182796</v>
      </c>
    </row>
    <row r="57">
      <c r="A57" s="3">
        <f>IFERROR(__xludf.DUMMYFUNCTION("""COMPUTED_VALUE"""),50.0)</f>
        <v>50</v>
      </c>
      <c r="B57" s="4">
        <f>IFERROR(__xludf.DUMMYFUNCTION("""COMPUTED_VALUE"""),45575.0)</f>
        <v>45575</v>
      </c>
      <c r="C57" s="3" t="str">
        <f>IFERROR(__xludf.DUMMYFUNCTION("""COMPUTED_VALUE"""),"INDORE")</f>
        <v>INDORE</v>
      </c>
      <c r="D57" s="5" t="str">
        <f>IFERROR(__xludf.DUMMYFUNCTION("""COMPUTED_VALUE"""),"SLK8")</f>
        <v>SLK8</v>
      </c>
      <c r="E57" s="6" t="str">
        <f>IFERROR(__xludf.DUMMYFUNCTION("""COMPUTED_VALUE"""),"ALPHABETZ SERVICES")</f>
        <v>ALPHABETZ SERVICES</v>
      </c>
      <c r="F57" s="6" t="str">
        <f>IFERROR(__xludf.DUMMYFUNCTION("""COMPUTED_VALUE"""),"MP54L0316")</f>
        <v>MP54L0316</v>
      </c>
      <c r="G57" s="6" t="str">
        <f>IFERROR(__xludf.DUMMYFUNCTION("""COMPUTED_VALUE"""),"ACE")</f>
        <v>ACE</v>
      </c>
      <c r="H57" s="6" t="str">
        <f>IFERROR(__xludf.DUMMYFUNCTION("""COMPUTED_VALUE"""),"DIESEL")</f>
        <v>DIESEL</v>
      </c>
      <c r="I57" s="6">
        <f>IFERROR(__xludf.DUMMYFUNCTION("""COMPUTED_VALUE"""),4.0)</f>
        <v>4</v>
      </c>
      <c r="J57" s="8">
        <f>IFERROR(__xludf.DUMMYFUNCTION("""COMPUTED_VALUE"""),0.125)</f>
        <v>0.125</v>
      </c>
      <c r="K57" s="8">
        <f>IFERROR(__xludf.DUMMYFUNCTION("""COMPUTED_VALUE"""),0.1375)</f>
        <v>0.1375</v>
      </c>
      <c r="L57" s="8">
        <f>IFERROR(__xludf.DUMMYFUNCTION("""COMPUTED_VALUE"""),0.34375)</f>
        <v>0.34375</v>
      </c>
      <c r="M57" s="8">
        <f>IFERROR(__xludf.DUMMYFUNCTION("""COMPUTED_VALUE"""),0.3472222222222222)</f>
        <v>0.3472222222</v>
      </c>
      <c r="N57" s="10">
        <f>IFERROR(__xludf.DUMMYFUNCTION("""COMPUTED_VALUE"""),45.0)</f>
        <v>45</v>
      </c>
      <c r="O57" s="27" t="str">
        <f t="shared" si="1"/>
        <v>indoreace4</v>
      </c>
      <c r="P57" s="27">
        <f>vlookup(O57,'Terms and condition'!$F:$H,3,0)/day(eomonth(B57,0))</f>
        <v>806.4516129</v>
      </c>
      <c r="Q57" s="27">
        <f t="shared" si="8"/>
        <v>31</v>
      </c>
      <c r="R57" s="27">
        <f t="shared" si="2"/>
        <v>1390</v>
      </c>
      <c r="S57" s="27">
        <f t="shared" si="3"/>
        <v>100.6451613</v>
      </c>
      <c r="T57" s="27">
        <f t="shared" si="4"/>
        <v>32.25806452</v>
      </c>
      <c r="U57" s="28">
        <v>0.0</v>
      </c>
      <c r="V57" s="27">
        <f t="shared" si="5"/>
        <v>0</v>
      </c>
      <c r="W57" s="29">
        <f t="shared" si="6"/>
        <v>150</v>
      </c>
      <c r="X57" s="30">
        <f t="shared" si="7"/>
        <v>1089.354839</v>
      </c>
    </row>
    <row r="58">
      <c r="A58" s="3">
        <f>IFERROR(__xludf.DUMMYFUNCTION("""COMPUTED_VALUE"""),51.0)</f>
        <v>51</v>
      </c>
      <c r="B58" s="4">
        <f>IFERROR(__xludf.DUMMYFUNCTION("""COMPUTED_VALUE"""),45575.0)</f>
        <v>45575</v>
      </c>
      <c r="C58" s="3" t="str">
        <f>IFERROR(__xludf.DUMMYFUNCTION("""COMPUTED_VALUE"""),"INDORE")</f>
        <v>INDORE</v>
      </c>
      <c r="D58" s="5" t="str">
        <f>IFERROR(__xludf.DUMMYFUNCTION("""COMPUTED_VALUE"""),"SLK8")</f>
        <v>SLK8</v>
      </c>
      <c r="E58" s="6" t="str">
        <f>IFERROR(__xludf.DUMMYFUNCTION("""COMPUTED_VALUE"""),"ALPHABETZ SERVICES")</f>
        <v>ALPHABETZ SERVICES</v>
      </c>
      <c r="F58" s="6" t="str">
        <f>IFERROR(__xludf.DUMMYFUNCTION("""COMPUTED_VALUE"""),"MP09ZZ6272")</f>
        <v>MP09ZZ6272</v>
      </c>
      <c r="G58" s="6" t="str">
        <f>IFERROR(__xludf.DUMMYFUNCTION("""COMPUTED_VALUE"""),"ACE")</f>
        <v>ACE</v>
      </c>
      <c r="H58" s="6" t="str">
        <f>IFERROR(__xludf.DUMMYFUNCTION("""COMPUTED_VALUE"""),"DIESEL")</f>
        <v>DIESEL</v>
      </c>
      <c r="I58" s="6">
        <f>IFERROR(__xludf.DUMMYFUNCTION("""COMPUTED_VALUE"""),4.0)</f>
        <v>4</v>
      </c>
      <c r="J58" s="8">
        <f>IFERROR(__xludf.DUMMYFUNCTION("""COMPUTED_VALUE"""),0.12708333333333333)</f>
        <v>0.1270833333</v>
      </c>
      <c r="K58" s="8">
        <f>IFERROR(__xludf.DUMMYFUNCTION("""COMPUTED_VALUE"""),0.14375)</f>
        <v>0.14375</v>
      </c>
      <c r="L58" s="8">
        <f>IFERROR(__xludf.DUMMYFUNCTION("""COMPUTED_VALUE"""),0.3104166666666667)</f>
        <v>0.3104166667</v>
      </c>
      <c r="M58" s="8">
        <f>IFERROR(__xludf.DUMMYFUNCTION("""COMPUTED_VALUE"""),0.3138888888888889)</f>
        <v>0.3138888889</v>
      </c>
      <c r="N58" s="10">
        <f>IFERROR(__xludf.DUMMYFUNCTION("""COMPUTED_VALUE"""),41.0)</f>
        <v>41</v>
      </c>
      <c r="O58" s="27" t="str">
        <f t="shared" si="1"/>
        <v>indoreace4</v>
      </c>
      <c r="P58" s="27">
        <f>vlookup(O58,'Terms and condition'!$F:$H,3,0)/day(eomonth(B58,0))</f>
        <v>806.4516129</v>
      </c>
      <c r="Q58" s="27">
        <f t="shared" si="8"/>
        <v>21</v>
      </c>
      <c r="R58" s="27">
        <f t="shared" si="2"/>
        <v>953</v>
      </c>
      <c r="S58" s="27">
        <f t="shared" si="3"/>
        <v>0</v>
      </c>
      <c r="T58" s="27">
        <f t="shared" si="4"/>
        <v>0</v>
      </c>
      <c r="U58" s="28">
        <v>0.0</v>
      </c>
      <c r="V58" s="27">
        <f t="shared" si="5"/>
        <v>0</v>
      </c>
      <c r="W58" s="29">
        <f t="shared" si="6"/>
        <v>0</v>
      </c>
      <c r="X58" s="30">
        <f t="shared" si="7"/>
        <v>806.4516129</v>
      </c>
    </row>
    <row r="59">
      <c r="A59" s="3">
        <f>IFERROR(__xludf.DUMMYFUNCTION("""COMPUTED_VALUE"""),52.0)</f>
        <v>52</v>
      </c>
      <c r="B59" s="4">
        <f>IFERROR(__xludf.DUMMYFUNCTION("""COMPUTED_VALUE"""),45575.0)</f>
        <v>45575</v>
      </c>
      <c r="C59" s="3" t="str">
        <f>IFERROR(__xludf.DUMMYFUNCTION("""COMPUTED_VALUE"""),"INDORE")</f>
        <v>INDORE</v>
      </c>
      <c r="D59" s="5" t="str">
        <f>IFERROR(__xludf.DUMMYFUNCTION("""COMPUTED_VALUE"""),"SLK8")</f>
        <v>SLK8</v>
      </c>
      <c r="E59" s="6" t="str">
        <f>IFERROR(__xludf.DUMMYFUNCTION("""COMPUTED_VALUE"""),"ALPHABETZ SERVICES")</f>
        <v>ALPHABETZ SERVICES</v>
      </c>
      <c r="F59" s="6" t="str">
        <f>IFERROR(__xludf.DUMMYFUNCTION("""COMPUTED_VALUE"""),"MP09LP8407")</f>
        <v>MP09LP8407</v>
      </c>
      <c r="G59" s="6" t="str">
        <f>IFERROR(__xludf.DUMMYFUNCTION("""COMPUTED_VALUE"""),"ACE")</f>
        <v>ACE</v>
      </c>
      <c r="H59" s="6" t="str">
        <f>IFERROR(__xludf.DUMMYFUNCTION("""COMPUTED_VALUE"""),"DIESEL")</f>
        <v>DIESEL</v>
      </c>
      <c r="I59" s="6">
        <f>IFERROR(__xludf.DUMMYFUNCTION("""COMPUTED_VALUE"""),4.0)</f>
        <v>4</v>
      </c>
      <c r="J59" s="8">
        <f>IFERROR(__xludf.DUMMYFUNCTION("""COMPUTED_VALUE"""),0.12708333333333333)</f>
        <v>0.1270833333</v>
      </c>
      <c r="K59" s="8">
        <f>IFERROR(__xludf.DUMMYFUNCTION("""COMPUTED_VALUE"""),0.13472222222222222)</f>
        <v>0.1347222222</v>
      </c>
      <c r="L59" s="8">
        <f>IFERROR(__xludf.DUMMYFUNCTION("""COMPUTED_VALUE"""),0.2881944444444444)</f>
        <v>0.2881944444</v>
      </c>
      <c r="M59" s="8">
        <f>IFERROR(__xludf.DUMMYFUNCTION("""COMPUTED_VALUE"""),0.2916666666666667)</f>
        <v>0.2916666667</v>
      </c>
      <c r="N59" s="10">
        <f>IFERROR(__xludf.DUMMYFUNCTION("""COMPUTED_VALUE"""),35.0)</f>
        <v>35</v>
      </c>
      <c r="O59" s="27" t="str">
        <f t="shared" si="1"/>
        <v>indoreace4</v>
      </c>
      <c r="P59" s="27">
        <f>vlookup(O59,'Terms and condition'!$F:$H,3,0)/day(eomonth(B59,0))</f>
        <v>806.4516129</v>
      </c>
      <c r="Q59" s="27">
        <f t="shared" si="8"/>
        <v>31</v>
      </c>
      <c r="R59" s="27">
        <f t="shared" si="2"/>
        <v>1063</v>
      </c>
      <c r="S59" s="27">
        <f t="shared" si="3"/>
        <v>16.25806452</v>
      </c>
      <c r="T59" s="27">
        <f t="shared" si="4"/>
        <v>32.25806452</v>
      </c>
      <c r="U59" s="28">
        <v>0.0</v>
      </c>
      <c r="V59" s="27">
        <f t="shared" si="5"/>
        <v>0</v>
      </c>
      <c r="W59" s="29">
        <f t="shared" si="6"/>
        <v>0</v>
      </c>
      <c r="X59" s="30">
        <f t="shared" si="7"/>
        <v>854.9677419</v>
      </c>
    </row>
    <row r="60">
      <c r="A60" s="3">
        <f>IFERROR(__xludf.DUMMYFUNCTION("""COMPUTED_VALUE"""),53.0)</f>
        <v>53</v>
      </c>
      <c r="B60" s="4">
        <f>IFERROR(__xludf.DUMMYFUNCTION("""COMPUTED_VALUE"""),45575.0)</f>
        <v>45575</v>
      </c>
      <c r="C60" s="3" t="str">
        <f>IFERROR(__xludf.DUMMYFUNCTION("""COMPUTED_VALUE"""),"INDORE")</f>
        <v>INDORE</v>
      </c>
      <c r="D60" s="5" t="str">
        <f>IFERROR(__xludf.DUMMYFUNCTION("""COMPUTED_VALUE"""),"SLK8")</f>
        <v>SLK8</v>
      </c>
      <c r="E60" s="6" t="str">
        <f>IFERROR(__xludf.DUMMYFUNCTION("""COMPUTED_VALUE"""),"ALPHABETZ SERVICES")</f>
        <v>ALPHABETZ SERVICES</v>
      </c>
      <c r="F60" s="6" t="str">
        <f>IFERROR(__xludf.DUMMYFUNCTION("""COMPUTED_VALUE"""),"MP09ZY2923")</f>
        <v>MP09ZY2923</v>
      </c>
      <c r="G60" s="6" t="str">
        <f>IFERROR(__xludf.DUMMYFUNCTION("""COMPUTED_VALUE"""),"ACE")</f>
        <v>ACE</v>
      </c>
      <c r="H60" s="6" t="str">
        <f>IFERROR(__xludf.DUMMYFUNCTION("""COMPUTED_VALUE"""),"DIESEL")</f>
        <v>DIESEL</v>
      </c>
      <c r="I60" s="6">
        <f>IFERROR(__xludf.DUMMYFUNCTION("""COMPUTED_VALUE"""),4.0)</f>
        <v>4</v>
      </c>
      <c r="J60" s="8">
        <f>IFERROR(__xludf.DUMMYFUNCTION("""COMPUTED_VALUE"""),0.1284722222222222)</f>
        <v>0.1284722222</v>
      </c>
      <c r="K60" s="8">
        <f>IFERROR(__xludf.DUMMYFUNCTION("""COMPUTED_VALUE"""),0.1388888888888889)</f>
        <v>0.1388888889</v>
      </c>
      <c r="L60" s="8">
        <f>IFERROR(__xludf.DUMMYFUNCTION("""COMPUTED_VALUE"""),0.3263888888888889)</f>
        <v>0.3263888889</v>
      </c>
      <c r="M60" s="8">
        <f>IFERROR(__xludf.DUMMYFUNCTION("""COMPUTED_VALUE"""),0.3298611111111111)</f>
        <v>0.3298611111</v>
      </c>
      <c r="N60" s="10">
        <f>IFERROR(__xludf.DUMMYFUNCTION("""COMPUTED_VALUE"""),31.0)</f>
        <v>31</v>
      </c>
      <c r="O60" s="27" t="str">
        <f t="shared" si="1"/>
        <v>indoreace4</v>
      </c>
      <c r="P60" s="27">
        <f>vlookup(O60,'Terms and condition'!$F:$H,3,0)/day(eomonth(B60,0))</f>
        <v>806.4516129</v>
      </c>
      <c r="Q60" s="27">
        <f t="shared" si="8"/>
        <v>31</v>
      </c>
      <c r="R60" s="27">
        <f t="shared" si="2"/>
        <v>988</v>
      </c>
      <c r="S60" s="27">
        <f t="shared" si="3"/>
        <v>0</v>
      </c>
      <c r="T60" s="27">
        <f t="shared" si="4"/>
        <v>32.25806452</v>
      </c>
      <c r="U60" s="28">
        <v>0.0</v>
      </c>
      <c r="V60" s="27">
        <f t="shared" si="5"/>
        <v>0</v>
      </c>
      <c r="W60" s="29">
        <f t="shared" si="6"/>
        <v>0</v>
      </c>
      <c r="X60" s="30">
        <f t="shared" si="7"/>
        <v>838.7096774</v>
      </c>
    </row>
    <row r="61">
      <c r="A61" s="3">
        <f>IFERROR(__xludf.DUMMYFUNCTION("""COMPUTED_VALUE"""),54.0)</f>
        <v>54</v>
      </c>
      <c r="B61" s="4">
        <f>IFERROR(__xludf.DUMMYFUNCTION("""COMPUTED_VALUE"""),45575.0)</f>
        <v>45575</v>
      </c>
      <c r="C61" s="3" t="str">
        <f>IFERROR(__xludf.DUMMYFUNCTION("""COMPUTED_VALUE"""),"INDORE")</f>
        <v>INDORE</v>
      </c>
      <c r="D61" s="5" t="str">
        <f>IFERROR(__xludf.DUMMYFUNCTION("""COMPUTED_VALUE"""),"SLK8")</f>
        <v>SLK8</v>
      </c>
      <c r="E61" s="6" t="str">
        <f>IFERROR(__xludf.DUMMYFUNCTION("""COMPUTED_VALUE"""),"ALPHABETZ SERVICES")</f>
        <v>ALPHABETZ SERVICES</v>
      </c>
      <c r="F61" s="6" t="str">
        <f>IFERROR(__xludf.DUMMYFUNCTION("""COMPUTED_VALUE"""),"MP09ZV0375")</f>
        <v>MP09ZV0375</v>
      </c>
      <c r="G61" s="6" t="str">
        <f>IFERROR(__xludf.DUMMYFUNCTION("""COMPUTED_VALUE"""),"ACE")</f>
        <v>ACE</v>
      </c>
      <c r="H61" s="6" t="str">
        <f>IFERROR(__xludf.DUMMYFUNCTION("""COMPUTED_VALUE"""),"DIESEL")</f>
        <v>DIESEL</v>
      </c>
      <c r="I61" s="6">
        <f>IFERROR(__xludf.DUMMYFUNCTION("""COMPUTED_VALUE"""),4.0)</f>
        <v>4</v>
      </c>
      <c r="J61" s="8">
        <f>IFERROR(__xludf.DUMMYFUNCTION("""COMPUTED_VALUE"""),0.13194444444444445)</f>
        <v>0.1319444444</v>
      </c>
      <c r="K61" s="8">
        <f>IFERROR(__xludf.DUMMYFUNCTION("""COMPUTED_VALUE"""),0.14166666666666666)</f>
        <v>0.1416666667</v>
      </c>
      <c r="L61" s="8">
        <f>IFERROR(__xludf.DUMMYFUNCTION("""COMPUTED_VALUE"""),0.3104166666666667)</f>
        <v>0.3104166667</v>
      </c>
      <c r="M61" s="8">
        <f>IFERROR(__xludf.DUMMYFUNCTION("""COMPUTED_VALUE"""),0.3125)</f>
        <v>0.3125</v>
      </c>
      <c r="N61" s="10">
        <f>IFERROR(__xludf.DUMMYFUNCTION("""COMPUTED_VALUE"""),30.0)</f>
        <v>30</v>
      </c>
      <c r="O61" s="27" t="str">
        <f t="shared" si="1"/>
        <v>indoreace4</v>
      </c>
      <c r="P61" s="27">
        <f>vlookup(O61,'Terms and condition'!$F:$H,3,0)/day(eomonth(B61,0))</f>
        <v>806.4516129</v>
      </c>
      <c r="Q61" s="27">
        <f t="shared" si="8"/>
        <v>26</v>
      </c>
      <c r="R61" s="27">
        <f t="shared" si="2"/>
        <v>802</v>
      </c>
      <c r="S61" s="27">
        <f t="shared" si="3"/>
        <v>0</v>
      </c>
      <c r="T61" s="27">
        <f t="shared" si="4"/>
        <v>0</v>
      </c>
      <c r="U61" s="28">
        <v>0.0</v>
      </c>
      <c r="V61" s="27">
        <f t="shared" si="5"/>
        <v>0</v>
      </c>
      <c r="W61" s="29">
        <f t="shared" si="6"/>
        <v>0</v>
      </c>
      <c r="X61" s="30">
        <f t="shared" si="7"/>
        <v>806.4516129</v>
      </c>
    </row>
    <row r="62">
      <c r="A62" s="3">
        <f>IFERROR(__xludf.DUMMYFUNCTION("""COMPUTED_VALUE"""),55.0)</f>
        <v>55</v>
      </c>
      <c r="B62" s="4">
        <f>IFERROR(__xludf.DUMMYFUNCTION("""COMPUTED_VALUE"""),45576.0)</f>
        <v>45576</v>
      </c>
      <c r="C62" s="3" t="str">
        <f>IFERROR(__xludf.DUMMYFUNCTION("""COMPUTED_VALUE"""),"INDORE")</f>
        <v>INDORE</v>
      </c>
      <c r="D62" s="5" t="str">
        <f>IFERROR(__xludf.DUMMYFUNCTION("""COMPUTED_VALUE"""),"SLK8")</f>
        <v>SLK8</v>
      </c>
      <c r="E62" s="6" t="str">
        <f>IFERROR(__xludf.DUMMYFUNCTION("""COMPUTED_VALUE"""),"ALPHABETZ SERVICES")</f>
        <v>ALPHABETZ SERVICES</v>
      </c>
      <c r="F62" s="6" t="str">
        <f>IFERROR(__xludf.DUMMYFUNCTION("""COMPUTED_VALUE"""),"MP54L0316")</f>
        <v>MP54L0316</v>
      </c>
      <c r="G62" s="6" t="str">
        <f>IFERROR(__xludf.DUMMYFUNCTION("""COMPUTED_VALUE"""),"ACE")</f>
        <v>ACE</v>
      </c>
      <c r="H62" s="6" t="str">
        <f>IFERROR(__xludf.DUMMYFUNCTION("""COMPUTED_VALUE"""),"DIESEL")</f>
        <v>DIESEL</v>
      </c>
      <c r="I62" s="6">
        <f>IFERROR(__xludf.DUMMYFUNCTION("""COMPUTED_VALUE"""),4.0)</f>
        <v>4</v>
      </c>
      <c r="J62" s="8">
        <f>IFERROR(__xludf.DUMMYFUNCTION("""COMPUTED_VALUE"""),0.125)</f>
        <v>0.125</v>
      </c>
      <c r="K62" s="8">
        <f>IFERROR(__xludf.DUMMYFUNCTION("""COMPUTED_VALUE"""),0.13194444444444445)</f>
        <v>0.1319444444</v>
      </c>
      <c r="L62" s="8">
        <f>IFERROR(__xludf.DUMMYFUNCTION("""COMPUTED_VALUE"""),0.3125)</f>
        <v>0.3125</v>
      </c>
      <c r="M62" s="8">
        <f>IFERROR(__xludf.DUMMYFUNCTION("""COMPUTED_VALUE"""),0.3159722222222222)</f>
        <v>0.3159722222</v>
      </c>
      <c r="N62" s="10">
        <f>IFERROR(__xludf.DUMMYFUNCTION("""COMPUTED_VALUE"""),44.0)</f>
        <v>44</v>
      </c>
      <c r="O62" s="27" t="str">
        <f t="shared" si="1"/>
        <v>indoreace4</v>
      </c>
      <c r="P62" s="27">
        <f>vlookup(O62,'Terms and condition'!$F:$H,3,0)/day(eomonth(B62,0))</f>
        <v>806.4516129</v>
      </c>
      <c r="Q62" s="27">
        <f t="shared" si="8"/>
        <v>31</v>
      </c>
      <c r="R62" s="27">
        <f t="shared" si="2"/>
        <v>1390</v>
      </c>
      <c r="S62" s="27">
        <f t="shared" si="3"/>
        <v>100.6451613</v>
      </c>
      <c r="T62" s="27">
        <f t="shared" si="4"/>
        <v>32.25806452</v>
      </c>
      <c r="U62" s="28">
        <v>0.0</v>
      </c>
      <c r="V62" s="27">
        <f t="shared" si="5"/>
        <v>0</v>
      </c>
      <c r="W62" s="29">
        <f t="shared" si="6"/>
        <v>0</v>
      </c>
      <c r="X62" s="30">
        <f t="shared" si="7"/>
        <v>939.3548387</v>
      </c>
    </row>
    <row r="63">
      <c r="A63" s="3">
        <f>IFERROR(__xludf.DUMMYFUNCTION("""COMPUTED_VALUE"""),56.0)</f>
        <v>56</v>
      </c>
      <c r="B63" s="4">
        <f>IFERROR(__xludf.DUMMYFUNCTION("""COMPUTED_VALUE"""),45576.0)</f>
        <v>45576</v>
      </c>
      <c r="C63" s="3" t="str">
        <f>IFERROR(__xludf.DUMMYFUNCTION("""COMPUTED_VALUE"""),"INDORE")</f>
        <v>INDORE</v>
      </c>
      <c r="D63" s="5" t="str">
        <f>IFERROR(__xludf.DUMMYFUNCTION("""COMPUTED_VALUE"""),"SLK8")</f>
        <v>SLK8</v>
      </c>
      <c r="E63" s="6" t="str">
        <f>IFERROR(__xludf.DUMMYFUNCTION("""COMPUTED_VALUE"""),"ALPHABETZ SERVICES")</f>
        <v>ALPHABETZ SERVICES</v>
      </c>
      <c r="F63" s="6" t="str">
        <f>IFERROR(__xludf.DUMMYFUNCTION("""COMPUTED_VALUE"""),"MP09LR7355")</f>
        <v>MP09LR7355</v>
      </c>
      <c r="G63" s="6" t="str">
        <f>IFERROR(__xludf.DUMMYFUNCTION("""COMPUTED_VALUE"""),"ACE")</f>
        <v>ACE</v>
      </c>
      <c r="H63" s="6" t="str">
        <f>IFERROR(__xludf.DUMMYFUNCTION("""COMPUTED_VALUE"""),"DIESEL")</f>
        <v>DIESEL</v>
      </c>
      <c r="I63" s="6">
        <f>IFERROR(__xludf.DUMMYFUNCTION("""COMPUTED_VALUE"""),4.0)</f>
        <v>4</v>
      </c>
      <c r="J63" s="8">
        <f>IFERROR(__xludf.DUMMYFUNCTION("""COMPUTED_VALUE"""),0.125)</f>
        <v>0.125</v>
      </c>
      <c r="K63" s="8">
        <f>IFERROR(__xludf.DUMMYFUNCTION("""COMPUTED_VALUE"""),0.13333333333333333)</f>
        <v>0.1333333333</v>
      </c>
      <c r="L63" s="8">
        <f>IFERROR(__xludf.DUMMYFUNCTION("""COMPUTED_VALUE"""),0.2916666666666667)</f>
        <v>0.2916666667</v>
      </c>
      <c r="M63" s="8">
        <f>IFERROR(__xludf.DUMMYFUNCTION("""COMPUTED_VALUE"""),0.2986111111111111)</f>
        <v>0.2986111111</v>
      </c>
      <c r="N63" s="10">
        <f>IFERROR(__xludf.DUMMYFUNCTION("""COMPUTED_VALUE"""),46.0)</f>
        <v>46</v>
      </c>
      <c r="O63" s="27" t="str">
        <f t="shared" si="1"/>
        <v>indoreace4</v>
      </c>
      <c r="P63" s="27">
        <f>vlookup(O63,'Terms and condition'!$F:$H,3,0)/day(eomonth(B63,0))</f>
        <v>806.4516129</v>
      </c>
      <c r="Q63" s="27">
        <f t="shared" si="8"/>
        <v>30</v>
      </c>
      <c r="R63" s="27">
        <f t="shared" si="2"/>
        <v>1436</v>
      </c>
      <c r="S63" s="27">
        <f t="shared" si="3"/>
        <v>116.2666667</v>
      </c>
      <c r="T63" s="27">
        <f t="shared" si="4"/>
        <v>0</v>
      </c>
      <c r="U63" s="28">
        <v>0.0</v>
      </c>
      <c r="V63" s="27">
        <f t="shared" si="5"/>
        <v>0</v>
      </c>
      <c r="W63" s="29">
        <f t="shared" si="6"/>
        <v>0</v>
      </c>
      <c r="X63" s="30">
        <f t="shared" si="7"/>
        <v>922.7182796</v>
      </c>
    </row>
    <row r="64">
      <c r="A64" s="3">
        <f>IFERROR(__xludf.DUMMYFUNCTION("""COMPUTED_VALUE"""),57.0)</f>
        <v>57</v>
      </c>
      <c r="B64" s="4">
        <f>IFERROR(__xludf.DUMMYFUNCTION("""COMPUTED_VALUE"""),45576.0)</f>
        <v>45576</v>
      </c>
      <c r="C64" s="3" t="str">
        <f>IFERROR(__xludf.DUMMYFUNCTION("""COMPUTED_VALUE"""),"INDORE")</f>
        <v>INDORE</v>
      </c>
      <c r="D64" s="5" t="str">
        <f>IFERROR(__xludf.DUMMYFUNCTION("""COMPUTED_VALUE"""),"SLK8")</f>
        <v>SLK8</v>
      </c>
      <c r="E64" s="6" t="str">
        <f>IFERROR(__xludf.DUMMYFUNCTION("""COMPUTED_VALUE"""),"ALPHABETZ SERVICES")</f>
        <v>ALPHABETZ SERVICES</v>
      </c>
      <c r="F64" s="6" t="str">
        <f>IFERROR(__xludf.DUMMYFUNCTION("""COMPUTED_VALUE"""),"MP09ZY2923")</f>
        <v>MP09ZY2923</v>
      </c>
      <c r="G64" s="6" t="str">
        <f>IFERROR(__xludf.DUMMYFUNCTION("""COMPUTED_VALUE"""),"ACE")</f>
        <v>ACE</v>
      </c>
      <c r="H64" s="6" t="str">
        <f>IFERROR(__xludf.DUMMYFUNCTION("""COMPUTED_VALUE"""),"DIESEL")</f>
        <v>DIESEL</v>
      </c>
      <c r="I64" s="6">
        <f>IFERROR(__xludf.DUMMYFUNCTION("""COMPUTED_VALUE"""),4.0)</f>
        <v>4</v>
      </c>
      <c r="J64" s="8">
        <f>IFERROR(__xludf.DUMMYFUNCTION("""COMPUTED_VALUE"""),0.1284722222222222)</f>
        <v>0.1284722222</v>
      </c>
      <c r="K64" s="8">
        <f>IFERROR(__xludf.DUMMYFUNCTION("""COMPUTED_VALUE"""),0.13680555555555557)</f>
        <v>0.1368055556</v>
      </c>
      <c r="L64" s="8">
        <f>IFERROR(__xludf.DUMMYFUNCTION("""COMPUTED_VALUE"""),0.3368055555555556)</f>
        <v>0.3368055556</v>
      </c>
      <c r="M64" s="8">
        <f>IFERROR(__xludf.DUMMYFUNCTION("""COMPUTED_VALUE"""),0.3402777777777778)</f>
        <v>0.3402777778</v>
      </c>
      <c r="N64" s="10">
        <f>IFERROR(__xludf.DUMMYFUNCTION("""COMPUTED_VALUE"""),34.0)</f>
        <v>34</v>
      </c>
      <c r="O64" s="27" t="str">
        <f t="shared" si="1"/>
        <v>indoreace4</v>
      </c>
      <c r="P64" s="27">
        <f>vlookup(O64,'Terms and condition'!$F:$H,3,0)/day(eomonth(B64,0))</f>
        <v>806.4516129</v>
      </c>
      <c r="Q64" s="27">
        <f t="shared" si="8"/>
        <v>31</v>
      </c>
      <c r="R64" s="27">
        <f t="shared" si="2"/>
        <v>988</v>
      </c>
      <c r="S64" s="27">
        <f t="shared" si="3"/>
        <v>0</v>
      </c>
      <c r="T64" s="27">
        <f t="shared" si="4"/>
        <v>32.25806452</v>
      </c>
      <c r="U64" s="28">
        <v>0.0</v>
      </c>
      <c r="V64" s="27">
        <f t="shared" si="5"/>
        <v>0</v>
      </c>
      <c r="W64" s="29">
        <f t="shared" si="6"/>
        <v>150</v>
      </c>
      <c r="X64" s="30">
        <f t="shared" si="7"/>
        <v>988.7096774</v>
      </c>
    </row>
    <row r="65">
      <c r="A65" s="3">
        <f>IFERROR(__xludf.DUMMYFUNCTION("""COMPUTED_VALUE"""),58.0)</f>
        <v>58</v>
      </c>
      <c r="B65" s="4">
        <f>IFERROR(__xludf.DUMMYFUNCTION("""COMPUTED_VALUE"""),45576.0)</f>
        <v>45576</v>
      </c>
      <c r="C65" s="3" t="str">
        <f>IFERROR(__xludf.DUMMYFUNCTION("""COMPUTED_VALUE"""),"INDORE")</f>
        <v>INDORE</v>
      </c>
      <c r="D65" s="5" t="str">
        <f>IFERROR(__xludf.DUMMYFUNCTION("""COMPUTED_VALUE"""),"SLK8")</f>
        <v>SLK8</v>
      </c>
      <c r="E65" s="6" t="str">
        <f>IFERROR(__xludf.DUMMYFUNCTION("""COMPUTED_VALUE"""),"ALPHABETZ SERVICES")</f>
        <v>ALPHABETZ SERVICES</v>
      </c>
      <c r="F65" s="6" t="str">
        <f>IFERROR(__xludf.DUMMYFUNCTION("""COMPUTED_VALUE"""),"MP09LP8407")</f>
        <v>MP09LP8407</v>
      </c>
      <c r="G65" s="6" t="str">
        <f>IFERROR(__xludf.DUMMYFUNCTION("""COMPUTED_VALUE"""),"ACE")</f>
        <v>ACE</v>
      </c>
      <c r="H65" s="6" t="str">
        <f>IFERROR(__xludf.DUMMYFUNCTION("""COMPUTED_VALUE"""),"DIESEL")</f>
        <v>DIESEL</v>
      </c>
      <c r="I65" s="6">
        <f>IFERROR(__xludf.DUMMYFUNCTION("""COMPUTED_VALUE"""),4.0)</f>
        <v>4</v>
      </c>
      <c r="J65" s="8">
        <f>IFERROR(__xludf.DUMMYFUNCTION("""COMPUTED_VALUE"""),0.12916666666666668)</f>
        <v>0.1291666667</v>
      </c>
      <c r="K65" s="8">
        <f>IFERROR(__xludf.DUMMYFUNCTION("""COMPUTED_VALUE"""),0.14166666666666666)</f>
        <v>0.1416666667</v>
      </c>
      <c r="L65" s="8">
        <f>IFERROR(__xludf.DUMMYFUNCTION("""COMPUTED_VALUE"""),0.3020833333333333)</f>
        <v>0.3020833333</v>
      </c>
      <c r="M65" s="8">
        <f>IFERROR(__xludf.DUMMYFUNCTION("""COMPUTED_VALUE"""),0.3055555555555556)</f>
        <v>0.3055555556</v>
      </c>
      <c r="N65" s="10">
        <f>IFERROR(__xludf.DUMMYFUNCTION("""COMPUTED_VALUE"""),36.0)</f>
        <v>36</v>
      </c>
      <c r="O65" s="27" t="str">
        <f t="shared" si="1"/>
        <v>indoreace4</v>
      </c>
      <c r="P65" s="27">
        <f>vlookup(O65,'Terms and condition'!$F:$H,3,0)/day(eomonth(B65,0))</f>
        <v>806.4516129</v>
      </c>
      <c r="Q65" s="27">
        <f t="shared" si="8"/>
        <v>31</v>
      </c>
      <c r="R65" s="27">
        <f t="shared" si="2"/>
        <v>1063</v>
      </c>
      <c r="S65" s="27">
        <f t="shared" si="3"/>
        <v>16.25806452</v>
      </c>
      <c r="T65" s="27">
        <f t="shared" si="4"/>
        <v>32.25806452</v>
      </c>
      <c r="U65" s="28">
        <v>0.0</v>
      </c>
      <c r="V65" s="27">
        <f t="shared" si="5"/>
        <v>0</v>
      </c>
      <c r="W65" s="29">
        <f t="shared" si="6"/>
        <v>0</v>
      </c>
      <c r="X65" s="30">
        <f t="shared" si="7"/>
        <v>854.9677419</v>
      </c>
    </row>
    <row r="66">
      <c r="A66" s="3">
        <f>IFERROR(__xludf.DUMMYFUNCTION("""COMPUTED_VALUE"""),59.0)</f>
        <v>59</v>
      </c>
      <c r="B66" s="4">
        <f>IFERROR(__xludf.DUMMYFUNCTION("""COMPUTED_VALUE"""),45576.0)</f>
        <v>45576</v>
      </c>
      <c r="C66" s="3" t="str">
        <f>IFERROR(__xludf.DUMMYFUNCTION("""COMPUTED_VALUE"""),"INDORE")</f>
        <v>INDORE</v>
      </c>
      <c r="D66" s="5" t="str">
        <f>IFERROR(__xludf.DUMMYFUNCTION("""COMPUTED_VALUE"""),"SLK8")</f>
        <v>SLK8</v>
      </c>
      <c r="E66" s="6" t="str">
        <f>IFERROR(__xludf.DUMMYFUNCTION("""COMPUTED_VALUE"""),"ALPHABETZ SERVICES")</f>
        <v>ALPHABETZ SERVICES</v>
      </c>
      <c r="F66" s="6" t="str">
        <f>IFERROR(__xludf.DUMMYFUNCTION("""COMPUTED_VALUE"""),"MP09ZZ6272")</f>
        <v>MP09ZZ6272</v>
      </c>
      <c r="G66" s="6" t="str">
        <f>IFERROR(__xludf.DUMMYFUNCTION("""COMPUTED_VALUE"""),"ACE")</f>
        <v>ACE</v>
      </c>
      <c r="H66" s="6" t="str">
        <f>IFERROR(__xludf.DUMMYFUNCTION("""COMPUTED_VALUE"""),"DIESEL")</f>
        <v>DIESEL</v>
      </c>
      <c r="I66" s="6">
        <f>IFERROR(__xludf.DUMMYFUNCTION("""COMPUTED_VALUE"""),4.0)</f>
        <v>4</v>
      </c>
      <c r="J66" s="8">
        <f>IFERROR(__xludf.DUMMYFUNCTION("""COMPUTED_VALUE"""),0.12916666666666668)</f>
        <v>0.1291666667</v>
      </c>
      <c r="K66" s="8">
        <f>IFERROR(__xludf.DUMMYFUNCTION("""COMPUTED_VALUE"""),0.1423611111111111)</f>
        <v>0.1423611111</v>
      </c>
      <c r="L66" s="8">
        <f>IFERROR(__xludf.DUMMYFUNCTION("""COMPUTED_VALUE"""),0.3125)</f>
        <v>0.3125</v>
      </c>
      <c r="M66" s="8">
        <f>IFERROR(__xludf.DUMMYFUNCTION("""COMPUTED_VALUE"""),0.3194444444444444)</f>
        <v>0.3194444444</v>
      </c>
      <c r="N66" s="10">
        <f>IFERROR(__xludf.DUMMYFUNCTION("""COMPUTED_VALUE"""),46.0)</f>
        <v>46</v>
      </c>
      <c r="O66" s="27" t="str">
        <f t="shared" si="1"/>
        <v>indoreace4</v>
      </c>
      <c r="P66" s="27">
        <f>vlookup(O66,'Terms and condition'!$F:$H,3,0)/day(eomonth(B66,0))</f>
        <v>806.4516129</v>
      </c>
      <c r="Q66" s="27">
        <f t="shared" si="8"/>
        <v>21</v>
      </c>
      <c r="R66" s="27">
        <f t="shared" si="2"/>
        <v>953</v>
      </c>
      <c r="S66" s="27">
        <f t="shared" si="3"/>
        <v>0</v>
      </c>
      <c r="T66" s="27">
        <f t="shared" si="4"/>
        <v>0</v>
      </c>
      <c r="U66" s="28">
        <v>0.0</v>
      </c>
      <c r="V66" s="27">
        <f t="shared" si="5"/>
        <v>0</v>
      </c>
      <c r="W66" s="29">
        <f t="shared" si="6"/>
        <v>0</v>
      </c>
      <c r="X66" s="30">
        <f t="shared" si="7"/>
        <v>806.4516129</v>
      </c>
    </row>
    <row r="67">
      <c r="A67" s="3">
        <f>IFERROR(__xludf.DUMMYFUNCTION("""COMPUTED_VALUE"""),60.0)</f>
        <v>60</v>
      </c>
      <c r="B67" s="4">
        <f>IFERROR(__xludf.DUMMYFUNCTION("""COMPUTED_VALUE"""),45576.0)</f>
        <v>45576</v>
      </c>
      <c r="C67" s="3" t="str">
        <f>IFERROR(__xludf.DUMMYFUNCTION("""COMPUTED_VALUE"""),"INDORE")</f>
        <v>INDORE</v>
      </c>
      <c r="D67" s="5" t="str">
        <f>IFERROR(__xludf.DUMMYFUNCTION("""COMPUTED_VALUE"""),"SLK8")</f>
        <v>SLK8</v>
      </c>
      <c r="E67" s="6" t="str">
        <f>IFERROR(__xludf.DUMMYFUNCTION("""COMPUTED_VALUE"""),"ALPHABETZ SERVICES")</f>
        <v>ALPHABETZ SERVICES</v>
      </c>
      <c r="F67" s="6" t="str">
        <f>IFERROR(__xludf.DUMMYFUNCTION("""COMPUTED_VALUE"""),"MP09ZV0375")</f>
        <v>MP09ZV0375</v>
      </c>
      <c r="G67" s="6" t="str">
        <f>IFERROR(__xludf.DUMMYFUNCTION("""COMPUTED_VALUE"""),"ACE")</f>
        <v>ACE</v>
      </c>
      <c r="H67" s="6" t="str">
        <f>IFERROR(__xludf.DUMMYFUNCTION("""COMPUTED_VALUE"""),"DIESEL")</f>
        <v>DIESEL</v>
      </c>
      <c r="I67" s="6">
        <f>IFERROR(__xludf.DUMMYFUNCTION("""COMPUTED_VALUE"""),4.0)</f>
        <v>4</v>
      </c>
      <c r="J67" s="8">
        <f>IFERROR(__xludf.DUMMYFUNCTION("""COMPUTED_VALUE"""),0.12986111111111112)</f>
        <v>0.1298611111</v>
      </c>
      <c r="K67" s="8">
        <f>IFERROR(__xludf.DUMMYFUNCTION("""COMPUTED_VALUE"""),0.1451388888888889)</f>
        <v>0.1451388889</v>
      </c>
      <c r="L67" s="8">
        <f>IFERROR(__xludf.DUMMYFUNCTION("""COMPUTED_VALUE"""),0.3125)</f>
        <v>0.3125</v>
      </c>
      <c r="M67" s="8">
        <f>IFERROR(__xludf.DUMMYFUNCTION("""COMPUTED_VALUE"""),0.3159722222222222)</f>
        <v>0.3159722222</v>
      </c>
      <c r="N67" s="10">
        <f>IFERROR(__xludf.DUMMYFUNCTION("""COMPUTED_VALUE"""),31.0)</f>
        <v>31</v>
      </c>
      <c r="O67" s="27" t="str">
        <f t="shared" si="1"/>
        <v>indoreace4</v>
      </c>
      <c r="P67" s="27">
        <f>vlookup(O67,'Terms and condition'!$F:$H,3,0)/day(eomonth(B67,0))</f>
        <v>806.4516129</v>
      </c>
      <c r="Q67" s="27">
        <f t="shared" si="8"/>
        <v>26</v>
      </c>
      <c r="R67" s="27">
        <f t="shared" si="2"/>
        <v>802</v>
      </c>
      <c r="S67" s="27">
        <f t="shared" si="3"/>
        <v>0</v>
      </c>
      <c r="T67" s="27">
        <f t="shared" si="4"/>
        <v>0</v>
      </c>
      <c r="U67" s="28">
        <v>0.0</v>
      </c>
      <c r="V67" s="27">
        <f t="shared" si="5"/>
        <v>0</v>
      </c>
      <c r="W67" s="29">
        <f t="shared" si="6"/>
        <v>0</v>
      </c>
      <c r="X67" s="30">
        <f t="shared" si="7"/>
        <v>806.4516129</v>
      </c>
    </row>
    <row r="68">
      <c r="A68" s="3">
        <f>IFERROR(__xludf.DUMMYFUNCTION("""COMPUTED_VALUE"""),61.0)</f>
        <v>61</v>
      </c>
      <c r="B68" s="4">
        <f>IFERROR(__xludf.DUMMYFUNCTION("""COMPUTED_VALUE"""),45577.0)</f>
        <v>45577</v>
      </c>
      <c r="C68" s="3" t="str">
        <f>IFERROR(__xludf.DUMMYFUNCTION("""COMPUTED_VALUE"""),"INDORE")</f>
        <v>INDORE</v>
      </c>
      <c r="D68" s="5" t="str">
        <f>IFERROR(__xludf.DUMMYFUNCTION("""COMPUTED_VALUE"""),"SLK8")</f>
        <v>SLK8</v>
      </c>
      <c r="E68" s="6" t="str">
        <f>IFERROR(__xludf.DUMMYFUNCTION("""COMPUTED_VALUE"""),"ALPHABETZ SERVICES")</f>
        <v>ALPHABETZ SERVICES</v>
      </c>
      <c r="F68" s="6" t="str">
        <f>IFERROR(__xludf.DUMMYFUNCTION("""COMPUTED_VALUE"""),"MP09LR7355")</f>
        <v>MP09LR7355</v>
      </c>
      <c r="G68" s="6" t="str">
        <f>IFERROR(__xludf.DUMMYFUNCTION("""COMPUTED_VALUE"""),"ACE")</f>
        <v>ACE</v>
      </c>
      <c r="H68" s="6" t="str">
        <f>IFERROR(__xludf.DUMMYFUNCTION("""COMPUTED_VALUE"""),"DIESEL")</f>
        <v>DIESEL</v>
      </c>
      <c r="I68" s="6">
        <f>IFERROR(__xludf.DUMMYFUNCTION("""COMPUTED_VALUE"""),4.0)</f>
        <v>4</v>
      </c>
      <c r="J68" s="8">
        <f>IFERROR(__xludf.DUMMYFUNCTION("""COMPUTED_VALUE"""),0.125)</f>
        <v>0.125</v>
      </c>
      <c r="K68" s="8">
        <f>IFERROR(__xludf.DUMMYFUNCTION("""COMPUTED_VALUE"""),0.13194444444444445)</f>
        <v>0.1319444444</v>
      </c>
      <c r="L68" s="8">
        <f>IFERROR(__xludf.DUMMYFUNCTION("""COMPUTED_VALUE"""),0.2986111111111111)</f>
        <v>0.2986111111</v>
      </c>
      <c r="M68" s="8">
        <f>IFERROR(__xludf.DUMMYFUNCTION("""COMPUTED_VALUE"""),0.30694444444444446)</f>
        <v>0.3069444444</v>
      </c>
      <c r="N68" s="10">
        <f>IFERROR(__xludf.DUMMYFUNCTION("""COMPUTED_VALUE"""),51.0)</f>
        <v>51</v>
      </c>
      <c r="O68" s="27" t="str">
        <f t="shared" si="1"/>
        <v>indoreace4</v>
      </c>
      <c r="P68" s="27">
        <f>vlookup(O68,'Terms and condition'!$F:$H,3,0)/day(eomonth(B68,0))</f>
        <v>806.4516129</v>
      </c>
      <c r="Q68" s="27">
        <f t="shared" si="8"/>
        <v>30</v>
      </c>
      <c r="R68" s="27">
        <f t="shared" si="2"/>
        <v>1436</v>
      </c>
      <c r="S68" s="27">
        <f t="shared" si="3"/>
        <v>116.2666667</v>
      </c>
      <c r="T68" s="27">
        <f t="shared" si="4"/>
        <v>0</v>
      </c>
      <c r="U68" s="28">
        <v>0.0</v>
      </c>
      <c r="V68" s="27">
        <f t="shared" si="5"/>
        <v>0</v>
      </c>
      <c r="W68" s="29">
        <f t="shared" si="6"/>
        <v>0</v>
      </c>
      <c r="X68" s="30">
        <f t="shared" si="7"/>
        <v>922.7182796</v>
      </c>
    </row>
    <row r="69">
      <c r="A69" s="3">
        <f>IFERROR(__xludf.DUMMYFUNCTION("""COMPUTED_VALUE"""),62.0)</f>
        <v>62</v>
      </c>
      <c r="B69" s="4">
        <f>IFERROR(__xludf.DUMMYFUNCTION("""COMPUTED_VALUE"""),45577.0)</f>
        <v>45577</v>
      </c>
      <c r="C69" s="3" t="str">
        <f>IFERROR(__xludf.DUMMYFUNCTION("""COMPUTED_VALUE"""),"INDORE")</f>
        <v>INDORE</v>
      </c>
      <c r="D69" s="5" t="str">
        <f>IFERROR(__xludf.DUMMYFUNCTION("""COMPUTED_VALUE"""),"SLK8")</f>
        <v>SLK8</v>
      </c>
      <c r="E69" s="6" t="str">
        <f>IFERROR(__xludf.DUMMYFUNCTION("""COMPUTED_VALUE"""),"ALPHABETZ SERVICES")</f>
        <v>ALPHABETZ SERVICES</v>
      </c>
      <c r="F69" s="6" t="str">
        <f>IFERROR(__xludf.DUMMYFUNCTION("""COMPUTED_VALUE"""),"MP04LD5601")</f>
        <v>MP04LD5601</v>
      </c>
      <c r="G69" s="6" t="str">
        <f>IFERROR(__xludf.DUMMYFUNCTION("""COMPUTED_VALUE"""),"ACE")</f>
        <v>ACE</v>
      </c>
      <c r="H69" s="6" t="str">
        <f>IFERROR(__xludf.DUMMYFUNCTION("""COMPUTED_VALUE"""),"DIESEL")</f>
        <v>DIESEL</v>
      </c>
      <c r="I69" s="6">
        <f>IFERROR(__xludf.DUMMYFUNCTION("""COMPUTED_VALUE"""),4.0)</f>
        <v>4</v>
      </c>
      <c r="J69" s="8">
        <f>IFERROR(__xludf.DUMMYFUNCTION("""COMPUTED_VALUE"""),0.125)</f>
        <v>0.125</v>
      </c>
      <c r="K69" s="8">
        <f>IFERROR(__xludf.DUMMYFUNCTION("""COMPUTED_VALUE"""),0.13472222222222222)</f>
        <v>0.1347222222</v>
      </c>
      <c r="L69" s="8">
        <f>IFERROR(__xludf.DUMMYFUNCTION("""COMPUTED_VALUE"""),0.2986111111111111)</f>
        <v>0.2986111111</v>
      </c>
      <c r="M69" s="8">
        <f>IFERROR(__xludf.DUMMYFUNCTION("""COMPUTED_VALUE"""),0.3055555555555556)</f>
        <v>0.3055555556</v>
      </c>
      <c r="N69" s="10">
        <f>IFERROR(__xludf.DUMMYFUNCTION("""COMPUTED_VALUE"""),49.0)</f>
        <v>49</v>
      </c>
      <c r="O69" s="27" t="str">
        <f t="shared" si="1"/>
        <v>indoreace4</v>
      </c>
      <c r="P69" s="27">
        <f>vlookup(O69,'Terms and condition'!$F:$H,3,0)/day(eomonth(B69,0))</f>
        <v>806.4516129</v>
      </c>
      <c r="Q69" s="27">
        <f t="shared" si="8"/>
        <v>12</v>
      </c>
      <c r="R69" s="27">
        <f t="shared" si="2"/>
        <v>580</v>
      </c>
      <c r="S69" s="27">
        <f t="shared" si="3"/>
        <v>0</v>
      </c>
      <c r="T69" s="27">
        <f t="shared" si="4"/>
        <v>0</v>
      </c>
      <c r="U69" s="28">
        <v>0.0</v>
      </c>
      <c r="V69" s="27">
        <f t="shared" si="5"/>
        <v>0</v>
      </c>
      <c r="W69" s="29">
        <f t="shared" si="6"/>
        <v>0</v>
      </c>
      <c r="X69" s="30">
        <f t="shared" si="7"/>
        <v>806.4516129</v>
      </c>
    </row>
    <row r="70">
      <c r="A70" s="3">
        <f>IFERROR(__xludf.DUMMYFUNCTION("""COMPUTED_VALUE"""),63.0)</f>
        <v>63</v>
      </c>
      <c r="B70" s="4">
        <f>IFERROR(__xludf.DUMMYFUNCTION("""COMPUTED_VALUE"""),45577.0)</f>
        <v>45577</v>
      </c>
      <c r="C70" s="3" t="str">
        <f>IFERROR(__xludf.DUMMYFUNCTION("""COMPUTED_VALUE"""),"INDORE")</f>
        <v>INDORE</v>
      </c>
      <c r="D70" s="5" t="str">
        <f>IFERROR(__xludf.DUMMYFUNCTION("""COMPUTED_VALUE"""),"SLK8")</f>
        <v>SLK8</v>
      </c>
      <c r="E70" s="6" t="str">
        <f>IFERROR(__xludf.DUMMYFUNCTION("""COMPUTED_VALUE"""),"ALPHABETZ SERVICES")</f>
        <v>ALPHABETZ SERVICES</v>
      </c>
      <c r="F70" s="6" t="str">
        <f>IFERROR(__xludf.DUMMYFUNCTION("""COMPUTED_VALUE"""),"MP54L0316")</f>
        <v>MP54L0316</v>
      </c>
      <c r="G70" s="6" t="str">
        <f>IFERROR(__xludf.DUMMYFUNCTION("""COMPUTED_VALUE"""),"ACE")</f>
        <v>ACE</v>
      </c>
      <c r="H70" s="6" t="str">
        <f>IFERROR(__xludf.DUMMYFUNCTION("""COMPUTED_VALUE"""),"DIESEL")</f>
        <v>DIESEL</v>
      </c>
      <c r="I70" s="6">
        <f>IFERROR(__xludf.DUMMYFUNCTION("""COMPUTED_VALUE"""),4.0)</f>
        <v>4</v>
      </c>
      <c r="J70" s="8">
        <f>IFERROR(__xludf.DUMMYFUNCTION("""COMPUTED_VALUE"""),0.1284722222222222)</f>
        <v>0.1284722222</v>
      </c>
      <c r="K70" s="8">
        <f>IFERROR(__xludf.DUMMYFUNCTION("""COMPUTED_VALUE"""),0.1375)</f>
        <v>0.1375</v>
      </c>
      <c r="L70" s="8">
        <f>IFERROR(__xludf.DUMMYFUNCTION("""COMPUTED_VALUE"""),0.3125)</f>
        <v>0.3125</v>
      </c>
      <c r="M70" s="8">
        <f>IFERROR(__xludf.DUMMYFUNCTION("""COMPUTED_VALUE"""),0.3194444444444444)</f>
        <v>0.3194444444</v>
      </c>
      <c r="N70" s="10">
        <f>IFERROR(__xludf.DUMMYFUNCTION("""COMPUTED_VALUE"""),45.0)</f>
        <v>45</v>
      </c>
      <c r="O70" s="27" t="str">
        <f t="shared" si="1"/>
        <v>indoreace4</v>
      </c>
      <c r="P70" s="27">
        <f>vlookup(O70,'Terms and condition'!$F:$H,3,0)/day(eomonth(B70,0))</f>
        <v>806.4516129</v>
      </c>
      <c r="Q70" s="27">
        <f t="shared" si="8"/>
        <v>31</v>
      </c>
      <c r="R70" s="27">
        <f t="shared" si="2"/>
        <v>1390</v>
      </c>
      <c r="S70" s="27">
        <f t="shared" si="3"/>
        <v>100.6451613</v>
      </c>
      <c r="T70" s="27">
        <f t="shared" si="4"/>
        <v>32.25806452</v>
      </c>
      <c r="U70" s="28">
        <v>0.0</v>
      </c>
      <c r="V70" s="27">
        <f t="shared" si="5"/>
        <v>0</v>
      </c>
      <c r="W70" s="29">
        <f t="shared" si="6"/>
        <v>0</v>
      </c>
      <c r="X70" s="30">
        <f t="shared" si="7"/>
        <v>939.3548387</v>
      </c>
    </row>
    <row r="71">
      <c r="A71" s="3">
        <f>IFERROR(__xludf.DUMMYFUNCTION("""COMPUTED_VALUE"""),64.0)</f>
        <v>64</v>
      </c>
      <c r="B71" s="4">
        <f>IFERROR(__xludf.DUMMYFUNCTION("""COMPUTED_VALUE"""),45577.0)</f>
        <v>45577</v>
      </c>
      <c r="C71" s="3" t="str">
        <f>IFERROR(__xludf.DUMMYFUNCTION("""COMPUTED_VALUE"""),"INDORE")</f>
        <v>INDORE</v>
      </c>
      <c r="D71" s="5" t="str">
        <f>IFERROR(__xludf.DUMMYFUNCTION("""COMPUTED_VALUE"""),"SLK8")</f>
        <v>SLK8</v>
      </c>
      <c r="E71" s="6" t="str">
        <f>IFERROR(__xludf.DUMMYFUNCTION("""COMPUTED_VALUE"""),"ALPHABETZ SERVICES")</f>
        <v>ALPHABETZ SERVICES</v>
      </c>
      <c r="F71" s="6" t="str">
        <f>IFERROR(__xludf.DUMMYFUNCTION("""COMPUTED_VALUE"""),"MP09ZY2923")</f>
        <v>MP09ZY2923</v>
      </c>
      <c r="G71" s="6" t="str">
        <f>IFERROR(__xludf.DUMMYFUNCTION("""COMPUTED_VALUE"""),"ACE")</f>
        <v>ACE</v>
      </c>
      <c r="H71" s="6" t="str">
        <f>IFERROR(__xludf.DUMMYFUNCTION("""COMPUTED_VALUE"""),"DIESEL")</f>
        <v>DIESEL</v>
      </c>
      <c r="I71" s="6">
        <f>IFERROR(__xludf.DUMMYFUNCTION("""COMPUTED_VALUE"""),4.0)</f>
        <v>4</v>
      </c>
      <c r="J71" s="8">
        <f>IFERROR(__xludf.DUMMYFUNCTION("""COMPUTED_VALUE"""),0.1284722222222222)</f>
        <v>0.1284722222</v>
      </c>
      <c r="K71" s="8">
        <f>IFERROR(__xludf.DUMMYFUNCTION("""COMPUTED_VALUE"""),0.1388888888888889)</f>
        <v>0.1388888889</v>
      </c>
      <c r="L71" s="8">
        <f>IFERROR(__xludf.DUMMYFUNCTION("""COMPUTED_VALUE"""),0.3263888888888889)</f>
        <v>0.3263888889</v>
      </c>
      <c r="M71" s="8">
        <f>IFERROR(__xludf.DUMMYFUNCTION("""COMPUTED_VALUE"""),0.33194444444444443)</f>
        <v>0.3319444444</v>
      </c>
      <c r="N71" s="10">
        <f>IFERROR(__xludf.DUMMYFUNCTION("""COMPUTED_VALUE"""),32.0)</f>
        <v>32</v>
      </c>
      <c r="O71" s="27" t="str">
        <f t="shared" si="1"/>
        <v>indoreace4</v>
      </c>
      <c r="P71" s="27">
        <f>vlookup(O71,'Terms and condition'!$F:$H,3,0)/day(eomonth(B71,0))</f>
        <v>806.4516129</v>
      </c>
      <c r="Q71" s="27">
        <f t="shared" si="8"/>
        <v>31</v>
      </c>
      <c r="R71" s="27">
        <f t="shared" si="2"/>
        <v>988</v>
      </c>
      <c r="S71" s="27">
        <f t="shared" si="3"/>
        <v>0</v>
      </c>
      <c r="T71" s="27">
        <f t="shared" si="4"/>
        <v>32.25806452</v>
      </c>
      <c r="U71" s="28">
        <v>0.0</v>
      </c>
      <c r="V71" s="27">
        <f t="shared" si="5"/>
        <v>0</v>
      </c>
      <c r="W71" s="29">
        <f t="shared" si="6"/>
        <v>0</v>
      </c>
      <c r="X71" s="30">
        <f t="shared" si="7"/>
        <v>838.7096774</v>
      </c>
    </row>
    <row r="72">
      <c r="A72" s="3">
        <f>IFERROR(__xludf.DUMMYFUNCTION("""COMPUTED_VALUE"""),65.0)</f>
        <v>65</v>
      </c>
      <c r="B72" s="4">
        <f>IFERROR(__xludf.DUMMYFUNCTION("""COMPUTED_VALUE"""),45577.0)</f>
        <v>45577</v>
      </c>
      <c r="C72" s="3" t="str">
        <f>IFERROR(__xludf.DUMMYFUNCTION("""COMPUTED_VALUE"""),"INDORE")</f>
        <v>INDORE</v>
      </c>
      <c r="D72" s="5" t="str">
        <f>IFERROR(__xludf.DUMMYFUNCTION("""COMPUTED_VALUE"""),"SLK8")</f>
        <v>SLK8</v>
      </c>
      <c r="E72" s="6" t="str">
        <f>IFERROR(__xludf.DUMMYFUNCTION("""COMPUTED_VALUE"""),"ALPHABETZ SERVICES")</f>
        <v>ALPHABETZ SERVICES</v>
      </c>
      <c r="F72" s="6" t="str">
        <f>IFERROR(__xludf.DUMMYFUNCTION("""COMPUTED_VALUE"""),"MP09LP8407")</f>
        <v>MP09LP8407</v>
      </c>
      <c r="G72" s="6" t="str">
        <f>IFERROR(__xludf.DUMMYFUNCTION("""COMPUTED_VALUE"""),"ACE")</f>
        <v>ACE</v>
      </c>
      <c r="H72" s="6" t="str">
        <f>IFERROR(__xludf.DUMMYFUNCTION("""COMPUTED_VALUE"""),"DIESEL")</f>
        <v>DIESEL</v>
      </c>
      <c r="I72" s="6">
        <f>IFERROR(__xludf.DUMMYFUNCTION("""COMPUTED_VALUE"""),4.0)</f>
        <v>4</v>
      </c>
      <c r="J72" s="8">
        <f>IFERROR(__xludf.DUMMYFUNCTION("""COMPUTED_VALUE"""),0.1284722222222222)</f>
        <v>0.1284722222</v>
      </c>
      <c r="K72" s="8">
        <f>IFERROR(__xludf.DUMMYFUNCTION("""COMPUTED_VALUE"""),0.1423611111111111)</f>
        <v>0.1423611111</v>
      </c>
      <c r="L72" s="8">
        <f>IFERROR(__xludf.DUMMYFUNCTION("""COMPUTED_VALUE"""),0.3020833333333333)</f>
        <v>0.3020833333</v>
      </c>
      <c r="M72" s="8">
        <f>IFERROR(__xludf.DUMMYFUNCTION("""COMPUTED_VALUE"""),0.30972222222222223)</f>
        <v>0.3097222222</v>
      </c>
      <c r="N72" s="10">
        <f>IFERROR(__xludf.DUMMYFUNCTION("""COMPUTED_VALUE"""),35.0)</f>
        <v>35</v>
      </c>
      <c r="O72" s="27" t="str">
        <f t="shared" si="1"/>
        <v>indoreace4</v>
      </c>
      <c r="P72" s="27">
        <f>vlookup(O72,'Terms and condition'!$F:$H,3,0)/day(eomonth(B72,0))</f>
        <v>806.4516129</v>
      </c>
      <c r="Q72" s="27">
        <f t="shared" si="8"/>
        <v>31</v>
      </c>
      <c r="R72" s="27">
        <f t="shared" si="2"/>
        <v>1063</v>
      </c>
      <c r="S72" s="27">
        <f t="shared" si="3"/>
        <v>16.25806452</v>
      </c>
      <c r="T72" s="27">
        <f t="shared" si="4"/>
        <v>32.25806452</v>
      </c>
      <c r="U72" s="28">
        <v>0.0</v>
      </c>
      <c r="V72" s="27">
        <f t="shared" si="5"/>
        <v>0</v>
      </c>
      <c r="W72" s="29">
        <f t="shared" si="6"/>
        <v>0</v>
      </c>
      <c r="X72" s="30">
        <f t="shared" si="7"/>
        <v>854.9677419</v>
      </c>
    </row>
    <row r="73">
      <c r="A73" s="3">
        <f>IFERROR(__xludf.DUMMYFUNCTION("""COMPUTED_VALUE"""),66.0)</f>
        <v>66</v>
      </c>
      <c r="B73" s="4">
        <f>IFERROR(__xludf.DUMMYFUNCTION("""COMPUTED_VALUE"""),45577.0)</f>
        <v>45577</v>
      </c>
      <c r="C73" s="3" t="str">
        <f>IFERROR(__xludf.DUMMYFUNCTION("""COMPUTED_VALUE"""),"INDORE")</f>
        <v>INDORE</v>
      </c>
      <c r="D73" s="5" t="str">
        <f>IFERROR(__xludf.DUMMYFUNCTION("""COMPUTED_VALUE"""),"SLK8")</f>
        <v>SLK8</v>
      </c>
      <c r="E73" s="6" t="str">
        <f>IFERROR(__xludf.DUMMYFUNCTION("""COMPUTED_VALUE"""),"ALPHABETZ SERVICES")</f>
        <v>ALPHABETZ SERVICES</v>
      </c>
      <c r="F73" s="6" t="str">
        <f>IFERROR(__xludf.DUMMYFUNCTION("""COMPUTED_VALUE"""),"MP07L8679")</f>
        <v>MP07L8679</v>
      </c>
      <c r="G73" s="6" t="str">
        <f>IFERROR(__xludf.DUMMYFUNCTION("""COMPUTED_VALUE"""),"ACE")</f>
        <v>ACE</v>
      </c>
      <c r="H73" s="6" t="str">
        <f>IFERROR(__xludf.DUMMYFUNCTION("""COMPUTED_VALUE"""),"DIESEL")</f>
        <v>DIESEL</v>
      </c>
      <c r="I73" s="6">
        <f>IFERROR(__xludf.DUMMYFUNCTION("""COMPUTED_VALUE"""),4.0)</f>
        <v>4</v>
      </c>
      <c r="J73" s="8">
        <f>IFERROR(__xludf.DUMMYFUNCTION("""COMPUTED_VALUE"""),0.13541666666666666)</f>
        <v>0.1354166667</v>
      </c>
      <c r="K73" s="8">
        <f>IFERROR(__xludf.DUMMYFUNCTION("""COMPUTED_VALUE"""),0.14444444444444443)</f>
        <v>0.1444444444</v>
      </c>
      <c r="L73" s="8">
        <f>IFERROR(__xludf.DUMMYFUNCTION("""COMPUTED_VALUE"""),0.3055555555555556)</f>
        <v>0.3055555556</v>
      </c>
      <c r="M73" s="8">
        <f>IFERROR(__xludf.DUMMYFUNCTION("""COMPUTED_VALUE"""),0.3111111111111111)</f>
        <v>0.3111111111</v>
      </c>
      <c r="N73" s="10">
        <f>IFERROR(__xludf.DUMMYFUNCTION("""COMPUTED_VALUE"""),32.0)</f>
        <v>32</v>
      </c>
      <c r="O73" s="27" t="str">
        <f t="shared" si="1"/>
        <v>indoreace4</v>
      </c>
      <c r="P73" s="27">
        <f>vlookup(O73,'Terms and condition'!$F:$H,3,0)/day(eomonth(B73,0))</f>
        <v>806.4516129</v>
      </c>
      <c r="Q73" s="27">
        <f t="shared" si="8"/>
        <v>4</v>
      </c>
      <c r="R73" s="27">
        <f t="shared" si="2"/>
        <v>126</v>
      </c>
      <c r="S73" s="27">
        <f t="shared" si="3"/>
        <v>0</v>
      </c>
      <c r="T73" s="27">
        <f t="shared" si="4"/>
        <v>0</v>
      </c>
      <c r="U73" s="28">
        <v>0.0</v>
      </c>
      <c r="V73" s="27">
        <f t="shared" si="5"/>
        <v>0</v>
      </c>
      <c r="W73" s="29">
        <f t="shared" si="6"/>
        <v>0</v>
      </c>
      <c r="X73" s="30">
        <f t="shared" si="7"/>
        <v>806.4516129</v>
      </c>
    </row>
    <row r="74">
      <c r="A74" s="3">
        <f>IFERROR(__xludf.DUMMYFUNCTION("""COMPUTED_VALUE"""),67.0)</f>
        <v>67</v>
      </c>
      <c r="B74" s="4">
        <f>IFERROR(__xludf.DUMMYFUNCTION("""COMPUTED_VALUE"""),45578.0)</f>
        <v>45578</v>
      </c>
      <c r="C74" s="3" t="str">
        <f>IFERROR(__xludf.DUMMYFUNCTION("""COMPUTED_VALUE"""),"INDORE")</f>
        <v>INDORE</v>
      </c>
      <c r="D74" s="5" t="str">
        <f>IFERROR(__xludf.DUMMYFUNCTION("""COMPUTED_VALUE"""),"SLK8")</f>
        <v>SLK8</v>
      </c>
      <c r="E74" s="6" t="str">
        <f>IFERROR(__xludf.DUMMYFUNCTION("""COMPUTED_VALUE"""),"ALPHABETZ SERVICES")</f>
        <v>ALPHABETZ SERVICES</v>
      </c>
      <c r="F74" s="6" t="str">
        <f>IFERROR(__xludf.DUMMYFUNCTION("""COMPUTED_VALUE"""),"MP54L0316")</f>
        <v>MP54L0316</v>
      </c>
      <c r="G74" s="6" t="str">
        <f>IFERROR(__xludf.DUMMYFUNCTION("""COMPUTED_VALUE"""),"ACE")</f>
        <v>ACE</v>
      </c>
      <c r="H74" s="6" t="str">
        <f>IFERROR(__xludf.DUMMYFUNCTION("""COMPUTED_VALUE"""),"DIESEL")</f>
        <v>DIESEL</v>
      </c>
      <c r="I74" s="6">
        <f>IFERROR(__xludf.DUMMYFUNCTION("""COMPUTED_VALUE"""),4.0)</f>
        <v>4</v>
      </c>
      <c r="J74" s="8">
        <f>IFERROR(__xludf.DUMMYFUNCTION("""COMPUTED_VALUE"""),0.125)</f>
        <v>0.125</v>
      </c>
      <c r="K74" s="8">
        <f>IFERROR(__xludf.DUMMYFUNCTION("""COMPUTED_VALUE"""),0.13194444444444445)</f>
        <v>0.1319444444</v>
      </c>
      <c r="L74" s="8">
        <f>IFERROR(__xludf.DUMMYFUNCTION("""COMPUTED_VALUE"""),0.3055555555555556)</f>
        <v>0.3055555556</v>
      </c>
      <c r="M74" s="8">
        <f>IFERROR(__xludf.DUMMYFUNCTION("""COMPUTED_VALUE"""),0.3090277777777778)</f>
        <v>0.3090277778</v>
      </c>
      <c r="N74" s="10">
        <f>IFERROR(__xludf.DUMMYFUNCTION("""COMPUTED_VALUE"""),44.0)</f>
        <v>44</v>
      </c>
      <c r="O74" s="27" t="str">
        <f t="shared" si="1"/>
        <v>indoreace4</v>
      </c>
      <c r="P74" s="27">
        <f>vlookup(O74,'Terms and condition'!$F:$H,3,0)/day(eomonth(B74,0))</f>
        <v>806.4516129</v>
      </c>
      <c r="Q74" s="27">
        <f t="shared" si="8"/>
        <v>31</v>
      </c>
      <c r="R74" s="27">
        <f t="shared" si="2"/>
        <v>1390</v>
      </c>
      <c r="S74" s="27">
        <f t="shared" si="3"/>
        <v>100.6451613</v>
      </c>
      <c r="T74" s="27">
        <f t="shared" si="4"/>
        <v>32.25806452</v>
      </c>
      <c r="U74" s="28">
        <v>0.0</v>
      </c>
      <c r="V74" s="27">
        <f t="shared" si="5"/>
        <v>0</v>
      </c>
      <c r="W74" s="29">
        <f t="shared" si="6"/>
        <v>0</v>
      </c>
      <c r="X74" s="30">
        <f t="shared" si="7"/>
        <v>939.3548387</v>
      </c>
    </row>
    <row r="75">
      <c r="A75" s="3">
        <f>IFERROR(__xludf.DUMMYFUNCTION("""COMPUTED_VALUE"""),68.0)</f>
        <v>68</v>
      </c>
      <c r="B75" s="4">
        <f>IFERROR(__xludf.DUMMYFUNCTION("""COMPUTED_VALUE"""),45578.0)</f>
        <v>45578</v>
      </c>
      <c r="C75" s="3" t="str">
        <f>IFERROR(__xludf.DUMMYFUNCTION("""COMPUTED_VALUE"""),"INDORE")</f>
        <v>INDORE</v>
      </c>
      <c r="D75" s="5" t="str">
        <f>IFERROR(__xludf.DUMMYFUNCTION("""COMPUTED_VALUE"""),"SLK8")</f>
        <v>SLK8</v>
      </c>
      <c r="E75" s="6" t="str">
        <f>IFERROR(__xludf.DUMMYFUNCTION("""COMPUTED_VALUE"""),"ALPHABETZ SERVICES")</f>
        <v>ALPHABETZ SERVICES</v>
      </c>
      <c r="F75" s="6" t="str">
        <f>IFERROR(__xludf.DUMMYFUNCTION("""COMPUTED_VALUE"""),"MP09LP8407")</f>
        <v>MP09LP8407</v>
      </c>
      <c r="G75" s="6" t="str">
        <f>IFERROR(__xludf.DUMMYFUNCTION("""COMPUTED_VALUE"""),"ACE")</f>
        <v>ACE</v>
      </c>
      <c r="H75" s="6" t="str">
        <f>IFERROR(__xludf.DUMMYFUNCTION("""COMPUTED_VALUE"""),"DIESEL")</f>
        <v>DIESEL</v>
      </c>
      <c r="I75" s="6">
        <f>IFERROR(__xludf.DUMMYFUNCTION("""COMPUTED_VALUE"""),4.0)</f>
        <v>4</v>
      </c>
      <c r="J75" s="8">
        <f>IFERROR(__xludf.DUMMYFUNCTION("""COMPUTED_VALUE"""),0.125)</f>
        <v>0.125</v>
      </c>
      <c r="K75" s="8">
        <f>IFERROR(__xludf.DUMMYFUNCTION("""COMPUTED_VALUE"""),0.13333333333333333)</f>
        <v>0.1333333333</v>
      </c>
      <c r="L75" s="8">
        <f>IFERROR(__xludf.DUMMYFUNCTION("""COMPUTED_VALUE"""),0.3055555555555556)</f>
        <v>0.3055555556</v>
      </c>
      <c r="M75" s="8">
        <f>IFERROR(__xludf.DUMMYFUNCTION("""COMPUTED_VALUE"""),0.3090277777777778)</f>
        <v>0.3090277778</v>
      </c>
      <c r="N75" s="10">
        <f>IFERROR(__xludf.DUMMYFUNCTION("""COMPUTED_VALUE"""),36.0)</f>
        <v>36</v>
      </c>
      <c r="O75" s="27" t="str">
        <f t="shared" si="1"/>
        <v>indoreace4</v>
      </c>
      <c r="P75" s="27">
        <f>vlookup(O75,'Terms and condition'!$F:$H,3,0)/day(eomonth(B75,0))</f>
        <v>806.4516129</v>
      </c>
      <c r="Q75" s="27">
        <f t="shared" si="8"/>
        <v>31</v>
      </c>
      <c r="R75" s="27">
        <f t="shared" si="2"/>
        <v>1063</v>
      </c>
      <c r="S75" s="27">
        <f t="shared" si="3"/>
        <v>16.25806452</v>
      </c>
      <c r="T75" s="27">
        <f t="shared" si="4"/>
        <v>32.25806452</v>
      </c>
      <c r="U75" s="28">
        <v>0.0</v>
      </c>
      <c r="V75" s="27">
        <f t="shared" si="5"/>
        <v>0</v>
      </c>
      <c r="W75" s="29">
        <f t="shared" si="6"/>
        <v>0</v>
      </c>
      <c r="X75" s="30">
        <f t="shared" si="7"/>
        <v>854.9677419</v>
      </c>
    </row>
    <row r="76">
      <c r="A76" s="3">
        <f>IFERROR(__xludf.DUMMYFUNCTION("""COMPUTED_VALUE"""),69.0)</f>
        <v>69</v>
      </c>
      <c r="B76" s="4">
        <f>IFERROR(__xludf.DUMMYFUNCTION("""COMPUTED_VALUE"""),45578.0)</f>
        <v>45578</v>
      </c>
      <c r="C76" s="3" t="str">
        <f>IFERROR(__xludf.DUMMYFUNCTION("""COMPUTED_VALUE"""),"INDORE")</f>
        <v>INDORE</v>
      </c>
      <c r="D76" s="5" t="str">
        <f>IFERROR(__xludf.DUMMYFUNCTION("""COMPUTED_VALUE"""),"SLK8")</f>
        <v>SLK8</v>
      </c>
      <c r="E76" s="6" t="str">
        <f>IFERROR(__xludf.DUMMYFUNCTION("""COMPUTED_VALUE"""),"ALPHABETZ SERVICES")</f>
        <v>ALPHABETZ SERVICES</v>
      </c>
      <c r="F76" s="6" t="str">
        <f>IFERROR(__xludf.DUMMYFUNCTION("""COMPUTED_VALUE"""),"MP09LR7355")</f>
        <v>MP09LR7355</v>
      </c>
      <c r="G76" s="6" t="str">
        <f>IFERROR(__xludf.DUMMYFUNCTION("""COMPUTED_VALUE"""),"ACE")</f>
        <v>ACE</v>
      </c>
      <c r="H76" s="6" t="str">
        <f>IFERROR(__xludf.DUMMYFUNCTION("""COMPUTED_VALUE"""),"DIESEL")</f>
        <v>DIESEL</v>
      </c>
      <c r="I76" s="6">
        <f>IFERROR(__xludf.DUMMYFUNCTION("""COMPUTED_VALUE"""),4.0)</f>
        <v>4</v>
      </c>
      <c r="J76" s="8">
        <f>IFERROR(__xludf.DUMMYFUNCTION("""COMPUTED_VALUE"""),0.12638888888888888)</f>
        <v>0.1263888889</v>
      </c>
      <c r="K76" s="8">
        <f>IFERROR(__xludf.DUMMYFUNCTION("""COMPUTED_VALUE"""),0.13541666666666666)</f>
        <v>0.1354166667</v>
      </c>
      <c r="L76" s="8">
        <f>IFERROR(__xludf.DUMMYFUNCTION("""COMPUTED_VALUE"""),0.3125)</f>
        <v>0.3125</v>
      </c>
      <c r="M76" s="8">
        <f>IFERROR(__xludf.DUMMYFUNCTION("""COMPUTED_VALUE"""),0.31666666666666665)</f>
        <v>0.3166666667</v>
      </c>
      <c r="N76" s="10">
        <f>IFERROR(__xludf.DUMMYFUNCTION("""COMPUTED_VALUE"""),51.0)</f>
        <v>51</v>
      </c>
      <c r="O76" s="27" t="str">
        <f t="shared" si="1"/>
        <v>indoreace4</v>
      </c>
      <c r="P76" s="27">
        <f>vlookup(O76,'Terms and condition'!$F:$H,3,0)/day(eomonth(B76,0))</f>
        <v>806.4516129</v>
      </c>
      <c r="Q76" s="27">
        <f t="shared" si="8"/>
        <v>30</v>
      </c>
      <c r="R76" s="27">
        <f t="shared" si="2"/>
        <v>1436</v>
      </c>
      <c r="S76" s="27">
        <f t="shared" si="3"/>
        <v>116.2666667</v>
      </c>
      <c r="T76" s="27">
        <f t="shared" si="4"/>
        <v>0</v>
      </c>
      <c r="U76" s="28">
        <v>0.0</v>
      </c>
      <c r="V76" s="27">
        <f t="shared" si="5"/>
        <v>0</v>
      </c>
      <c r="W76" s="29">
        <f t="shared" si="6"/>
        <v>0</v>
      </c>
      <c r="X76" s="30">
        <f t="shared" si="7"/>
        <v>922.7182796</v>
      </c>
    </row>
    <row r="77">
      <c r="A77" s="3">
        <f>IFERROR(__xludf.DUMMYFUNCTION("""COMPUTED_VALUE"""),70.0)</f>
        <v>70</v>
      </c>
      <c r="B77" s="4">
        <f>IFERROR(__xludf.DUMMYFUNCTION("""COMPUTED_VALUE"""),45578.0)</f>
        <v>45578</v>
      </c>
      <c r="C77" s="3" t="str">
        <f>IFERROR(__xludf.DUMMYFUNCTION("""COMPUTED_VALUE"""),"INDORE")</f>
        <v>INDORE</v>
      </c>
      <c r="D77" s="5" t="str">
        <f>IFERROR(__xludf.DUMMYFUNCTION("""COMPUTED_VALUE"""),"SLK8")</f>
        <v>SLK8</v>
      </c>
      <c r="E77" s="6" t="str">
        <f>IFERROR(__xludf.DUMMYFUNCTION("""COMPUTED_VALUE"""),"ALPHABETZ SERVICES")</f>
        <v>ALPHABETZ SERVICES</v>
      </c>
      <c r="F77" s="6" t="str">
        <f>IFERROR(__xludf.DUMMYFUNCTION("""COMPUTED_VALUE"""),"MP09ZY2923")</f>
        <v>MP09ZY2923</v>
      </c>
      <c r="G77" s="6" t="str">
        <f>IFERROR(__xludf.DUMMYFUNCTION("""COMPUTED_VALUE"""),"ACE")</f>
        <v>ACE</v>
      </c>
      <c r="H77" s="6" t="str">
        <f>IFERROR(__xludf.DUMMYFUNCTION("""COMPUTED_VALUE"""),"DIESEL")</f>
        <v>DIESEL</v>
      </c>
      <c r="I77" s="6">
        <f>IFERROR(__xludf.DUMMYFUNCTION("""COMPUTED_VALUE"""),4.0)</f>
        <v>4</v>
      </c>
      <c r="J77" s="8">
        <f>IFERROR(__xludf.DUMMYFUNCTION("""COMPUTED_VALUE"""),0.1284722222222222)</f>
        <v>0.1284722222</v>
      </c>
      <c r="K77" s="8">
        <f>IFERROR(__xludf.DUMMYFUNCTION("""COMPUTED_VALUE"""),0.1375)</f>
        <v>0.1375</v>
      </c>
      <c r="L77" s="8">
        <f>IFERROR(__xludf.DUMMYFUNCTION("""COMPUTED_VALUE"""),0.29583333333333334)</f>
        <v>0.2958333333</v>
      </c>
      <c r="M77" s="8">
        <f>IFERROR(__xludf.DUMMYFUNCTION("""COMPUTED_VALUE"""),0.29930555555555555)</f>
        <v>0.2993055556</v>
      </c>
      <c r="N77" s="10">
        <f>IFERROR(__xludf.DUMMYFUNCTION("""COMPUTED_VALUE"""),31.0)</f>
        <v>31</v>
      </c>
      <c r="O77" s="27" t="str">
        <f t="shared" si="1"/>
        <v>indoreace4</v>
      </c>
      <c r="P77" s="27">
        <f>vlookup(O77,'Terms and condition'!$F:$H,3,0)/day(eomonth(B77,0))</f>
        <v>806.4516129</v>
      </c>
      <c r="Q77" s="27">
        <f t="shared" si="8"/>
        <v>31</v>
      </c>
      <c r="R77" s="27">
        <f t="shared" si="2"/>
        <v>988</v>
      </c>
      <c r="S77" s="27">
        <f t="shared" si="3"/>
        <v>0</v>
      </c>
      <c r="T77" s="27">
        <f t="shared" si="4"/>
        <v>32.25806452</v>
      </c>
      <c r="U77" s="28">
        <v>0.0</v>
      </c>
      <c r="V77" s="27">
        <f t="shared" si="5"/>
        <v>0</v>
      </c>
      <c r="W77" s="29">
        <f t="shared" si="6"/>
        <v>0</v>
      </c>
      <c r="X77" s="30">
        <f t="shared" si="7"/>
        <v>838.7096774</v>
      </c>
    </row>
    <row r="78">
      <c r="A78" s="3">
        <f>IFERROR(__xludf.DUMMYFUNCTION("""COMPUTED_VALUE"""),71.0)</f>
        <v>71</v>
      </c>
      <c r="B78" s="4">
        <f>IFERROR(__xludf.DUMMYFUNCTION("""COMPUTED_VALUE"""),45578.0)</f>
        <v>45578</v>
      </c>
      <c r="C78" s="3" t="str">
        <f>IFERROR(__xludf.DUMMYFUNCTION("""COMPUTED_VALUE"""),"INDORE")</f>
        <v>INDORE</v>
      </c>
      <c r="D78" s="5" t="str">
        <f>IFERROR(__xludf.DUMMYFUNCTION("""COMPUTED_VALUE"""),"SLK8")</f>
        <v>SLK8</v>
      </c>
      <c r="E78" s="6" t="str">
        <f>IFERROR(__xludf.DUMMYFUNCTION("""COMPUTED_VALUE"""),"ALPHABETZ SERVICES")</f>
        <v>ALPHABETZ SERVICES</v>
      </c>
      <c r="F78" s="6" t="str">
        <f>IFERROR(__xludf.DUMMYFUNCTION("""COMPUTED_VALUE"""),"MP09ZZ6272")</f>
        <v>MP09ZZ6272</v>
      </c>
      <c r="G78" s="6" t="str">
        <f>IFERROR(__xludf.DUMMYFUNCTION("""COMPUTED_VALUE"""),"ACE")</f>
        <v>ACE</v>
      </c>
      <c r="H78" s="6" t="str">
        <f>IFERROR(__xludf.DUMMYFUNCTION("""COMPUTED_VALUE"""),"DIESEL")</f>
        <v>DIESEL</v>
      </c>
      <c r="I78" s="6">
        <f>IFERROR(__xludf.DUMMYFUNCTION("""COMPUTED_VALUE"""),4.0)</f>
        <v>4</v>
      </c>
      <c r="J78" s="8">
        <f>IFERROR(__xludf.DUMMYFUNCTION("""COMPUTED_VALUE"""),0.1284722222222222)</f>
        <v>0.1284722222</v>
      </c>
      <c r="K78" s="8">
        <f>IFERROR(__xludf.DUMMYFUNCTION("""COMPUTED_VALUE"""),0.1388888888888889)</f>
        <v>0.1388888889</v>
      </c>
      <c r="L78" s="8">
        <f>IFERROR(__xludf.DUMMYFUNCTION("""COMPUTED_VALUE"""),0.3125)</f>
        <v>0.3125</v>
      </c>
      <c r="M78" s="8">
        <f>IFERROR(__xludf.DUMMYFUNCTION("""COMPUTED_VALUE"""),0.3159722222222222)</f>
        <v>0.3159722222</v>
      </c>
      <c r="N78" s="10">
        <f>IFERROR(__xludf.DUMMYFUNCTION("""COMPUTED_VALUE"""),48.0)</f>
        <v>48</v>
      </c>
      <c r="O78" s="27" t="str">
        <f t="shared" si="1"/>
        <v>indoreace4</v>
      </c>
      <c r="P78" s="27">
        <f>vlookup(O78,'Terms and condition'!$F:$H,3,0)/day(eomonth(B78,0))</f>
        <v>806.4516129</v>
      </c>
      <c r="Q78" s="27">
        <f t="shared" si="8"/>
        <v>21</v>
      </c>
      <c r="R78" s="27">
        <f t="shared" si="2"/>
        <v>953</v>
      </c>
      <c r="S78" s="27">
        <f t="shared" si="3"/>
        <v>0</v>
      </c>
      <c r="T78" s="27">
        <f t="shared" si="4"/>
        <v>0</v>
      </c>
      <c r="U78" s="28">
        <v>0.0</v>
      </c>
      <c r="V78" s="27">
        <f t="shared" si="5"/>
        <v>0</v>
      </c>
      <c r="W78" s="29">
        <f t="shared" si="6"/>
        <v>0</v>
      </c>
      <c r="X78" s="30">
        <f t="shared" si="7"/>
        <v>806.4516129</v>
      </c>
    </row>
    <row r="79">
      <c r="A79" s="3">
        <f>IFERROR(__xludf.DUMMYFUNCTION("""COMPUTED_VALUE"""),72.0)</f>
        <v>72</v>
      </c>
      <c r="B79" s="4">
        <f>IFERROR(__xludf.DUMMYFUNCTION("""COMPUTED_VALUE"""),45578.0)</f>
        <v>45578</v>
      </c>
      <c r="C79" s="3" t="str">
        <f>IFERROR(__xludf.DUMMYFUNCTION("""COMPUTED_VALUE"""),"INDORE")</f>
        <v>INDORE</v>
      </c>
      <c r="D79" s="5" t="str">
        <f>IFERROR(__xludf.DUMMYFUNCTION("""COMPUTED_VALUE"""),"SLK8")</f>
        <v>SLK8</v>
      </c>
      <c r="E79" s="6" t="str">
        <f>IFERROR(__xludf.DUMMYFUNCTION("""COMPUTED_VALUE"""),"ALPHABETZ SERVICES")</f>
        <v>ALPHABETZ SERVICES</v>
      </c>
      <c r="F79" s="6" t="str">
        <f>IFERROR(__xludf.DUMMYFUNCTION("""COMPUTED_VALUE"""),"MP09ZV0375")</f>
        <v>MP09ZV0375</v>
      </c>
      <c r="G79" s="6" t="str">
        <f>IFERROR(__xludf.DUMMYFUNCTION("""COMPUTED_VALUE"""),"ACE")</f>
        <v>ACE</v>
      </c>
      <c r="H79" s="6" t="str">
        <f>IFERROR(__xludf.DUMMYFUNCTION("""COMPUTED_VALUE"""),"DIESEL")</f>
        <v>DIESEL</v>
      </c>
      <c r="I79" s="6">
        <f>IFERROR(__xludf.DUMMYFUNCTION("""COMPUTED_VALUE"""),4.0)</f>
        <v>4</v>
      </c>
      <c r="J79" s="8">
        <f>IFERROR(__xludf.DUMMYFUNCTION("""COMPUTED_VALUE"""),0.12916666666666668)</f>
        <v>0.1291666667</v>
      </c>
      <c r="K79" s="8">
        <f>IFERROR(__xludf.DUMMYFUNCTION("""COMPUTED_VALUE"""),0.14583333333333334)</f>
        <v>0.1458333333</v>
      </c>
      <c r="L79" s="8">
        <f>IFERROR(__xludf.DUMMYFUNCTION("""COMPUTED_VALUE"""),0.3055555555555556)</f>
        <v>0.3055555556</v>
      </c>
      <c r="M79" s="8">
        <f>IFERROR(__xludf.DUMMYFUNCTION("""COMPUTED_VALUE"""),0.3090277777777778)</f>
        <v>0.3090277778</v>
      </c>
      <c r="N79" s="10">
        <f>IFERROR(__xludf.DUMMYFUNCTION("""COMPUTED_VALUE"""),30.0)</f>
        <v>30</v>
      </c>
      <c r="O79" s="27" t="str">
        <f t="shared" si="1"/>
        <v>indoreace4</v>
      </c>
      <c r="P79" s="27">
        <f>vlookup(O79,'Terms and condition'!$F:$H,3,0)/day(eomonth(B79,0))</f>
        <v>806.4516129</v>
      </c>
      <c r="Q79" s="27">
        <f t="shared" si="8"/>
        <v>26</v>
      </c>
      <c r="R79" s="27">
        <f t="shared" si="2"/>
        <v>802</v>
      </c>
      <c r="S79" s="27">
        <f t="shared" si="3"/>
        <v>0</v>
      </c>
      <c r="T79" s="27">
        <f t="shared" si="4"/>
        <v>0</v>
      </c>
      <c r="U79" s="28">
        <v>0.0</v>
      </c>
      <c r="V79" s="27">
        <f t="shared" si="5"/>
        <v>0</v>
      </c>
      <c r="W79" s="29">
        <f t="shared" si="6"/>
        <v>0</v>
      </c>
      <c r="X79" s="30">
        <f t="shared" si="7"/>
        <v>806.4516129</v>
      </c>
    </row>
    <row r="80">
      <c r="A80" s="3">
        <f>IFERROR(__xludf.DUMMYFUNCTION("""COMPUTED_VALUE"""),73.0)</f>
        <v>73</v>
      </c>
      <c r="B80" s="4">
        <f>IFERROR(__xludf.DUMMYFUNCTION("""COMPUTED_VALUE"""),45579.0)</f>
        <v>45579</v>
      </c>
      <c r="C80" s="3" t="str">
        <f>IFERROR(__xludf.DUMMYFUNCTION("""COMPUTED_VALUE"""),"INDORE")</f>
        <v>INDORE</v>
      </c>
      <c r="D80" s="5" t="str">
        <f>IFERROR(__xludf.DUMMYFUNCTION("""COMPUTED_VALUE"""),"SLK8")</f>
        <v>SLK8</v>
      </c>
      <c r="E80" s="6" t="str">
        <f>IFERROR(__xludf.DUMMYFUNCTION("""COMPUTED_VALUE"""),"ALPHABETZ SERVICES")</f>
        <v>ALPHABETZ SERVICES</v>
      </c>
      <c r="F80" s="6" t="str">
        <f>IFERROR(__xludf.DUMMYFUNCTION("""COMPUTED_VALUE"""),"MP09LR7355")</f>
        <v>MP09LR7355</v>
      </c>
      <c r="G80" s="6" t="str">
        <f>IFERROR(__xludf.DUMMYFUNCTION("""COMPUTED_VALUE"""),"ACE")</f>
        <v>ACE</v>
      </c>
      <c r="H80" s="6" t="str">
        <f>IFERROR(__xludf.DUMMYFUNCTION("""COMPUTED_VALUE"""),"DIESEL")</f>
        <v>DIESEL</v>
      </c>
      <c r="I80" s="6">
        <f>IFERROR(__xludf.DUMMYFUNCTION("""COMPUTED_VALUE"""),4.0)</f>
        <v>4</v>
      </c>
      <c r="J80" s="8">
        <f>IFERROR(__xludf.DUMMYFUNCTION("""COMPUTED_VALUE"""),0.125)</f>
        <v>0.125</v>
      </c>
      <c r="K80" s="8">
        <f>IFERROR(__xludf.DUMMYFUNCTION("""COMPUTED_VALUE"""),0.13333333333333333)</f>
        <v>0.1333333333</v>
      </c>
      <c r="L80" s="8">
        <f>IFERROR(__xludf.DUMMYFUNCTION("""COMPUTED_VALUE"""),0.2916666666666667)</f>
        <v>0.2916666667</v>
      </c>
      <c r="M80" s="8">
        <f>IFERROR(__xludf.DUMMYFUNCTION("""COMPUTED_VALUE"""),0.2986111111111111)</f>
        <v>0.2986111111</v>
      </c>
      <c r="N80" s="10">
        <f>IFERROR(__xludf.DUMMYFUNCTION("""COMPUTED_VALUE"""),47.0)</f>
        <v>47</v>
      </c>
      <c r="O80" s="27" t="str">
        <f t="shared" si="1"/>
        <v>indoreace4</v>
      </c>
      <c r="P80" s="27">
        <f>vlookup(O80,'Terms and condition'!$F:$H,3,0)/day(eomonth(B80,0))</f>
        <v>806.4516129</v>
      </c>
      <c r="Q80" s="27">
        <f t="shared" si="8"/>
        <v>30</v>
      </c>
      <c r="R80" s="27">
        <f t="shared" si="2"/>
        <v>1436</v>
      </c>
      <c r="S80" s="27">
        <f t="shared" si="3"/>
        <v>116.2666667</v>
      </c>
      <c r="T80" s="27">
        <f t="shared" si="4"/>
        <v>0</v>
      </c>
      <c r="U80" s="28">
        <v>0.0</v>
      </c>
      <c r="V80" s="27">
        <f t="shared" si="5"/>
        <v>0</v>
      </c>
      <c r="W80" s="29">
        <f t="shared" si="6"/>
        <v>0</v>
      </c>
      <c r="X80" s="30">
        <f t="shared" si="7"/>
        <v>922.7182796</v>
      </c>
    </row>
    <row r="81">
      <c r="A81" s="3">
        <f>IFERROR(__xludf.DUMMYFUNCTION("""COMPUTED_VALUE"""),74.0)</f>
        <v>74</v>
      </c>
      <c r="B81" s="4">
        <f>IFERROR(__xludf.DUMMYFUNCTION("""COMPUTED_VALUE"""),45579.0)</f>
        <v>45579</v>
      </c>
      <c r="C81" s="3" t="str">
        <f>IFERROR(__xludf.DUMMYFUNCTION("""COMPUTED_VALUE"""),"INDORE")</f>
        <v>INDORE</v>
      </c>
      <c r="D81" s="5" t="str">
        <f>IFERROR(__xludf.DUMMYFUNCTION("""COMPUTED_VALUE"""),"SLK8")</f>
        <v>SLK8</v>
      </c>
      <c r="E81" s="6" t="str">
        <f>IFERROR(__xludf.DUMMYFUNCTION("""COMPUTED_VALUE"""),"ALPHABETZ SERVICES")</f>
        <v>ALPHABETZ SERVICES</v>
      </c>
      <c r="F81" s="6" t="str">
        <f>IFERROR(__xludf.DUMMYFUNCTION("""COMPUTED_VALUE"""),"MP54L0316")</f>
        <v>MP54L0316</v>
      </c>
      <c r="G81" s="6" t="str">
        <f>IFERROR(__xludf.DUMMYFUNCTION("""COMPUTED_VALUE"""),"ACE")</f>
        <v>ACE</v>
      </c>
      <c r="H81" s="6" t="str">
        <f>IFERROR(__xludf.DUMMYFUNCTION("""COMPUTED_VALUE"""),"DIESEL")</f>
        <v>DIESEL</v>
      </c>
      <c r="I81" s="6">
        <f>IFERROR(__xludf.DUMMYFUNCTION("""COMPUTED_VALUE"""),4.0)</f>
        <v>4</v>
      </c>
      <c r="J81" s="8">
        <f>IFERROR(__xludf.DUMMYFUNCTION("""COMPUTED_VALUE"""),0.125)</f>
        <v>0.125</v>
      </c>
      <c r="K81" s="8">
        <f>IFERROR(__xludf.DUMMYFUNCTION("""COMPUTED_VALUE"""),0.13680555555555557)</f>
        <v>0.1368055556</v>
      </c>
      <c r="L81" s="8">
        <f>IFERROR(__xludf.DUMMYFUNCTION("""COMPUTED_VALUE"""),0.2986111111111111)</f>
        <v>0.2986111111</v>
      </c>
      <c r="M81" s="8">
        <f>IFERROR(__xludf.DUMMYFUNCTION("""COMPUTED_VALUE"""),0.30277777777777776)</f>
        <v>0.3027777778</v>
      </c>
      <c r="N81" s="10">
        <f>IFERROR(__xludf.DUMMYFUNCTION("""COMPUTED_VALUE"""),44.0)</f>
        <v>44</v>
      </c>
      <c r="O81" s="27" t="str">
        <f t="shared" si="1"/>
        <v>indoreace4</v>
      </c>
      <c r="P81" s="27">
        <f>vlookup(O81,'Terms and condition'!$F:$H,3,0)/day(eomonth(B81,0))</f>
        <v>806.4516129</v>
      </c>
      <c r="Q81" s="27">
        <f t="shared" si="8"/>
        <v>31</v>
      </c>
      <c r="R81" s="27">
        <f t="shared" si="2"/>
        <v>1390</v>
      </c>
      <c r="S81" s="27">
        <f t="shared" si="3"/>
        <v>100.6451613</v>
      </c>
      <c r="T81" s="27">
        <f t="shared" si="4"/>
        <v>32.25806452</v>
      </c>
      <c r="U81" s="28">
        <v>0.0</v>
      </c>
      <c r="V81" s="27">
        <f t="shared" si="5"/>
        <v>0</v>
      </c>
      <c r="W81" s="29">
        <f t="shared" si="6"/>
        <v>0</v>
      </c>
      <c r="X81" s="30">
        <f t="shared" si="7"/>
        <v>939.3548387</v>
      </c>
    </row>
    <row r="82">
      <c r="A82" s="3">
        <f>IFERROR(__xludf.DUMMYFUNCTION("""COMPUTED_VALUE"""),75.0)</f>
        <v>75</v>
      </c>
      <c r="B82" s="4">
        <f>IFERROR(__xludf.DUMMYFUNCTION("""COMPUTED_VALUE"""),45579.0)</f>
        <v>45579</v>
      </c>
      <c r="C82" s="3" t="str">
        <f>IFERROR(__xludf.DUMMYFUNCTION("""COMPUTED_VALUE"""),"INDORE")</f>
        <v>INDORE</v>
      </c>
      <c r="D82" s="5" t="str">
        <f>IFERROR(__xludf.DUMMYFUNCTION("""COMPUTED_VALUE"""),"SLK8")</f>
        <v>SLK8</v>
      </c>
      <c r="E82" s="6" t="str">
        <f>IFERROR(__xludf.DUMMYFUNCTION("""COMPUTED_VALUE"""),"ALPHABETZ SERVICES")</f>
        <v>ALPHABETZ SERVICES</v>
      </c>
      <c r="F82" s="6" t="str">
        <f>IFERROR(__xludf.DUMMYFUNCTION("""COMPUTED_VALUE"""),"MP09LP8407")</f>
        <v>MP09LP8407</v>
      </c>
      <c r="G82" s="6" t="str">
        <f>IFERROR(__xludf.DUMMYFUNCTION("""COMPUTED_VALUE"""),"ACE")</f>
        <v>ACE</v>
      </c>
      <c r="H82" s="6" t="str">
        <f>IFERROR(__xludf.DUMMYFUNCTION("""COMPUTED_VALUE"""),"DIESEL")</f>
        <v>DIESEL</v>
      </c>
      <c r="I82" s="6">
        <f>IFERROR(__xludf.DUMMYFUNCTION("""COMPUTED_VALUE"""),4.0)</f>
        <v>4</v>
      </c>
      <c r="J82" s="8">
        <f>IFERROR(__xludf.DUMMYFUNCTION("""COMPUTED_VALUE"""),0.12638888888888888)</f>
        <v>0.1263888889</v>
      </c>
      <c r="K82" s="8">
        <f>IFERROR(__xludf.DUMMYFUNCTION("""COMPUTED_VALUE"""),0.1361111111111111)</f>
        <v>0.1361111111</v>
      </c>
      <c r="L82" s="8">
        <f>IFERROR(__xludf.DUMMYFUNCTION("""COMPUTED_VALUE"""),0.3)</f>
        <v>0.3</v>
      </c>
      <c r="M82" s="8">
        <f>IFERROR(__xludf.DUMMYFUNCTION("""COMPUTED_VALUE"""),0.3034722222222222)</f>
        <v>0.3034722222</v>
      </c>
      <c r="N82" s="10">
        <f>IFERROR(__xludf.DUMMYFUNCTION("""COMPUTED_VALUE"""),35.0)</f>
        <v>35</v>
      </c>
      <c r="O82" s="27" t="str">
        <f t="shared" si="1"/>
        <v>indoreace4</v>
      </c>
      <c r="P82" s="27">
        <f>vlookup(O82,'Terms and condition'!$F:$H,3,0)/day(eomonth(B82,0))</f>
        <v>806.4516129</v>
      </c>
      <c r="Q82" s="27">
        <f t="shared" si="8"/>
        <v>31</v>
      </c>
      <c r="R82" s="27">
        <f t="shared" si="2"/>
        <v>1063</v>
      </c>
      <c r="S82" s="27">
        <f t="shared" si="3"/>
        <v>16.25806452</v>
      </c>
      <c r="T82" s="27">
        <f t="shared" si="4"/>
        <v>32.25806452</v>
      </c>
      <c r="U82" s="28">
        <v>0.0</v>
      </c>
      <c r="V82" s="27">
        <f t="shared" si="5"/>
        <v>0</v>
      </c>
      <c r="W82" s="29">
        <f t="shared" si="6"/>
        <v>0</v>
      </c>
      <c r="X82" s="30">
        <f t="shared" si="7"/>
        <v>854.9677419</v>
      </c>
    </row>
    <row r="83">
      <c r="A83" s="3">
        <f>IFERROR(__xludf.DUMMYFUNCTION("""COMPUTED_VALUE"""),76.0)</f>
        <v>76</v>
      </c>
      <c r="B83" s="4">
        <f>IFERROR(__xludf.DUMMYFUNCTION("""COMPUTED_VALUE"""),45579.0)</f>
        <v>45579</v>
      </c>
      <c r="C83" s="3" t="str">
        <f>IFERROR(__xludf.DUMMYFUNCTION("""COMPUTED_VALUE"""),"INDORE")</f>
        <v>INDORE</v>
      </c>
      <c r="D83" s="5" t="str">
        <f>IFERROR(__xludf.DUMMYFUNCTION("""COMPUTED_VALUE"""),"SLK8")</f>
        <v>SLK8</v>
      </c>
      <c r="E83" s="6" t="str">
        <f>IFERROR(__xludf.DUMMYFUNCTION("""COMPUTED_VALUE"""),"ALPHABETZ SERVICES")</f>
        <v>ALPHABETZ SERVICES</v>
      </c>
      <c r="F83" s="6" t="str">
        <f>IFERROR(__xludf.DUMMYFUNCTION("""COMPUTED_VALUE"""),"MP09ZZ6272")</f>
        <v>MP09ZZ6272</v>
      </c>
      <c r="G83" s="6" t="str">
        <f>IFERROR(__xludf.DUMMYFUNCTION("""COMPUTED_VALUE"""),"ACE")</f>
        <v>ACE</v>
      </c>
      <c r="H83" s="6" t="str">
        <f>IFERROR(__xludf.DUMMYFUNCTION("""COMPUTED_VALUE"""),"DIESEL")</f>
        <v>DIESEL</v>
      </c>
      <c r="I83" s="6">
        <f>IFERROR(__xludf.DUMMYFUNCTION("""COMPUTED_VALUE"""),4.0)</f>
        <v>4</v>
      </c>
      <c r="J83" s="8">
        <f>IFERROR(__xludf.DUMMYFUNCTION("""COMPUTED_VALUE"""),0.1284722222222222)</f>
        <v>0.1284722222</v>
      </c>
      <c r="K83" s="8">
        <f>IFERROR(__xludf.DUMMYFUNCTION("""COMPUTED_VALUE"""),0.1375)</f>
        <v>0.1375</v>
      </c>
      <c r="L83" s="8">
        <f>IFERROR(__xludf.DUMMYFUNCTION("""COMPUTED_VALUE"""),0.3229166666666667)</f>
        <v>0.3229166667</v>
      </c>
      <c r="M83" s="8">
        <f>IFERROR(__xludf.DUMMYFUNCTION("""COMPUTED_VALUE"""),0.3298611111111111)</f>
        <v>0.3298611111</v>
      </c>
      <c r="N83" s="10">
        <f>IFERROR(__xludf.DUMMYFUNCTION("""COMPUTED_VALUE"""),46.0)</f>
        <v>46</v>
      </c>
      <c r="O83" s="27" t="str">
        <f t="shared" si="1"/>
        <v>indoreace4</v>
      </c>
      <c r="P83" s="27">
        <f>vlookup(O83,'Terms and condition'!$F:$H,3,0)/day(eomonth(B83,0))</f>
        <v>806.4516129</v>
      </c>
      <c r="Q83" s="27">
        <f t="shared" si="8"/>
        <v>21</v>
      </c>
      <c r="R83" s="27">
        <f t="shared" si="2"/>
        <v>953</v>
      </c>
      <c r="S83" s="27">
        <f t="shared" si="3"/>
        <v>0</v>
      </c>
      <c r="T83" s="27">
        <f t="shared" si="4"/>
        <v>0</v>
      </c>
      <c r="U83" s="28">
        <v>0.0</v>
      </c>
      <c r="V83" s="27">
        <f t="shared" si="5"/>
        <v>0</v>
      </c>
      <c r="W83" s="29">
        <f t="shared" si="6"/>
        <v>0</v>
      </c>
      <c r="X83" s="30">
        <f t="shared" si="7"/>
        <v>806.4516129</v>
      </c>
    </row>
    <row r="84">
      <c r="A84" s="3">
        <f>IFERROR(__xludf.DUMMYFUNCTION("""COMPUTED_VALUE"""),77.0)</f>
        <v>77</v>
      </c>
      <c r="B84" s="4">
        <f>IFERROR(__xludf.DUMMYFUNCTION("""COMPUTED_VALUE"""),45579.0)</f>
        <v>45579</v>
      </c>
      <c r="C84" s="3" t="str">
        <f>IFERROR(__xludf.DUMMYFUNCTION("""COMPUTED_VALUE"""),"INDORE")</f>
        <v>INDORE</v>
      </c>
      <c r="D84" s="5" t="str">
        <f>IFERROR(__xludf.DUMMYFUNCTION("""COMPUTED_VALUE"""),"SLK8")</f>
        <v>SLK8</v>
      </c>
      <c r="E84" s="6" t="str">
        <f>IFERROR(__xludf.DUMMYFUNCTION("""COMPUTED_VALUE"""),"ALPHABETZ SERVICES")</f>
        <v>ALPHABETZ SERVICES</v>
      </c>
      <c r="F84" s="6" t="str">
        <f>IFERROR(__xludf.DUMMYFUNCTION("""COMPUTED_VALUE"""),"MP09ZY2923")</f>
        <v>MP09ZY2923</v>
      </c>
      <c r="G84" s="6" t="str">
        <f>IFERROR(__xludf.DUMMYFUNCTION("""COMPUTED_VALUE"""),"ACE")</f>
        <v>ACE</v>
      </c>
      <c r="H84" s="6" t="str">
        <f>IFERROR(__xludf.DUMMYFUNCTION("""COMPUTED_VALUE"""),"DIESEL")</f>
        <v>DIESEL</v>
      </c>
      <c r="I84" s="6">
        <f>IFERROR(__xludf.DUMMYFUNCTION("""COMPUTED_VALUE"""),4.0)</f>
        <v>4</v>
      </c>
      <c r="J84" s="8">
        <f>IFERROR(__xludf.DUMMYFUNCTION("""COMPUTED_VALUE"""),0.12916666666666668)</f>
        <v>0.1291666667</v>
      </c>
      <c r="K84" s="8">
        <f>IFERROR(__xludf.DUMMYFUNCTION("""COMPUTED_VALUE"""),0.1388888888888889)</f>
        <v>0.1388888889</v>
      </c>
      <c r="L84" s="8">
        <f>IFERROR(__xludf.DUMMYFUNCTION("""COMPUTED_VALUE"""),0.3194444444444444)</f>
        <v>0.3194444444</v>
      </c>
      <c r="M84" s="8">
        <f>IFERROR(__xludf.DUMMYFUNCTION("""COMPUTED_VALUE"""),0.3263888888888889)</f>
        <v>0.3263888889</v>
      </c>
      <c r="N84" s="10">
        <f>IFERROR(__xludf.DUMMYFUNCTION("""COMPUTED_VALUE"""),31.0)</f>
        <v>31</v>
      </c>
      <c r="O84" s="27" t="str">
        <f t="shared" si="1"/>
        <v>indoreace4</v>
      </c>
      <c r="P84" s="27">
        <f>vlookup(O84,'Terms and condition'!$F:$H,3,0)/day(eomonth(B84,0))</f>
        <v>806.4516129</v>
      </c>
      <c r="Q84" s="27">
        <f t="shared" si="8"/>
        <v>31</v>
      </c>
      <c r="R84" s="27">
        <f t="shared" si="2"/>
        <v>988</v>
      </c>
      <c r="S84" s="27">
        <f t="shared" si="3"/>
        <v>0</v>
      </c>
      <c r="T84" s="27">
        <f t="shared" si="4"/>
        <v>32.25806452</v>
      </c>
      <c r="U84" s="28">
        <v>0.0</v>
      </c>
      <c r="V84" s="27">
        <f t="shared" si="5"/>
        <v>0</v>
      </c>
      <c r="W84" s="29">
        <f t="shared" si="6"/>
        <v>0</v>
      </c>
      <c r="X84" s="30">
        <f t="shared" si="7"/>
        <v>838.7096774</v>
      </c>
    </row>
    <row r="85">
      <c r="A85" s="3">
        <f>IFERROR(__xludf.DUMMYFUNCTION("""COMPUTED_VALUE"""),78.0)</f>
        <v>78</v>
      </c>
      <c r="B85" s="4">
        <f>IFERROR(__xludf.DUMMYFUNCTION("""COMPUTED_VALUE"""),45579.0)</f>
        <v>45579</v>
      </c>
      <c r="C85" s="3" t="str">
        <f>IFERROR(__xludf.DUMMYFUNCTION("""COMPUTED_VALUE"""),"INDORE")</f>
        <v>INDORE</v>
      </c>
      <c r="D85" s="5" t="str">
        <f>IFERROR(__xludf.DUMMYFUNCTION("""COMPUTED_VALUE"""),"SLK8")</f>
        <v>SLK8</v>
      </c>
      <c r="E85" s="6" t="str">
        <f>IFERROR(__xludf.DUMMYFUNCTION("""COMPUTED_VALUE"""),"ALPHABETZ SERVICES")</f>
        <v>ALPHABETZ SERVICES</v>
      </c>
      <c r="F85" s="6" t="str">
        <f>IFERROR(__xludf.DUMMYFUNCTION("""COMPUTED_VALUE"""),"MP09ZV0375")</f>
        <v>MP09ZV0375</v>
      </c>
      <c r="G85" s="6" t="str">
        <f>IFERROR(__xludf.DUMMYFUNCTION("""COMPUTED_VALUE"""),"ACE")</f>
        <v>ACE</v>
      </c>
      <c r="H85" s="6" t="str">
        <f>IFERROR(__xludf.DUMMYFUNCTION("""COMPUTED_VALUE"""),"DIESEL")</f>
        <v>DIESEL</v>
      </c>
      <c r="I85" s="6">
        <f>IFERROR(__xludf.DUMMYFUNCTION("""COMPUTED_VALUE"""),4.0)</f>
        <v>4</v>
      </c>
      <c r="J85" s="8">
        <f>IFERROR(__xludf.DUMMYFUNCTION("""COMPUTED_VALUE"""),0.13055555555555556)</f>
        <v>0.1305555556</v>
      </c>
      <c r="K85" s="8">
        <f>IFERROR(__xludf.DUMMYFUNCTION("""COMPUTED_VALUE"""),0.14444444444444443)</f>
        <v>0.1444444444</v>
      </c>
      <c r="L85" s="8">
        <f>IFERROR(__xludf.DUMMYFUNCTION("""COMPUTED_VALUE"""),0.3125)</f>
        <v>0.3125</v>
      </c>
      <c r="M85" s="8">
        <f>IFERROR(__xludf.DUMMYFUNCTION("""COMPUTED_VALUE"""),0.3159722222222222)</f>
        <v>0.3159722222</v>
      </c>
      <c r="N85" s="10">
        <f>IFERROR(__xludf.DUMMYFUNCTION("""COMPUTED_VALUE"""),30.0)</f>
        <v>30</v>
      </c>
      <c r="O85" s="27" t="str">
        <f t="shared" si="1"/>
        <v>indoreace4</v>
      </c>
      <c r="P85" s="27">
        <f>vlookup(O85,'Terms and condition'!$F:$H,3,0)/day(eomonth(B85,0))</f>
        <v>806.4516129</v>
      </c>
      <c r="Q85" s="27">
        <f t="shared" si="8"/>
        <v>26</v>
      </c>
      <c r="R85" s="27">
        <f t="shared" si="2"/>
        <v>802</v>
      </c>
      <c r="S85" s="27">
        <f t="shared" si="3"/>
        <v>0</v>
      </c>
      <c r="T85" s="27">
        <f t="shared" si="4"/>
        <v>0</v>
      </c>
      <c r="U85" s="28">
        <v>0.0</v>
      </c>
      <c r="V85" s="27">
        <f t="shared" si="5"/>
        <v>0</v>
      </c>
      <c r="W85" s="29">
        <f t="shared" si="6"/>
        <v>0</v>
      </c>
      <c r="X85" s="30">
        <f t="shared" si="7"/>
        <v>806.4516129</v>
      </c>
    </row>
    <row r="86">
      <c r="A86" s="3">
        <f>IFERROR(__xludf.DUMMYFUNCTION("""COMPUTED_VALUE"""),79.0)</f>
        <v>79</v>
      </c>
      <c r="B86" s="4">
        <f>IFERROR(__xludf.DUMMYFUNCTION("""COMPUTED_VALUE"""),45580.0)</f>
        <v>45580</v>
      </c>
      <c r="C86" s="3" t="str">
        <f>IFERROR(__xludf.DUMMYFUNCTION("""COMPUTED_VALUE"""),"INDORE")</f>
        <v>INDORE</v>
      </c>
      <c r="D86" s="5" t="str">
        <f>IFERROR(__xludf.DUMMYFUNCTION("""COMPUTED_VALUE"""),"SLK8")</f>
        <v>SLK8</v>
      </c>
      <c r="E86" s="6" t="str">
        <f>IFERROR(__xludf.DUMMYFUNCTION("""COMPUTED_VALUE"""),"ALPHABETZ SERVICES")</f>
        <v>ALPHABETZ SERVICES</v>
      </c>
      <c r="F86" s="6" t="str">
        <f>IFERROR(__xludf.DUMMYFUNCTION("""COMPUTED_VALUE"""),"MP54L0316")</f>
        <v>MP54L0316</v>
      </c>
      <c r="G86" s="6" t="str">
        <f>IFERROR(__xludf.DUMMYFUNCTION("""COMPUTED_VALUE"""),"ACE")</f>
        <v>ACE</v>
      </c>
      <c r="H86" s="6" t="str">
        <f>IFERROR(__xludf.DUMMYFUNCTION("""COMPUTED_VALUE"""),"DIESEL")</f>
        <v>DIESEL</v>
      </c>
      <c r="I86" s="6">
        <f>IFERROR(__xludf.DUMMYFUNCTION("""COMPUTED_VALUE"""),4.0)</f>
        <v>4</v>
      </c>
      <c r="J86" s="8">
        <f>IFERROR(__xludf.DUMMYFUNCTION("""COMPUTED_VALUE"""),0.12569444444444444)</f>
        <v>0.1256944444</v>
      </c>
      <c r="K86" s="8">
        <f>IFERROR(__xludf.DUMMYFUNCTION("""COMPUTED_VALUE"""),0.13541666666666666)</f>
        <v>0.1354166667</v>
      </c>
      <c r="L86" s="8">
        <f>IFERROR(__xludf.DUMMYFUNCTION("""COMPUTED_VALUE"""),0.3055555555555556)</f>
        <v>0.3055555556</v>
      </c>
      <c r="M86" s="8">
        <f>IFERROR(__xludf.DUMMYFUNCTION("""COMPUTED_VALUE"""),0.3090277777777778)</f>
        <v>0.3090277778</v>
      </c>
      <c r="N86" s="10">
        <f>IFERROR(__xludf.DUMMYFUNCTION("""COMPUTED_VALUE"""),49.0)</f>
        <v>49</v>
      </c>
      <c r="O86" s="27" t="str">
        <f t="shared" si="1"/>
        <v>indoreace4</v>
      </c>
      <c r="P86" s="27">
        <f>vlookup(O86,'Terms and condition'!$F:$H,3,0)/day(eomonth(B86,0))</f>
        <v>806.4516129</v>
      </c>
      <c r="Q86" s="27">
        <f t="shared" si="8"/>
        <v>31</v>
      </c>
      <c r="R86" s="27">
        <f t="shared" si="2"/>
        <v>1390</v>
      </c>
      <c r="S86" s="27">
        <f t="shared" si="3"/>
        <v>100.6451613</v>
      </c>
      <c r="T86" s="27">
        <f t="shared" si="4"/>
        <v>32.25806452</v>
      </c>
      <c r="U86" s="28">
        <v>0.0</v>
      </c>
      <c r="V86" s="27">
        <f t="shared" si="5"/>
        <v>0</v>
      </c>
      <c r="W86" s="29">
        <f t="shared" si="6"/>
        <v>0</v>
      </c>
      <c r="X86" s="30">
        <f t="shared" si="7"/>
        <v>939.3548387</v>
      </c>
    </row>
    <row r="87">
      <c r="A87" s="3">
        <f>IFERROR(__xludf.DUMMYFUNCTION("""COMPUTED_VALUE"""),80.0)</f>
        <v>80</v>
      </c>
      <c r="B87" s="4">
        <f>IFERROR(__xludf.DUMMYFUNCTION("""COMPUTED_VALUE"""),45580.0)</f>
        <v>45580</v>
      </c>
      <c r="C87" s="3" t="str">
        <f>IFERROR(__xludf.DUMMYFUNCTION("""COMPUTED_VALUE"""),"INDORE")</f>
        <v>INDORE</v>
      </c>
      <c r="D87" s="5" t="str">
        <f>IFERROR(__xludf.DUMMYFUNCTION("""COMPUTED_VALUE"""),"SLK8")</f>
        <v>SLK8</v>
      </c>
      <c r="E87" s="6" t="str">
        <f>IFERROR(__xludf.DUMMYFUNCTION("""COMPUTED_VALUE"""),"ALPHABETZ SERVICES")</f>
        <v>ALPHABETZ SERVICES</v>
      </c>
      <c r="F87" s="6" t="str">
        <f>IFERROR(__xludf.DUMMYFUNCTION("""COMPUTED_VALUE"""),"MP09LR7355")</f>
        <v>MP09LR7355</v>
      </c>
      <c r="G87" s="6" t="str">
        <f>IFERROR(__xludf.DUMMYFUNCTION("""COMPUTED_VALUE"""),"ACE")</f>
        <v>ACE</v>
      </c>
      <c r="H87" s="6" t="str">
        <f>IFERROR(__xludf.DUMMYFUNCTION("""COMPUTED_VALUE"""),"DIESEL")</f>
        <v>DIESEL</v>
      </c>
      <c r="I87" s="6">
        <f>IFERROR(__xludf.DUMMYFUNCTION("""COMPUTED_VALUE"""),4.0)</f>
        <v>4</v>
      </c>
      <c r="J87" s="8">
        <f>IFERROR(__xludf.DUMMYFUNCTION("""COMPUTED_VALUE"""),0.12569444444444444)</f>
        <v>0.1256944444</v>
      </c>
      <c r="K87" s="8">
        <f>IFERROR(__xludf.DUMMYFUNCTION("""COMPUTED_VALUE"""),0.13541666666666666)</f>
        <v>0.1354166667</v>
      </c>
      <c r="L87" s="8">
        <f>IFERROR(__xludf.DUMMYFUNCTION("""COMPUTED_VALUE"""),0.3125)</f>
        <v>0.3125</v>
      </c>
      <c r="M87" s="8">
        <f>IFERROR(__xludf.DUMMYFUNCTION("""COMPUTED_VALUE"""),0.3159722222222222)</f>
        <v>0.3159722222</v>
      </c>
      <c r="N87" s="10">
        <f>IFERROR(__xludf.DUMMYFUNCTION("""COMPUTED_VALUE"""),44.0)</f>
        <v>44</v>
      </c>
      <c r="O87" s="27" t="str">
        <f t="shared" si="1"/>
        <v>indoreace4</v>
      </c>
      <c r="P87" s="27">
        <f>vlookup(O87,'Terms and condition'!$F:$H,3,0)/day(eomonth(B87,0))</f>
        <v>806.4516129</v>
      </c>
      <c r="Q87" s="27">
        <f t="shared" si="8"/>
        <v>30</v>
      </c>
      <c r="R87" s="27">
        <f t="shared" si="2"/>
        <v>1436</v>
      </c>
      <c r="S87" s="27">
        <f t="shared" si="3"/>
        <v>116.2666667</v>
      </c>
      <c r="T87" s="27">
        <f t="shared" si="4"/>
        <v>0</v>
      </c>
      <c r="U87" s="28">
        <v>0.0</v>
      </c>
      <c r="V87" s="27">
        <f t="shared" si="5"/>
        <v>0</v>
      </c>
      <c r="W87" s="29">
        <f t="shared" si="6"/>
        <v>0</v>
      </c>
      <c r="X87" s="30">
        <f t="shared" si="7"/>
        <v>922.7182796</v>
      </c>
    </row>
    <row r="88">
      <c r="A88" s="3">
        <f>IFERROR(__xludf.DUMMYFUNCTION("""COMPUTED_VALUE"""),81.0)</f>
        <v>81</v>
      </c>
      <c r="B88" s="4">
        <f>IFERROR(__xludf.DUMMYFUNCTION("""COMPUTED_VALUE"""),45580.0)</f>
        <v>45580</v>
      </c>
      <c r="C88" s="3" t="str">
        <f>IFERROR(__xludf.DUMMYFUNCTION("""COMPUTED_VALUE"""),"INDORE")</f>
        <v>INDORE</v>
      </c>
      <c r="D88" s="5" t="str">
        <f>IFERROR(__xludf.DUMMYFUNCTION("""COMPUTED_VALUE"""),"SLK8")</f>
        <v>SLK8</v>
      </c>
      <c r="E88" s="6" t="str">
        <f>IFERROR(__xludf.DUMMYFUNCTION("""COMPUTED_VALUE"""),"ALPHABETZ SERVICES")</f>
        <v>ALPHABETZ SERVICES</v>
      </c>
      <c r="F88" s="6" t="str">
        <f>IFERROR(__xludf.DUMMYFUNCTION("""COMPUTED_VALUE"""),"MP09ZY2923")</f>
        <v>MP09ZY2923</v>
      </c>
      <c r="G88" s="6" t="str">
        <f>IFERROR(__xludf.DUMMYFUNCTION("""COMPUTED_VALUE"""),"ACE")</f>
        <v>ACE</v>
      </c>
      <c r="H88" s="6" t="str">
        <f>IFERROR(__xludf.DUMMYFUNCTION("""COMPUTED_VALUE"""),"DIESEL")</f>
        <v>DIESEL</v>
      </c>
      <c r="I88" s="6">
        <f>IFERROR(__xludf.DUMMYFUNCTION("""COMPUTED_VALUE"""),4.0)</f>
        <v>4</v>
      </c>
      <c r="J88" s="8">
        <f>IFERROR(__xludf.DUMMYFUNCTION("""COMPUTED_VALUE"""),0.12638888888888888)</f>
        <v>0.1263888889</v>
      </c>
      <c r="K88" s="8">
        <f>IFERROR(__xludf.DUMMYFUNCTION("""COMPUTED_VALUE"""),0.1361111111111111)</f>
        <v>0.1361111111</v>
      </c>
      <c r="L88" s="8">
        <f>IFERROR(__xludf.DUMMYFUNCTION("""COMPUTED_VALUE"""),0.3194444444444444)</f>
        <v>0.3194444444</v>
      </c>
      <c r="M88" s="8">
        <f>IFERROR(__xludf.DUMMYFUNCTION("""COMPUTED_VALUE"""),0.3229166666666667)</f>
        <v>0.3229166667</v>
      </c>
      <c r="N88" s="10">
        <f>IFERROR(__xludf.DUMMYFUNCTION("""COMPUTED_VALUE"""),31.0)</f>
        <v>31</v>
      </c>
      <c r="O88" s="27" t="str">
        <f t="shared" si="1"/>
        <v>indoreace4</v>
      </c>
      <c r="P88" s="27">
        <f>vlookup(O88,'Terms and condition'!$F:$H,3,0)/day(eomonth(B88,0))</f>
        <v>806.4516129</v>
      </c>
      <c r="Q88" s="27">
        <f t="shared" si="8"/>
        <v>31</v>
      </c>
      <c r="R88" s="27">
        <f t="shared" si="2"/>
        <v>988</v>
      </c>
      <c r="S88" s="27">
        <f t="shared" si="3"/>
        <v>0</v>
      </c>
      <c r="T88" s="27">
        <f t="shared" si="4"/>
        <v>32.25806452</v>
      </c>
      <c r="U88" s="28">
        <v>0.0</v>
      </c>
      <c r="V88" s="27">
        <f t="shared" si="5"/>
        <v>0</v>
      </c>
      <c r="W88" s="29">
        <f t="shared" si="6"/>
        <v>0</v>
      </c>
      <c r="X88" s="30">
        <f t="shared" si="7"/>
        <v>838.7096774</v>
      </c>
    </row>
    <row r="89">
      <c r="A89" s="3">
        <f>IFERROR(__xludf.DUMMYFUNCTION("""COMPUTED_VALUE"""),82.0)</f>
        <v>82</v>
      </c>
      <c r="B89" s="4">
        <f>IFERROR(__xludf.DUMMYFUNCTION("""COMPUTED_VALUE"""),45580.0)</f>
        <v>45580</v>
      </c>
      <c r="C89" s="3" t="str">
        <f>IFERROR(__xludf.DUMMYFUNCTION("""COMPUTED_VALUE"""),"INDORE")</f>
        <v>INDORE</v>
      </c>
      <c r="D89" s="5" t="str">
        <f>IFERROR(__xludf.DUMMYFUNCTION("""COMPUTED_VALUE"""),"SLK8")</f>
        <v>SLK8</v>
      </c>
      <c r="E89" s="6" t="str">
        <f>IFERROR(__xludf.DUMMYFUNCTION("""COMPUTED_VALUE"""),"ALPHABETZ SERVICES")</f>
        <v>ALPHABETZ SERVICES</v>
      </c>
      <c r="F89" s="6" t="str">
        <f>IFERROR(__xludf.DUMMYFUNCTION("""COMPUTED_VALUE"""),"MP09ZZ6272")</f>
        <v>MP09ZZ6272</v>
      </c>
      <c r="G89" s="6" t="str">
        <f>IFERROR(__xludf.DUMMYFUNCTION("""COMPUTED_VALUE"""),"ACE")</f>
        <v>ACE</v>
      </c>
      <c r="H89" s="6" t="str">
        <f>IFERROR(__xludf.DUMMYFUNCTION("""COMPUTED_VALUE"""),"DIESEL")</f>
        <v>DIESEL</v>
      </c>
      <c r="I89" s="6">
        <f>IFERROR(__xludf.DUMMYFUNCTION("""COMPUTED_VALUE"""),4.0)</f>
        <v>4</v>
      </c>
      <c r="J89" s="8">
        <f>IFERROR(__xludf.DUMMYFUNCTION("""COMPUTED_VALUE"""),0.12777777777777777)</f>
        <v>0.1277777778</v>
      </c>
      <c r="K89" s="8">
        <f>IFERROR(__xludf.DUMMYFUNCTION("""COMPUTED_VALUE"""),0.1388888888888889)</f>
        <v>0.1388888889</v>
      </c>
      <c r="L89" s="8">
        <f>IFERROR(__xludf.DUMMYFUNCTION("""COMPUTED_VALUE"""),0.30972222222222223)</f>
        <v>0.3097222222</v>
      </c>
      <c r="M89" s="8">
        <f>IFERROR(__xludf.DUMMYFUNCTION("""COMPUTED_VALUE"""),0.3138888888888889)</f>
        <v>0.3138888889</v>
      </c>
      <c r="N89" s="10">
        <f>IFERROR(__xludf.DUMMYFUNCTION("""COMPUTED_VALUE"""),46.0)</f>
        <v>46</v>
      </c>
      <c r="O89" s="27" t="str">
        <f t="shared" si="1"/>
        <v>indoreace4</v>
      </c>
      <c r="P89" s="27">
        <f>vlookup(O89,'Terms and condition'!$F:$H,3,0)/day(eomonth(B89,0))</f>
        <v>806.4516129</v>
      </c>
      <c r="Q89" s="27">
        <f t="shared" si="8"/>
        <v>21</v>
      </c>
      <c r="R89" s="27">
        <f t="shared" si="2"/>
        <v>953</v>
      </c>
      <c r="S89" s="27">
        <f t="shared" si="3"/>
        <v>0</v>
      </c>
      <c r="T89" s="27">
        <f t="shared" si="4"/>
        <v>0</v>
      </c>
      <c r="U89" s="28">
        <v>0.0</v>
      </c>
      <c r="V89" s="27">
        <f t="shared" si="5"/>
        <v>0</v>
      </c>
      <c r="W89" s="29">
        <f t="shared" si="6"/>
        <v>0</v>
      </c>
      <c r="X89" s="30">
        <f t="shared" si="7"/>
        <v>806.4516129</v>
      </c>
    </row>
    <row r="90">
      <c r="A90" s="3">
        <f>IFERROR(__xludf.DUMMYFUNCTION("""COMPUTED_VALUE"""),83.0)</f>
        <v>83</v>
      </c>
      <c r="B90" s="4">
        <f>IFERROR(__xludf.DUMMYFUNCTION("""COMPUTED_VALUE"""),45580.0)</f>
        <v>45580</v>
      </c>
      <c r="C90" s="3" t="str">
        <f>IFERROR(__xludf.DUMMYFUNCTION("""COMPUTED_VALUE"""),"INDORE")</f>
        <v>INDORE</v>
      </c>
      <c r="D90" s="5" t="str">
        <f>IFERROR(__xludf.DUMMYFUNCTION("""COMPUTED_VALUE"""),"SLK8")</f>
        <v>SLK8</v>
      </c>
      <c r="E90" s="6" t="str">
        <f>IFERROR(__xludf.DUMMYFUNCTION("""COMPUTED_VALUE"""),"ALPHABETZ SERVICES")</f>
        <v>ALPHABETZ SERVICES</v>
      </c>
      <c r="F90" s="6" t="str">
        <f>IFERROR(__xludf.DUMMYFUNCTION("""COMPUTED_VALUE"""),"MP09LP8407")</f>
        <v>MP09LP8407</v>
      </c>
      <c r="G90" s="6" t="str">
        <f>IFERROR(__xludf.DUMMYFUNCTION("""COMPUTED_VALUE"""),"ACE")</f>
        <v>ACE</v>
      </c>
      <c r="H90" s="6" t="str">
        <f>IFERROR(__xludf.DUMMYFUNCTION("""COMPUTED_VALUE"""),"DIESEL")</f>
        <v>DIESEL</v>
      </c>
      <c r="I90" s="6">
        <f>IFERROR(__xludf.DUMMYFUNCTION("""COMPUTED_VALUE"""),4.0)</f>
        <v>4</v>
      </c>
      <c r="J90" s="8">
        <f>IFERROR(__xludf.DUMMYFUNCTION("""COMPUTED_VALUE"""),0.12777777777777777)</f>
        <v>0.1277777778</v>
      </c>
      <c r="K90" s="8">
        <f>IFERROR(__xludf.DUMMYFUNCTION("""COMPUTED_VALUE"""),0.1375)</f>
        <v>0.1375</v>
      </c>
      <c r="L90" s="8">
        <f>IFERROR(__xludf.DUMMYFUNCTION("""COMPUTED_VALUE"""),0.3055555555555556)</f>
        <v>0.3055555556</v>
      </c>
      <c r="M90" s="8">
        <f>IFERROR(__xludf.DUMMYFUNCTION("""COMPUTED_VALUE"""),0.30972222222222223)</f>
        <v>0.3097222222</v>
      </c>
      <c r="N90" s="10">
        <f>IFERROR(__xludf.DUMMYFUNCTION("""COMPUTED_VALUE"""),30.0)</f>
        <v>30</v>
      </c>
      <c r="O90" s="27" t="str">
        <f t="shared" si="1"/>
        <v>indoreace4</v>
      </c>
      <c r="P90" s="27">
        <f>vlookup(O90,'Terms and condition'!$F:$H,3,0)/day(eomonth(B90,0))</f>
        <v>806.4516129</v>
      </c>
      <c r="Q90" s="27">
        <f t="shared" si="8"/>
        <v>31</v>
      </c>
      <c r="R90" s="27">
        <f t="shared" si="2"/>
        <v>1063</v>
      </c>
      <c r="S90" s="27">
        <f t="shared" si="3"/>
        <v>16.25806452</v>
      </c>
      <c r="T90" s="27">
        <f t="shared" si="4"/>
        <v>32.25806452</v>
      </c>
      <c r="U90" s="28">
        <v>0.0</v>
      </c>
      <c r="V90" s="27">
        <f t="shared" si="5"/>
        <v>0</v>
      </c>
      <c r="W90" s="29">
        <f t="shared" si="6"/>
        <v>0</v>
      </c>
      <c r="X90" s="30">
        <f t="shared" si="7"/>
        <v>854.9677419</v>
      </c>
    </row>
    <row r="91">
      <c r="A91" s="3">
        <f>IFERROR(__xludf.DUMMYFUNCTION("""COMPUTED_VALUE"""),84.0)</f>
        <v>84</v>
      </c>
      <c r="B91" s="4">
        <f>IFERROR(__xludf.DUMMYFUNCTION("""COMPUTED_VALUE"""),45580.0)</f>
        <v>45580</v>
      </c>
      <c r="C91" s="3" t="str">
        <f>IFERROR(__xludf.DUMMYFUNCTION("""COMPUTED_VALUE"""),"INDORE")</f>
        <v>INDORE</v>
      </c>
      <c r="D91" s="5" t="str">
        <f>IFERROR(__xludf.DUMMYFUNCTION("""COMPUTED_VALUE"""),"SLK8")</f>
        <v>SLK8</v>
      </c>
      <c r="E91" s="6" t="str">
        <f>IFERROR(__xludf.DUMMYFUNCTION("""COMPUTED_VALUE"""),"ALPHABETZ SERVICES")</f>
        <v>ALPHABETZ SERVICES</v>
      </c>
      <c r="F91" s="6" t="str">
        <f>IFERROR(__xludf.DUMMYFUNCTION("""COMPUTED_VALUE"""),"MP09ZV0375")</f>
        <v>MP09ZV0375</v>
      </c>
      <c r="G91" s="6" t="str">
        <f>IFERROR(__xludf.DUMMYFUNCTION("""COMPUTED_VALUE"""),"ACE")</f>
        <v>ACE</v>
      </c>
      <c r="H91" s="6" t="str">
        <f>IFERROR(__xludf.DUMMYFUNCTION("""COMPUTED_VALUE"""),"DIESEL")</f>
        <v>DIESEL</v>
      </c>
      <c r="I91" s="6">
        <f>IFERROR(__xludf.DUMMYFUNCTION("""COMPUTED_VALUE"""),4.0)</f>
        <v>4</v>
      </c>
      <c r="J91" s="8">
        <f>IFERROR(__xludf.DUMMYFUNCTION("""COMPUTED_VALUE"""),0.1284722222222222)</f>
        <v>0.1284722222</v>
      </c>
      <c r="K91" s="8">
        <f>IFERROR(__xludf.DUMMYFUNCTION("""COMPUTED_VALUE"""),0.1388888888888889)</f>
        <v>0.1388888889</v>
      </c>
      <c r="L91" s="8">
        <f>IFERROR(__xludf.DUMMYFUNCTION("""COMPUTED_VALUE"""),0.2986111111111111)</f>
        <v>0.2986111111</v>
      </c>
      <c r="M91" s="8">
        <f>IFERROR(__xludf.DUMMYFUNCTION("""COMPUTED_VALUE"""),0.3020833333333333)</f>
        <v>0.3020833333</v>
      </c>
      <c r="N91" s="10">
        <f>IFERROR(__xludf.DUMMYFUNCTION("""COMPUTED_VALUE"""),30.0)</f>
        <v>30</v>
      </c>
      <c r="O91" s="27" t="str">
        <f t="shared" si="1"/>
        <v>indoreace4</v>
      </c>
      <c r="P91" s="27">
        <f>vlookup(O91,'Terms and condition'!$F:$H,3,0)/day(eomonth(B91,0))</f>
        <v>806.4516129</v>
      </c>
      <c r="Q91" s="27">
        <f t="shared" si="8"/>
        <v>26</v>
      </c>
      <c r="R91" s="27">
        <f t="shared" si="2"/>
        <v>802</v>
      </c>
      <c r="S91" s="27">
        <f t="shared" si="3"/>
        <v>0</v>
      </c>
      <c r="T91" s="27">
        <f t="shared" si="4"/>
        <v>0</v>
      </c>
      <c r="U91" s="28">
        <v>0.0</v>
      </c>
      <c r="V91" s="27">
        <f t="shared" si="5"/>
        <v>0</v>
      </c>
      <c r="W91" s="29">
        <f t="shared" si="6"/>
        <v>0</v>
      </c>
      <c r="X91" s="30">
        <f t="shared" si="7"/>
        <v>806.4516129</v>
      </c>
    </row>
    <row r="92">
      <c r="A92" s="3">
        <f>IFERROR(__xludf.DUMMYFUNCTION("""COMPUTED_VALUE"""),85.0)</f>
        <v>85</v>
      </c>
      <c r="B92" s="4">
        <f>IFERROR(__xludf.DUMMYFUNCTION("""COMPUTED_VALUE"""),45581.0)</f>
        <v>45581</v>
      </c>
      <c r="C92" s="3" t="str">
        <f>IFERROR(__xludf.DUMMYFUNCTION("""COMPUTED_VALUE"""),"INDORE")</f>
        <v>INDORE</v>
      </c>
      <c r="D92" s="5" t="str">
        <f>IFERROR(__xludf.DUMMYFUNCTION("""COMPUTED_VALUE"""),"SLK8")</f>
        <v>SLK8</v>
      </c>
      <c r="E92" s="6" t="str">
        <f>IFERROR(__xludf.DUMMYFUNCTION("""COMPUTED_VALUE"""),"ALPHABETZ SERVICES")</f>
        <v>ALPHABETZ SERVICES</v>
      </c>
      <c r="F92" s="6" t="str">
        <f>IFERROR(__xludf.DUMMYFUNCTION("""COMPUTED_VALUE"""),"MP54L0316")</f>
        <v>MP54L0316</v>
      </c>
      <c r="G92" s="6" t="str">
        <f>IFERROR(__xludf.DUMMYFUNCTION("""COMPUTED_VALUE"""),"ACE")</f>
        <v>ACE</v>
      </c>
      <c r="H92" s="6" t="str">
        <f>IFERROR(__xludf.DUMMYFUNCTION("""COMPUTED_VALUE"""),"DIESEL")</f>
        <v>DIESEL</v>
      </c>
      <c r="I92" s="6">
        <f>IFERROR(__xludf.DUMMYFUNCTION("""COMPUTED_VALUE"""),4.0)</f>
        <v>4</v>
      </c>
      <c r="J92" s="8">
        <f>IFERROR(__xludf.DUMMYFUNCTION("""COMPUTED_VALUE"""),0.125)</f>
        <v>0.125</v>
      </c>
      <c r="K92" s="8">
        <f>IFERROR(__xludf.DUMMYFUNCTION("""COMPUTED_VALUE"""),0.13333333333333333)</f>
        <v>0.1333333333</v>
      </c>
      <c r="L92" s="8">
        <f>IFERROR(__xludf.DUMMYFUNCTION("""COMPUTED_VALUE"""),0.3)</f>
        <v>0.3</v>
      </c>
      <c r="M92" s="8">
        <f>IFERROR(__xludf.DUMMYFUNCTION("""COMPUTED_VALUE"""),0.3090277777777778)</f>
        <v>0.3090277778</v>
      </c>
      <c r="N92" s="10">
        <f>IFERROR(__xludf.DUMMYFUNCTION("""COMPUTED_VALUE"""),44.0)</f>
        <v>44</v>
      </c>
      <c r="O92" s="27" t="str">
        <f t="shared" si="1"/>
        <v>indoreace4</v>
      </c>
      <c r="P92" s="27">
        <f>vlookup(O92,'Terms and condition'!$F:$H,3,0)/day(eomonth(B92,0))</f>
        <v>806.4516129</v>
      </c>
      <c r="Q92" s="27">
        <f t="shared" si="8"/>
        <v>31</v>
      </c>
      <c r="R92" s="27">
        <f t="shared" si="2"/>
        <v>1390</v>
      </c>
      <c r="S92" s="27">
        <f t="shared" si="3"/>
        <v>100.6451613</v>
      </c>
      <c r="T92" s="27">
        <f t="shared" si="4"/>
        <v>32.25806452</v>
      </c>
      <c r="U92" s="28">
        <v>0.0</v>
      </c>
      <c r="V92" s="27">
        <f t="shared" si="5"/>
        <v>0</v>
      </c>
      <c r="W92" s="29">
        <f t="shared" si="6"/>
        <v>0</v>
      </c>
      <c r="X92" s="30">
        <f t="shared" si="7"/>
        <v>939.3548387</v>
      </c>
    </row>
    <row r="93">
      <c r="A93" s="3">
        <f>IFERROR(__xludf.DUMMYFUNCTION("""COMPUTED_VALUE"""),86.0)</f>
        <v>86</v>
      </c>
      <c r="B93" s="4">
        <f>IFERROR(__xludf.DUMMYFUNCTION("""COMPUTED_VALUE"""),45581.0)</f>
        <v>45581</v>
      </c>
      <c r="C93" s="3" t="str">
        <f>IFERROR(__xludf.DUMMYFUNCTION("""COMPUTED_VALUE"""),"INDORE")</f>
        <v>INDORE</v>
      </c>
      <c r="D93" s="5" t="str">
        <f>IFERROR(__xludf.DUMMYFUNCTION("""COMPUTED_VALUE"""),"SLK8")</f>
        <v>SLK8</v>
      </c>
      <c r="E93" s="6" t="str">
        <f>IFERROR(__xludf.DUMMYFUNCTION("""COMPUTED_VALUE"""),"ALPHABETZ SERVICES")</f>
        <v>ALPHABETZ SERVICES</v>
      </c>
      <c r="F93" s="6" t="str">
        <f>IFERROR(__xludf.DUMMYFUNCTION("""COMPUTED_VALUE"""),"MP09LR7355")</f>
        <v>MP09LR7355</v>
      </c>
      <c r="G93" s="6" t="str">
        <f>IFERROR(__xludf.DUMMYFUNCTION("""COMPUTED_VALUE"""),"ACE")</f>
        <v>ACE</v>
      </c>
      <c r="H93" s="6" t="str">
        <f>IFERROR(__xludf.DUMMYFUNCTION("""COMPUTED_VALUE"""),"DIESEL")</f>
        <v>DIESEL</v>
      </c>
      <c r="I93" s="6">
        <f>IFERROR(__xludf.DUMMYFUNCTION("""COMPUTED_VALUE"""),4.0)</f>
        <v>4</v>
      </c>
      <c r="J93" s="8">
        <f>IFERROR(__xludf.DUMMYFUNCTION("""COMPUTED_VALUE"""),0.125)</f>
        <v>0.125</v>
      </c>
      <c r="K93" s="8">
        <f>IFERROR(__xludf.DUMMYFUNCTION("""COMPUTED_VALUE"""),0.13472222222222222)</f>
        <v>0.1347222222</v>
      </c>
      <c r="L93" s="8">
        <f>IFERROR(__xludf.DUMMYFUNCTION("""COMPUTED_VALUE"""),0.2951388888888889)</f>
        <v>0.2951388889</v>
      </c>
      <c r="M93" s="8">
        <f>IFERROR(__xludf.DUMMYFUNCTION("""COMPUTED_VALUE"""),0.3020833333333333)</f>
        <v>0.3020833333</v>
      </c>
      <c r="N93" s="10">
        <f>IFERROR(__xludf.DUMMYFUNCTION("""COMPUTED_VALUE"""),46.0)</f>
        <v>46</v>
      </c>
      <c r="O93" s="27" t="str">
        <f t="shared" si="1"/>
        <v>indoreace4</v>
      </c>
      <c r="P93" s="27">
        <f>vlookup(O93,'Terms and condition'!$F:$H,3,0)/day(eomonth(B93,0))</f>
        <v>806.4516129</v>
      </c>
      <c r="Q93" s="27">
        <f t="shared" si="8"/>
        <v>30</v>
      </c>
      <c r="R93" s="27">
        <f t="shared" si="2"/>
        <v>1436</v>
      </c>
      <c r="S93" s="27">
        <f t="shared" si="3"/>
        <v>116.2666667</v>
      </c>
      <c r="T93" s="27">
        <f t="shared" si="4"/>
        <v>0</v>
      </c>
      <c r="U93" s="28">
        <v>0.0</v>
      </c>
      <c r="V93" s="27">
        <f t="shared" si="5"/>
        <v>0</v>
      </c>
      <c r="W93" s="29">
        <f t="shared" si="6"/>
        <v>0</v>
      </c>
      <c r="X93" s="30">
        <f t="shared" si="7"/>
        <v>922.7182796</v>
      </c>
    </row>
    <row r="94">
      <c r="A94" s="3">
        <f>IFERROR(__xludf.DUMMYFUNCTION("""COMPUTED_VALUE"""),87.0)</f>
        <v>87</v>
      </c>
      <c r="B94" s="4">
        <f>IFERROR(__xludf.DUMMYFUNCTION("""COMPUTED_VALUE"""),45581.0)</f>
        <v>45581</v>
      </c>
      <c r="C94" s="3" t="str">
        <f>IFERROR(__xludf.DUMMYFUNCTION("""COMPUTED_VALUE"""),"INDORE")</f>
        <v>INDORE</v>
      </c>
      <c r="D94" s="5" t="str">
        <f>IFERROR(__xludf.DUMMYFUNCTION("""COMPUTED_VALUE"""),"SLK8")</f>
        <v>SLK8</v>
      </c>
      <c r="E94" s="6" t="str">
        <f>IFERROR(__xludf.DUMMYFUNCTION("""COMPUTED_VALUE"""),"ALPHABETZ SERVICES")</f>
        <v>ALPHABETZ SERVICES</v>
      </c>
      <c r="F94" s="6" t="str">
        <f>IFERROR(__xludf.DUMMYFUNCTION("""COMPUTED_VALUE"""),"MP09ZY2923")</f>
        <v>MP09ZY2923</v>
      </c>
      <c r="G94" s="6" t="str">
        <f>IFERROR(__xludf.DUMMYFUNCTION("""COMPUTED_VALUE"""),"ACE")</f>
        <v>ACE</v>
      </c>
      <c r="H94" s="6" t="str">
        <f>IFERROR(__xludf.DUMMYFUNCTION("""COMPUTED_VALUE"""),"DIESEL")</f>
        <v>DIESEL</v>
      </c>
      <c r="I94" s="6">
        <f>IFERROR(__xludf.DUMMYFUNCTION("""COMPUTED_VALUE"""),4.0)</f>
        <v>4</v>
      </c>
      <c r="J94" s="8">
        <f>IFERROR(__xludf.DUMMYFUNCTION("""COMPUTED_VALUE"""),0.1284722222222222)</f>
        <v>0.1284722222</v>
      </c>
      <c r="K94" s="8">
        <f>IFERROR(__xludf.DUMMYFUNCTION("""COMPUTED_VALUE"""),0.1375)</f>
        <v>0.1375</v>
      </c>
      <c r="L94" s="8">
        <f>IFERROR(__xludf.DUMMYFUNCTION("""COMPUTED_VALUE"""),0.325)</f>
        <v>0.325</v>
      </c>
      <c r="M94" s="8">
        <f>IFERROR(__xludf.DUMMYFUNCTION("""COMPUTED_VALUE"""),0.3298611111111111)</f>
        <v>0.3298611111</v>
      </c>
      <c r="N94" s="10">
        <f>IFERROR(__xludf.DUMMYFUNCTION("""COMPUTED_VALUE"""),31.0)</f>
        <v>31</v>
      </c>
      <c r="O94" s="27" t="str">
        <f t="shared" si="1"/>
        <v>indoreace4</v>
      </c>
      <c r="P94" s="27">
        <f>vlookup(O94,'Terms and condition'!$F:$H,3,0)/day(eomonth(B94,0))</f>
        <v>806.4516129</v>
      </c>
      <c r="Q94" s="27">
        <f t="shared" si="8"/>
        <v>31</v>
      </c>
      <c r="R94" s="27">
        <f t="shared" si="2"/>
        <v>988</v>
      </c>
      <c r="S94" s="27">
        <f t="shared" si="3"/>
        <v>0</v>
      </c>
      <c r="T94" s="27">
        <f t="shared" si="4"/>
        <v>32.25806452</v>
      </c>
      <c r="U94" s="28">
        <v>0.0</v>
      </c>
      <c r="V94" s="27">
        <f t="shared" si="5"/>
        <v>0</v>
      </c>
      <c r="W94" s="29">
        <f t="shared" si="6"/>
        <v>0</v>
      </c>
      <c r="X94" s="30">
        <f t="shared" si="7"/>
        <v>838.7096774</v>
      </c>
    </row>
    <row r="95">
      <c r="A95" s="3">
        <f>IFERROR(__xludf.DUMMYFUNCTION("""COMPUTED_VALUE"""),88.0)</f>
        <v>88</v>
      </c>
      <c r="B95" s="4">
        <f>IFERROR(__xludf.DUMMYFUNCTION("""COMPUTED_VALUE"""),45581.0)</f>
        <v>45581</v>
      </c>
      <c r="C95" s="3" t="str">
        <f>IFERROR(__xludf.DUMMYFUNCTION("""COMPUTED_VALUE"""),"INDORE")</f>
        <v>INDORE</v>
      </c>
      <c r="D95" s="5" t="str">
        <f>IFERROR(__xludf.DUMMYFUNCTION("""COMPUTED_VALUE"""),"SLK8")</f>
        <v>SLK8</v>
      </c>
      <c r="E95" s="6" t="str">
        <f>IFERROR(__xludf.DUMMYFUNCTION("""COMPUTED_VALUE"""),"ALPHABETZ SERVICES")</f>
        <v>ALPHABETZ SERVICES</v>
      </c>
      <c r="F95" s="6" t="str">
        <f>IFERROR(__xludf.DUMMYFUNCTION("""COMPUTED_VALUE"""),"MP09ZZ6272")</f>
        <v>MP09ZZ6272</v>
      </c>
      <c r="G95" s="6" t="str">
        <f>IFERROR(__xludf.DUMMYFUNCTION("""COMPUTED_VALUE"""),"ACE")</f>
        <v>ACE</v>
      </c>
      <c r="H95" s="6" t="str">
        <f>IFERROR(__xludf.DUMMYFUNCTION("""COMPUTED_VALUE"""),"DIESEL")</f>
        <v>DIESEL</v>
      </c>
      <c r="I95" s="6">
        <f>IFERROR(__xludf.DUMMYFUNCTION("""COMPUTED_VALUE"""),4.0)</f>
        <v>4</v>
      </c>
      <c r="J95" s="8">
        <f>IFERROR(__xludf.DUMMYFUNCTION("""COMPUTED_VALUE"""),0.1284722222222222)</f>
        <v>0.1284722222</v>
      </c>
      <c r="K95" s="8">
        <f>IFERROR(__xludf.DUMMYFUNCTION("""COMPUTED_VALUE"""),0.1388888888888889)</f>
        <v>0.1388888889</v>
      </c>
      <c r="L95" s="8">
        <f>IFERROR(__xludf.DUMMYFUNCTION("""COMPUTED_VALUE"""),0.2986111111111111)</f>
        <v>0.2986111111</v>
      </c>
      <c r="M95" s="8">
        <f>IFERROR(__xludf.DUMMYFUNCTION("""COMPUTED_VALUE"""),0.30416666666666664)</f>
        <v>0.3041666667</v>
      </c>
      <c r="N95" s="10">
        <f>IFERROR(__xludf.DUMMYFUNCTION("""COMPUTED_VALUE"""),49.0)</f>
        <v>49</v>
      </c>
      <c r="O95" s="27" t="str">
        <f t="shared" si="1"/>
        <v>indoreace4</v>
      </c>
      <c r="P95" s="27">
        <f>vlookup(O95,'Terms and condition'!$F:$H,3,0)/day(eomonth(B95,0))</f>
        <v>806.4516129</v>
      </c>
      <c r="Q95" s="27">
        <f t="shared" si="8"/>
        <v>21</v>
      </c>
      <c r="R95" s="27">
        <f t="shared" si="2"/>
        <v>953</v>
      </c>
      <c r="S95" s="27">
        <f t="shared" si="3"/>
        <v>0</v>
      </c>
      <c r="T95" s="27">
        <f t="shared" si="4"/>
        <v>0</v>
      </c>
      <c r="U95" s="28">
        <v>0.0</v>
      </c>
      <c r="V95" s="27">
        <f t="shared" si="5"/>
        <v>0</v>
      </c>
      <c r="W95" s="29">
        <f t="shared" si="6"/>
        <v>0</v>
      </c>
      <c r="X95" s="30">
        <f t="shared" si="7"/>
        <v>806.4516129</v>
      </c>
    </row>
    <row r="96">
      <c r="A96" s="3">
        <f>IFERROR(__xludf.DUMMYFUNCTION("""COMPUTED_VALUE"""),89.0)</f>
        <v>89</v>
      </c>
      <c r="B96" s="4">
        <f>IFERROR(__xludf.DUMMYFUNCTION("""COMPUTED_VALUE"""),45581.0)</f>
        <v>45581</v>
      </c>
      <c r="C96" s="3" t="str">
        <f>IFERROR(__xludf.DUMMYFUNCTION("""COMPUTED_VALUE"""),"INDORE")</f>
        <v>INDORE</v>
      </c>
      <c r="D96" s="5" t="str">
        <f>IFERROR(__xludf.DUMMYFUNCTION("""COMPUTED_VALUE"""),"SLK8")</f>
        <v>SLK8</v>
      </c>
      <c r="E96" s="6" t="str">
        <f>IFERROR(__xludf.DUMMYFUNCTION("""COMPUTED_VALUE"""),"ALPHABETZ SERVICES")</f>
        <v>ALPHABETZ SERVICES</v>
      </c>
      <c r="F96" s="6" t="str">
        <f>IFERROR(__xludf.DUMMYFUNCTION("""COMPUTED_VALUE"""),"MP09LP8407")</f>
        <v>MP09LP8407</v>
      </c>
      <c r="G96" s="6" t="str">
        <f>IFERROR(__xludf.DUMMYFUNCTION("""COMPUTED_VALUE"""),"ACE")</f>
        <v>ACE</v>
      </c>
      <c r="H96" s="6" t="str">
        <f>IFERROR(__xludf.DUMMYFUNCTION("""COMPUTED_VALUE"""),"DIESEL")</f>
        <v>DIESEL</v>
      </c>
      <c r="I96" s="6">
        <f>IFERROR(__xludf.DUMMYFUNCTION("""COMPUTED_VALUE"""),4.0)</f>
        <v>4</v>
      </c>
      <c r="J96" s="8">
        <f>IFERROR(__xludf.DUMMYFUNCTION("""COMPUTED_VALUE"""),0.12916666666666668)</f>
        <v>0.1291666667</v>
      </c>
      <c r="K96" s="8">
        <f>IFERROR(__xludf.DUMMYFUNCTION("""COMPUTED_VALUE"""),0.14097222222222222)</f>
        <v>0.1409722222</v>
      </c>
      <c r="L96" s="8">
        <f>IFERROR(__xludf.DUMMYFUNCTION("""COMPUTED_VALUE"""),0.2916666666666667)</f>
        <v>0.2916666667</v>
      </c>
      <c r="M96" s="8">
        <f>IFERROR(__xludf.DUMMYFUNCTION("""COMPUTED_VALUE"""),0.2986111111111111)</f>
        <v>0.2986111111</v>
      </c>
      <c r="N96" s="10">
        <f>IFERROR(__xludf.DUMMYFUNCTION("""COMPUTED_VALUE"""),37.0)</f>
        <v>37</v>
      </c>
      <c r="O96" s="27" t="str">
        <f t="shared" si="1"/>
        <v>indoreace4</v>
      </c>
      <c r="P96" s="27">
        <f>vlookup(O96,'Terms and condition'!$F:$H,3,0)/day(eomonth(B96,0))</f>
        <v>806.4516129</v>
      </c>
      <c r="Q96" s="27">
        <f t="shared" si="8"/>
        <v>31</v>
      </c>
      <c r="R96" s="27">
        <f t="shared" si="2"/>
        <v>1063</v>
      </c>
      <c r="S96" s="27">
        <f t="shared" si="3"/>
        <v>16.25806452</v>
      </c>
      <c r="T96" s="27">
        <f t="shared" si="4"/>
        <v>32.25806452</v>
      </c>
      <c r="U96" s="28">
        <v>0.0</v>
      </c>
      <c r="V96" s="27">
        <f t="shared" si="5"/>
        <v>0</v>
      </c>
      <c r="W96" s="29">
        <f t="shared" si="6"/>
        <v>0</v>
      </c>
      <c r="X96" s="30">
        <f t="shared" si="7"/>
        <v>854.9677419</v>
      </c>
    </row>
    <row r="97">
      <c r="A97" s="3">
        <f>IFERROR(__xludf.DUMMYFUNCTION("""COMPUTED_VALUE"""),90.0)</f>
        <v>90</v>
      </c>
      <c r="B97" s="4">
        <f>IFERROR(__xludf.DUMMYFUNCTION("""COMPUTED_VALUE"""),45581.0)</f>
        <v>45581</v>
      </c>
      <c r="C97" s="3" t="str">
        <f>IFERROR(__xludf.DUMMYFUNCTION("""COMPUTED_VALUE"""),"INDORE")</f>
        <v>INDORE</v>
      </c>
      <c r="D97" s="5" t="str">
        <f>IFERROR(__xludf.DUMMYFUNCTION("""COMPUTED_VALUE"""),"SLK8")</f>
        <v>SLK8</v>
      </c>
      <c r="E97" s="6" t="str">
        <f>IFERROR(__xludf.DUMMYFUNCTION("""COMPUTED_VALUE"""),"ALPHABETZ SERVICES")</f>
        <v>ALPHABETZ SERVICES</v>
      </c>
      <c r="F97" s="6" t="str">
        <f>IFERROR(__xludf.DUMMYFUNCTION("""COMPUTED_VALUE"""),"MP09ZV0375")</f>
        <v>MP09ZV0375</v>
      </c>
      <c r="G97" s="6" t="str">
        <f>IFERROR(__xludf.DUMMYFUNCTION("""COMPUTED_VALUE"""),"ACE")</f>
        <v>ACE</v>
      </c>
      <c r="H97" s="6" t="str">
        <f>IFERROR(__xludf.DUMMYFUNCTION("""COMPUTED_VALUE"""),"DIESEL")</f>
        <v>DIESEL</v>
      </c>
      <c r="I97" s="6">
        <f>IFERROR(__xludf.DUMMYFUNCTION("""COMPUTED_VALUE"""),4.0)</f>
        <v>4</v>
      </c>
      <c r="J97" s="8">
        <f>IFERROR(__xludf.DUMMYFUNCTION("""COMPUTED_VALUE"""),0.13055555555555556)</f>
        <v>0.1305555556</v>
      </c>
      <c r="K97" s="8">
        <f>IFERROR(__xludf.DUMMYFUNCTION("""COMPUTED_VALUE"""),0.14444444444444443)</f>
        <v>0.1444444444</v>
      </c>
      <c r="L97" s="8">
        <f>IFERROR(__xludf.DUMMYFUNCTION("""COMPUTED_VALUE"""),0.3055555555555556)</f>
        <v>0.3055555556</v>
      </c>
      <c r="M97" s="8">
        <f>IFERROR(__xludf.DUMMYFUNCTION("""COMPUTED_VALUE"""),0.3194444444444444)</f>
        <v>0.3194444444</v>
      </c>
      <c r="N97" s="10">
        <f>IFERROR(__xludf.DUMMYFUNCTION("""COMPUTED_VALUE"""),30.0)</f>
        <v>30</v>
      </c>
      <c r="O97" s="27" t="str">
        <f t="shared" si="1"/>
        <v>indoreace4</v>
      </c>
      <c r="P97" s="27">
        <f>vlookup(O97,'Terms and condition'!$F:$H,3,0)/day(eomonth(B97,0))</f>
        <v>806.4516129</v>
      </c>
      <c r="Q97" s="27">
        <f t="shared" si="8"/>
        <v>26</v>
      </c>
      <c r="R97" s="27">
        <f t="shared" si="2"/>
        <v>802</v>
      </c>
      <c r="S97" s="27">
        <f t="shared" si="3"/>
        <v>0</v>
      </c>
      <c r="T97" s="27">
        <f t="shared" si="4"/>
        <v>0</v>
      </c>
      <c r="U97" s="28">
        <v>0.0</v>
      </c>
      <c r="V97" s="27">
        <f t="shared" si="5"/>
        <v>0</v>
      </c>
      <c r="W97" s="29">
        <f t="shared" si="6"/>
        <v>0</v>
      </c>
      <c r="X97" s="30">
        <f t="shared" si="7"/>
        <v>806.4516129</v>
      </c>
    </row>
    <row r="98">
      <c r="A98" s="3">
        <f>IFERROR(__xludf.DUMMYFUNCTION("""COMPUTED_VALUE"""),91.0)</f>
        <v>91</v>
      </c>
      <c r="B98" s="4">
        <f>IFERROR(__xludf.DUMMYFUNCTION("""COMPUTED_VALUE"""),45582.0)</f>
        <v>45582</v>
      </c>
      <c r="C98" s="3" t="str">
        <f>IFERROR(__xludf.DUMMYFUNCTION("""COMPUTED_VALUE"""),"INDORE")</f>
        <v>INDORE</v>
      </c>
      <c r="D98" s="5" t="str">
        <f>IFERROR(__xludf.DUMMYFUNCTION("""COMPUTED_VALUE"""),"SLK8")</f>
        <v>SLK8</v>
      </c>
      <c r="E98" s="6" t="str">
        <f>IFERROR(__xludf.DUMMYFUNCTION("""COMPUTED_VALUE"""),"ALPHABETZ SERVICES")</f>
        <v>ALPHABETZ SERVICES</v>
      </c>
      <c r="F98" s="6" t="str">
        <f>IFERROR(__xludf.DUMMYFUNCTION("""COMPUTED_VALUE"""),"MP54L0316")</f>
        <v>MP54L0316</v>
      </c>
      <c r="G98" s="6" t="str">
        <f>IFERROR(__xludf.DUMMYFUNCTION("""COMPUTED_VALUE"""),"ACE")</f>
        <v>ACE</v>
      </c>
      <c r="H98" s="6" t="str">
        <f>IFERROR(__xludf.DUMMYFUNCTION("""COMPUTED_VALUE"""),"DIESEL")</f>
        <v>DIESEL</v>
      </c>
      <c r="I98" s="6">
        <f>IFERROR(__xludf.DUMMYFUNCTION("""COMPUTED_VALUE"""),4.0)</f>
        <v>4</v>
      </c>
      <c r="J98" s="8">
        <f>IFERROR(__xludf.DUMMYFUNCTION("""COMPUTED_VALUE"""),0.125)</f>
        <v>0.125</v>
      </c>
      <c r="K98" s="8">
        <f>IFERROR(__xludf.DUMMYFUNCTION("""COMPUTED_VALUE"""),0.1375)</f>
        <v>0.1375</v>
      </c>
      <c r="L98" s="8">
        <f>IFERROR(__xludf.DUMMYFUNCTION("""COMPUTED_VALUE"""),0.3125)</f>
        <v>0.3125</v>
      </c>
      <c r="M98" s="8">
        <f>IFERROR(__xludf.DUMMYFUNCTION("""COMPUTED_VALUE"""),0.3159722222222222)</f>
        <v>0.3159722222</v>
      </c>
      <c r="N98" s="10">
        <f>IFERROR(__xludf.DUMMYFUNCTION("""COMPUTED_VALUE"""),45.0)</f>
        <v>45</v>
      </c>
      <c r="O98" s="27" t="str">
        <f t="shared" si="1"/>
        <v>indoreace4</v>
      </c>
      <c r="P98" s="27">
        <f>vlookup(O98,'Terms and condition'!$F:$H,3,0)/day(eomonth(B98,0))</f>
        <v>806.4516129</v>
      </c>
      <c r="Q98" s="27">
        <f t="shared" si="8"/>
        <v>31</v>
      </c>
      <c r="R98" s="27">
        <f t="shared" si="2"/>
        <v>1390</v>
      </c>
      <c r="S98" s="27">
        <f t="shared" si="3"/>
        <v>100.6451613</v>
      </c>
      <c r="T98" s="27">
        <f t="shared" si="4"/>
        <v>32.25806452</v>
      </c>
      <c r="U98" s="28">
        <v>0.0</v>
      </c>
      <c r="V98" s="27">
        <f t="shared" si="5"/>
        <v>0</v>
      </c>
      <c r="W98" s="29">
        <f t="shared" si="6"/>
        <v>0</v>
      </c>
      <c r="X98" s="30">
        <f t="shared" si="7"/>
        <v>939.3548387</v>
      </c>
    </row>
    <row r="99">
      <c r="A99" s="3">
        <f>IFERROR(__xludf.DUMMYFUNCTION("""COMPUTED_VALUE"""),92.0)</f>
        <v>92</v>
      </c>
      <c r="B99" s="4">
        <f>IFERROR(__xludf.DUMMYFUNCTION("""COMPUTED_VALUE"""),45582.0)</f>
        <v>45582</v>
      </c>
      <c r="C99" s="3" t="str">
        <f>IFERROR(__xludf.DUMMYFUNCTION("""COMPUTED_VALUE"""),"INDORE")</f>
        <v>INDORE</v>
      </c>
      <c r="D99" s="5" t="str">
        <f>IFERROR(__xludf.DUMMYFUNCTION("""COMPUTED_VALUE"""),"SLK8")</f>
        <v>SLK8</v>
      </c>
      <c r="E99" s="6" t="str">
        <f>IFERROR(__xludf.DUMMYFUNCTION("""COMPUTED_VALUE"""),"ALPHABETZ SERVICES")</f>
        <v>ALPHABETZ SERVICES</v>
      </c>
      <c r="F99" s="6" t="str">
        <f>IFERROR(__xludf.DUMMYFUNCTION("""COMPUTED_VALUE"""),"MP09LR7355")</f>
        <v>MP09LR7355</v>
      </c>
      <c r="G99" s="6" t="str">
        <f>IFERROR(__xludf.DUMMYFUNCTION("""COMPUTED_VALUE"""),"ACE")</f>
        <v>ACE</v>
      </c>
      <c r="H99" s="6" t="str">
        <f>IFERROR(__xludf.DUMMYFUNCTION("""COMPUTED_VALUE"""),"DIESEL")</f>
        <v>DIESEL</v>
      </c>
      <c r="I99" s="6">
        <f>IFERROR(__xludf.DUMMYFUNCTION("""COMPUTED_VALUE"""),4.0)</f>
        <v>4</v>
      </c>
      <c r="J99" s="8">
        <f>IFERROR(__xludf.DUMMYFUNCTION("""COMPUTED_VALUE"""),0.125)</f>
        <v>0.125</v>
      </c>
      <c r="K99" s="8">
        <f>IFERROR(__xludf.DUMMYFUNCTION("""COMPUTED_VALUE"""),0.13541666666666666)</f>
        <v>0.1354166667</v>
      </c>
      <c r="L99" s="8">
        <f>IFERROR(__xludf.DUMMYFUNCTION("""COMPUTED_VALUE"""),0.31805555555555554)</f>
        <v>0.3180555556</v>
      </c>
      <c r="M99" s="8">
        <f>IFERROR(__xludf.DUMMYFUNCTION("""COMPUTED_VALUE"""),0.3229166666666667)</f>
        <v>0.3229166667</v>
      </c>
      <c r="N99" s="10">
        <f>IFERROR(__xludf.DUMMYFUNCTION("""COMPUTED_VALUE"""),50.0)</f>
        <v>50</v>
      </c>
      <c r="O99" s="27" t="str">
        <f t="shared" si="1"/>
        <v>indoreace4</v>
      </c>
      <c r="P99" s="27">
        <f>vlookup(O99,'Terms and condition'!$F:$H,3,0)/day(eomonth(B99,0))</f>
        <v>806.4516129</v>
      </c>
      <c r="Q99" s="27">
        <f t="shared" si="8"/>
        <v>30</v>
      </c>
      <c r="R99" s="27">
        <f t="shared" si="2"/>
        <v>1436</v>
      </c>
      <c r="S99" s="27">
        <f t="shared" si="3"/>
        <v>116.2666667</v>
      </c>
      <c r="T99" s="27">
        <f t="shared" si="4"/>
        <v>0</v>
      </c>
      <c r="U99" s="28">
        <v>0.0</v>
      </c>
      <c r="V99" s="27">
        <f t="shared" si="5"/>
        <v>0</v>
      </c>
      <c r="W99" s="29">
        <f t="shared" si="6"/>
        <v>0</v>
      </c>
      <c r="X99" s="30">
        <f t="shared" si="7"/>
        <v>922.7182796</v>
      </c>
    </row>
    <row r="100">
      <c r="A100" s="3">
        <f>IFERROR(__xludf.DUMMYFUNCTION("""COMPUTED_VALUE"""),93.0)</f>
        <v>93</v>
      </c>
      <c r="B100" s="4">
        <f>IFERROR(__xludf.DUMMYFUNCTION("""COMPUTED_VALUE"""),45582.0)</f>
        <v>45582</v>
      </c>
      <c r="C100" s="3" t="str">
        <f>IFERROR(__xludf.DUMMYFUNCTION("""COMPUTED_VALUE"""),"INDORE")</f>
        <v>INDORE</v>
      </c>
      <c r="D100" s="5" t="str">
        <f>IFERROR(__xludf.DUMMYFUNCTION("""COMPUTED_VALUE"""),"SLK8")</f>
        <v>SLK8</v>
      </c>
      <c r="E100" s="6" t="str">
        <f>IFERROR(__xludf.DUMMYFUNCTION("""COMPUTED_VALUE"""),"ALPHABETZ SERVICES")</f>
        <v>ALPHABETZ SERVICES</v>
      </c>
      <c r="F100" s="6" t="str">
        <f>IFERROR(__xludf.DUMMYFUNCTION("""COMPUTED_VALUE"""),"MP09ZY2923")</f>
        <v>MP09ZY2923</v>
      </c>
      <c r="G100" s="6" t="str">
        <f>IFERROR(__xludf.DUMMYFUNCTION("""COMPUTED_VALUE"""),"ACE")</f>
        <v>ACE</v>
      </c>
      <c r="H100" s="6" t="str">
        <f>IFERROR(__xludf.DUMMYFUNCTION("""COMPUTED_VALUE"""),"DIESEL")</f>
        <v>DIESEL</v>
      </c>
      <c r="I100" s="6">
        <f>IFERROR(__xludf.DUMMYFUNCTION("""COMPUTED_VALUE"""),4.0)</f>
        <v>4</v>
      </c>
      <c r="J100" s="8">
        <f>IFERROR(__xludf.DUMMYFUNCTION("""COMPUTED_VALUE"""),0.125)</f>
        <v>0.125</v>
      </c>
      <c r="K100" s="8">
        <f>IFERROR(__xludf.DUMMYFUNCTION("""COMPUTED_VALUE"""),0.1388888888888889)</f>
        <v>0.1388888889</v>
      </c>
      <c r="L100" s="8">
        <f>IFERROR(__xludf.DUMMYFUNCTION("""COMPUTED_VALUE"""),0.2986111111111111)</f>
        <v>0.2986111111</v>
      </c>
      <c r="M100" s="8">
        <f>IFERROR(__xludf.DUMMYFUNCTION("""COMPUTED_VALUE"""),0.3020833333333333)</f>
        <v>0.3020833333</v>
      </c>
      <c r="N100" s="10">
        <f>IFERROR(__xludf.DUMMYFUNCTION("""COMPUTED_VALUE"""),31.0)</f>
        <v>31</v>
      </c>
      <c r="O100" s="27" t="str">
        <f t="shared" si="1"/>
        <v>indoreace4</v>
      </c>
      <c r="P100" s="27">
        <f>vlookup(O100,'Terms and condition'!$F:$H,3,0)/day(eomonth(B100,0))</f>
        <v>806.4516129</v>
      </c>
      <c r="Q100" s="27">
        <f t="shared" si="8"/>
        <v>31</v>
      </c>
      <c r="R100" s="27">
        <f t="shared" si="2"/>
        <v>988</v>
      </c>
      <c r="S100" s="27">
        <f t="shared" si="3"/>
        <v>0</v>
      </c>
      <c r="T100" s="27">
        <f t="shared" si="4"/>
        <v>32.25806452</v>
      </c>
      <c r="U100" s="28">
        <v>0.0</v>
      </c>
      <c r="V100" s="27">
        <f t="shared" si="5"/>
        <v>0</v>
      </c>
      <c r="W100" s="29">
        <f t="shared" si="6"/>
        <v>0</v>
      </c>
      <c r="X100" s="30">
        <f t="shared" si="7"/>
        <v>838.7096774</v>
      </c>
    </row>
    <row r="101">
      <c r="A101" s="3">
        <f>IFERROR(__xludf.DUMMYFUNCTION("""COMPUTED_VALUE"""),94.0)</f>
        <v>94</v>
      </c>
      <c r="B101" s="4">
        <f>IFERROR(__xludf.DUMMYFUNCTION("""COMPUTED_VALUE"""),45582.0)</f>
        <v>45582</v>
      </c>
      <c r="C101" s="3" t="str">
        <f>IFERROR(__xludf.DUMMYFUNCTION("""COMPUTED_VALUE"""),"INDORE")</f>
        <v>INDORE</v>
      </c>
      <c r="D101" s="5" t="str">
        <f>IFERROR(__xludf.DUMMYFUNCTION("""COMPUTED_VALUE"""),"SLK8")</f>
        <v>SLK8</v>
      </c>
      <c r="E101" s="6" t="str">
        <f>IFERROR(__xludf.DUMMYFUNCTION("""COMPUTED_VALUE"""),"ALPHABETZ SERVICES")</f>
        <v>ALPHABETZ SERVICES</v>
      </c>
      <c r="F101" s="6" t="str">
        <f>IFERROR(__xludf.DUMMYFUNCTION("""COMPUTED_VALUE"""),"MP09ZZ6272")</f>
        <v>MP09ZZ6272</v>
      </c>
      <c r="G101" s="6" t="str">
        <f>IFERROR(__xludf.DUMMYFUNCTION("""COMPUTED_VALUE"""),"ACE")</f>
        <v>ACE</v>
      </c>
      <c r="H101" s="6" t="str">
        <f>IFERROR(__xludf.DUMMYFUNCTION("""COMPUTED_VALUE"""),"DIESEL")</f>
        <v>DIESEL</v>
      </c>
      <c r="I101" s="6">
        <f>IFERROR(__xludf.DUMMYFUNCTION("""COMPUTED_VALUE"""),4.0)</f>
        <v>4</v>
      </c>
      <c r="J101" s="8">
        <f>IFERROR(__xludf.DUMMYFUNCTION("""COMPUTED_VALUE"""),0.1284722222222222)</f>
        <v>0.1284722222</v>
      </c>
      <c r="K101" s="8">
        <f>IFERROR(__xludf.DUMMYFUNCTION("""COMPUTED_VALUE"""),0.1375)</f>
        <v>0.1375</v>
      </c>
      <c r="L101" s="8">
        <f>IFERROR(__xludf.DUMMYFUNCTION("""COMPUTED_VALUE"""),0.31666666666666665)</f>
        <v>0.3166666667</v>
      </c>
      <c r="M101" s="8">
        <f>IFERROR(__xludf.DUMMYFUNCTION("""COMPUTED_VALUE"""),0.3194444444444444)</f>
        <v>0.3194444444</v>
      </c>
      <c r="N101" s="10">
        <f>IFERROR(__xludf.DUMMYFUNCTION("""COMPUTED_VALUE"""),46.0)</f>
        <v>46</v>
      </c>
      <c r="O101" s="27" t="str">
        <f t="shared" si="1"/>
        <v>indoreace4</v>
      </c>
      <c r="P101" s="27">
        <f>vlookup(O101,'Terms and condition'!$F:$H,3,0)/day(eomonth(B101,0))</f>
        <v>806.4516129</v>
      </c>
      <c r="Q101" s="27">
        <f t="shared" si="8"/>
        <v>21</v>
      </c>
      <c r="R101" s="27">
        <f t="shared" si="2"/>
        <v>953</v>
      </c>
      <c r="S101" s="27">
        <f t="shared" si="3"/>
        <v>0</v>
      </c>
      <c r="T101" s="27">
        <f t="shared" si="4"/>
        <v>0</v>
      </c>
      <c r="U101" s="28">
        <v>0.0</v>
      </c>
      <c r="V101" s="27">
        <f t="shared" si="5"/>
        <v>0</v>
      </c>
      <c r="W101" s="29">
        <f t="shared" si="6"/>
        <v>0</v>
      </c>
      <c r="X101" s="30">
        <f t="shared" si="7"/>
        <v>806.4516129</v>
      </c>
    </row>
    <row r="102">
      <c r="A102" s="3">
        <f>IFERROR(__xludf.DUMMYFUNCTION("""COMPUTED_VALUE"""),95.0)</f>
        <v>95</v>
      </c>
      <c r="B102" s="4">
        <f>IFERROR(__xludf.DUMMYFUNCTION("""COMPUTED_VALUE"""),45582.0)</f>
        <v>45582</v>
      </c>
      <c r="C102" s="3" t="str">
        <f>IFERROR(__xludf.DUMMYFUNCTION("""COMPUTED_VALUE"""),"INDORE")</f>
        <v>INDORE</v>
      </c>
      <c r="D102" s="5" t="str">
        <f>IFERROR(__xludf.DUMMYFUNCTION("""COMPUTED_VALUE"""),"SLK8")</f>
        <v>SLK8</v>
      </c>
      <c r="E102" s="6" t="str">
        <f>IFERROR(__xludf.DUMMYFUNCTION("""COMPUTED_VALUE"""),"ALPHABETZ SERVICES")</f>
        <v>ALPHABETZ SERVICES</v>
      </c>
      <c r="F102" s="6" t="str">
        <f>IFERROR(__xludf.DUMMYFUNCTION("""COMPUTED_VALUE"""),"MP09LP8407")</f>
        <v>MP09LP8407</v>
      </c>
      <c r="G102" s="6" t="str">
        <f>IFERROR(__xludf.DUMMYFUNCTION("""COMPUTED_VALUE"""),"ACE")</f>
        <v>ACE</v>
      </c>
      <c r="H102" s="6" t="str">
        <f>IFERROR(__xludf.DUMMYFUNCTION("""COMPUTED_VALUE"""),"DIESEL")</f>
        <v>DIESEL</v>
      </c>
      <c r="I102" s="6">
        <f>IFERROR(__xludf.DUMMYFUNCTION("""COMPUTED_VALUE"""),4.0)</f>
        <v>4</v>
      </c>
      <c r="J102" s="8">
        <f>IFERROR(__xludf.DUMMYFUNCTION("""COMPUTED_VALUE"""),0.13055555555555556)</f>
        <v>0.1305555556</v>
      </c>
      <c r="K102" s="8">
        <f>IFERROR(__xludf.DUMMYFUNCTION("""COMPUTED_VALUE"""),0.14027777777777778)</f>
        <v>0.1402777778</v>
      </c>
      <c r="L102" s="8">
        <f>IFERROR(__xludf.DUMMYFUNCTION("""COMPUTED_VALUE"""),0.2986111111111111)</f>
        <v>0.2986111111</v>
      </c>
      <c r="M102" s="8">
        <f>IFERROR(__xludf.DUMMYFUNCTION("""COMPUTED_VALUE"""),0.3055555555555556)</f>
        <v>0.3055555556</v>
      </c>
      <c r="N102" s="10">
        <f>IFERROR(__xludf.DUMMYFUNCTION("""COMPUTED_VALUE"""),35.0)</f>
        <v>35</v>
      </c>
      <c r="O102" s="27" t="str">
        <f t="shared" si="1"/>
        <v>indoreace4</v>
      </c>
      <c r="P102" s="27">
        <f>vlookup(O102,'Terms and condition'!$F:$H,3,0)/day(eomonth(B102,0))</f>
        <v>806.4516129</v>
      </c>
      <c r="Q102" s="27">
        <f t="shared" si="8"/>
        <v>31</v>
      </c>
      <c r="R102" s="27">
        <f t="shared" si="2"/>
        <v>1063</v>
      </c>
      <c r="S102" s="27">
        <f t="shared" si="3"/>
        <v>16.25806452</v>
      </c>
      <c r="T102" s="27">
        <f t="shared" si="4"/>
        <v>32.25806452</v>
      </c>
      <c r="U102" s="28">
        <v>0.0</v>
      </c>
      <c r="V102" s="27">
        <f t="shared" si="5"/>
        <v>0</v>
      </c>
      <c r="W102" s="29">
        <f t="shared" si="6"/>
        <v>0</v>
      </c>
      <c r="X102" s="30">
        <f t="shared" si="7"/>
        <v>854.9677419</v>
      </c>
    </row>
    <row r="103">
      <c r="A103" s="3">
        <f>IFERROR(__xludf.DUMMYFUNCTION("""COMPUTED_VALUE"""),96.0)</f>
        <v>96</v>
      </c>
      <c r="B103" s="4">
        <f>IFERROR(__xludf.DUMMYFUNCTION("""COMPUTED_VALUE"""),45582.0)</f>
        <v>45582</v>
      </c>
      <c r="C103" s="3" t="str">
        <f>IFERROR(__xludf.DUMMYFUNCTION("""COMPUTED_VALUE"""),"INDORE")</f>
        <v>INDORE</v>
      </c>
      <c r="D103" s="5" t="str">
        <f>IFERROR(__xludf.DUMMYFUNCTION("""COMPUTED_VALUE"""),"SLK8")</f>
        <v>SLK8</v>
      </c>
      <c r="E103" s="6" t="str">
        <f>IFERROR(__xludf.DUMMYFUNCTION("""COMPUTED_VALUE"""),"ALPHABETZ SERVICES")</f>
        <v>ALPHABETZ SERVICES</v>
      </c>
      <c r="F103" s="6" t="str">
        <f>IFERROR(__xludf.DUMMYFUNCTION("""COMPUTED_VALUE"""),"MP04LD5601")</f>
        <v>MP04LD5601</v>
      </c>
      <c r="G103" s="6" t="str">
        <f>IFERROR(__xludf.DUMMYFUNCTION("""COMPUTED_VALUE"""),"ACE")</f>
        <v>ACE</v>
      </c>
      <c r="H103" s="6" t="str">
        <f>IFERROR(__xludf.DUMMYFUNCTION("""COMPUTED_VALUE"""),"DIESEL")</f>
        <v>DIESEL</v>
      </c>
      <c r="I103" s="6">
        <f>IFERROR(__xludf.DUMMYFUNCTION("""COMPUTED_VALUE"""),4.0)</f>
        <v>4</v>
      </c>
      <c r="J103" s="8">
        <f>IFERROR(__xludf.DUMMYFUNCTION("""COMPUTED_VALUE"""),0.13194444444444445)</f>
        <v>0.1319444444</v>
      </c>
      <c r="K103" s="8">
        <f>IFERROR(__xludf.DUMMYFUNCTION("""COMPUTED_VALUE"""),0.13958333333333334)</f>
        <v>0.1395833333</v>
      </c>
      <c r="L103" s="8">
        <f>IFERROR(__xludf.DUMMYFUNCTION("""COMPUTED_VALUE"""),0.3090277777777778)</f>
        <v>0.3090277778</v>
      </c>
      <c r="M103" s="8">
        <f>IFERROR(__xludf.DUMMYFUNCTION("""COMPUTED_VALUE"""),0.3125)</f>
        <v>0.3125</v>
      </c>
      <c r="N103" s="10">
        <f>IFERROR(__xludf.DUMMYFUNCTION("""COMPUTED_VALUE"""),34.0)</f>
        <v>34</v>
      </c>
      <c r="O103" s="27" t="str">
        <f t="shared" si="1"/>
        <v>indoreace4</v>
      </c>
      <c r="P103" s="27">
        <f>vlookup(O103,'Terms and condition'!$F:$H,3,0)/day(eomonth(B103,0))</f>
        <v>806.4516129</v>
      </c>
      <c r="Q103" s="27">
        <f t="shared" si="8"/>
        <v>12</v>
      </c>
      <c r="R103" s="27">
        <f t="shared" si="2"/>
        <v>580</v>
      </c>
      <c r="S103" s="27">
        <f t="shared" si="3"/>
        <v>0</v>
      </c>
      <c r="T103" s="27">
        <f t="shared" si="4"/>
        <v>0</v>
      </c>
      <c r="U103" s="28">
        <v>0.0</v>
      </c>
      <c r="V103" s="27">
        <f t="shared" si="5"/>
        <v>0</v>
      </c>
      <c r="W103" s="29">
        <f t="shared" si="6"/>
        <v>0</v>
      </c>
      <c r="X103" s="30">
        <f t="shared" si="7"/>
        <v>806.4516129</v>
      </c>
    </row>
    <row r="104">
      <c r="A104" s="3">
        <f>IFERROR(__xludf.DUMMYFUNCTION("""COMPUTED_VALUE"""),97.0)</f>
        <v>97</v>
      </c>
      <c r="B104" s="4">
        <f>IFERROR(__xludf.DUMMYFUNCTION("""COMPUTED_VALUE"""),45583.0)</f>
        <v>45583</v>
      </c>
      <c r="C104" s="3" t="str">
        <f>IFERROR(__xludf.DUMMYFUNCTION("""COMPUTED_VALUE"""),"INDORE")</f>
        <v>INDORE</v>
      </c>
      <c r="D104" s="5" t="str">
        <f>IFERROR(__xludf.DUMMYFUNCTION("""COMPUTED_VALUE"""),"SLK8")</f>
        <v>SLK8</v>
      </c>
      <c r="E104" s="6" t="str">
        <f>IFERROR(__xludf.DUMMYFUNCTION("""COMPUTED_VALUE"""),"ALPHABETZ SERVICES")</f>
        <v>ALPHABETZ SERVICES</v>
      </c>
      <c r="F104" s="6" t="str">
        <f>IFERROR(__xludf.DUMMYFUNCTION("""COMPUTED_VALUE"""),"MP54L0316")</f>
        <v>MP54L0316</v>
      </c>
      <c r="G104" s="6" t="str">
        <f>IFERROR(__xludf.DUMMYFUNCTION("""COMPUTED_VALUE"""),"ACE")</f>
        <v>ACE</v>
      </c>
      <c r="H104" s="6" t="str">
        <f>IFERROR(__xludf.DUMMYFUNCTION("""COMPUTED_VALUE"""),"DIESEL")</f>
        <v>DIESEL</v>
      </c>
      <c r="I104" s="6">
        <f>IFERROR(__xludf.DUMMYFUNCTION("""COMPUTED_VALUE"""),4.0)</f>
        <v>4</v>
      </c>
      <c r="J104" s="8">
        <f>IFERROR(__xludf.DUMMYFUNCTION("""COMPUTED_VALUE"""),0.125)</f>
        <v>0.125</v>
      </c>
      <c r="K104" s="8">
        <f>IFERROR(__xludf.DUMMYFUNCTION("""COMPUTED_VALUE"""),0.13194444444444445)</f>
        <v>0.1319444444</v>
      </c>
      <c r="L104" s="8">
        <f>IFERROR(__xludf.DUMMYFUNCTION("""COMPUTED_VALUE"""),0.3215277777777778)</f>
        <v>0.3215277778</v>
      </c>
      <c r="M104" s="8">
        <f>IFERROR(__xludf.DUMMYFUNCTION("""COMPUTED_VALUE"""),0.3263888888888889)</f>
        <v>0.3263888889</v>
      </c>
      <c r="N104" s="10">
        <f>IFERROR(__xludf.DUMMYFUNCTION("""COMPUTED_VALUE"""),43.0)</f>
        <v>43</v>
      </c>
      <c r="O104" s="27" t="str">
        <f t="shared" si="1"/>
        <v>indoreace4</v>
      </c>
      <c r="P104" s="27">
        <f>vlookup(O104,'Terms and condition'!$F:$H,3,0)/day(eomonth(B104,0))</f>
        <v>806.4516129</v>
      </c>
      <c r="Q104" s="27">
        <f t="shared" si="8"/>
        <v>31</v>
      </c>
      <c r="R104" s="27">
        <f t="shared" si="2"/>
        <v>1390</v>
      </c>
      <c r="S104" s="27">
        <f t="shared" si="3"/>
        <v>100.6451613</v>
      </c>
      <c r="T104" s="27">
        <f t="shared" si="4"/>
        <v>32.25806452</v>
      </c>
      <c r="U104" s="28">
        <v>0.0</v>
      </c>
      <c r="V104" s="27">
        <f t="shared" si="5"/>
        <v>0</v>
      </c>
      <c r="W104" s="29">
        <f t="shared" si="6"/>
        <v>0</v>
      </c>
      <c r="X104" s="30">
        <f t="shared" si="7"/>
        <v>939.3548387</v>
      </c>
    </row>
    <row r="105">
      <c r="A105" s="3">
        <f>IFERROR(__xludf.DUMMYFUNCTION("""COMPUTED_VALUE"""),98.0)</f>
        <v>98</v>
      </c>
      <c r="B105" s="4">
        <f>IFERROR(__xludf.DUMMYFUNCTION("""COMPUTED_VALUE"""),45583.0)</f>
        <v>45583</v>
      </c>
      <c r="C105" s="3" t="str">
        <f>IFERROR(__xludf.DUMMYFUNCTION("""COMPUTED_VALUE"""),"INDORE")</f>
        <v>INDORE</v>
      </c>
      <c r="D105" s="5" t="str">
        <f>IFERROR(__xludf.DUMMYFUNCTION("""COMPUTED_VALUE"""),"SLK8")</f>
        <v>SLK8</v>
      </c>
      <c r="E105" s="6" t="str">
        <f>IFERROR(__xludf.DUMMYFUNCTION("""COMPUTED_VALUE"""),"ALPHABETZ SERVICES")</f>
        <v>ALPHABETZ SERVICES</v>
      </c>
      <c r="F105" s="6" t="str">
        <f>IFERROR(__xludf.DUMMYFUNCTION("""COMPUTED_VALUE"""),"MP09LR7355")</f>
        <v>MP09LR7355</v>
      </c>
      <c r="G105" s="6" t="str">
        <f>IFERROR(__xludf.DUMMYFUNCTION("""COMPUTED_VALUE"""),"ACE")</f>
        <v>ACE</v>
      </c>
      <c r="H105" s="6" t="str">
        <f>IFERROR(__xludf.DUMMYFUNCTION("""COMPUTED_VALUE"""),"DIESEL")</f>
        <v>DIESEL</v>
      </c>
      <c r="I105" s="6">
        <f>IFERROR(__xludf.DUMMYFUNCTION("""COMPUTED_VALUE"""),4.0)</f>
        <v>4</v>
      </c>
      <c r="J105" s="8">
        <f>IFERROR(__xludf.DUMMYFUNCTION("""COMPUTED_VALUE"""),0.125)</f>
        <v>0.125</v>
      </c>
      <c r="K105" s="8">
        <f>IFERROR(__xludf.DUMMYFUNCTION("""COMPUTED_VALUE"""),0.1326388888888889)</f>
        <v>0.1326388889</v>
      </c>
      <c r="L105" s="8">
        <f>IFERROR(__xludf.DUMMYFUNCTION("""COMPUTED_VALUE"""),0.31805555555555554)</f>
        <v>0.3180555556</v>
      </c>
      <c r="M105" s="8">
        <f>IFERROR(__xludf.DUMMYFUNCTION("""COMPUTED_VALUE"""),0.3194444444444444)</f>
        <v>0.3194444444</v>
      </c>
      <c r="N105" s="10">
        <f>IFERROR(__xludf.DUMMYFUNCTION("""COMPUTED_VALUE"""),47.0)</f>
        <v>47</v>
      </c>
      <c r="O105" s="27" t="str">
        <f t="shared" si="1"/>
        <v>indoreace4</v>
      </c>
      <c r="P105" s="27">
        <f>vlookup(O105,'Terms and condition'!$F:$H,3,0)/day(eomonth(B105,0))</f>
        <v>806.4516129</v>
      </c>
      <c r="Q105" s="27">
        <f t="shared" si="8"/>
        <v>30</v>
      </c>
      <c r="R105" s="27">
        <f t="shared" si="2"/>
        <v>1436</v>
      </c>
      <c r="S105" s="27">
        <f t="shared" si="3"/>
        <v>116.2666667</v>
      </c>
      <c r="T105" s="27">
        <f t="shared" si="4"/>
        <v>0</v>
      </c>
      <c r="U105" s="28">
        <v>0.0</v>
      </c>
      <c r="V105" s="27">
        <f t="shared" si="5"/>
        <v>0</v>
      </c>
      <c r="W105" s="29">
        <f t="shared" si="6"/>
        <v>0</v>
      </c>
      <c r="X105" s="30">
        <f t="shared" si="7"/>
        <v>922.7182796</v>
      </c>
    </row>
    <row r="106">
      <c r="A106" s="3">
        <f>IFERROR(__xludf.DUMMYFUNCTION("""COMPUTED_VALUE"""),99.0)</f>
        <v>99</v>
      </c>
      <c r="B106" s="4">
        <f>IFERROR(__xludf.DUMMYFUNCTION("""COMPUTED_VALUE"""),45583.0)</f>
        <v>45583</v>
      </c>
      <c r="C106" s="3" t="str">
        <f>IFERROR(__xludf.DUMMYFUNCTION("""COMPUTED_VALUE"""),"INDORE")</f>
        <v>INDORE</v>
      </c>
      <c r="D106" s="5" t="str">
        <f>IFERROR(__xludf.DUMMYFUNCTION("""COMPUTED_VALUE"""),"SLK8")</f>
        <v>SLK8</v>
      </c>
      <c r="E106" s="6" t="str">
        <f>IFERROR(__xludf.DUMMYFUNCTION("""COMPUTED_VALUE"""),"ALPHABETZ SERVICES")</f>
        <v>ALPHABETZ SERVICES</v>
      </c>
      <c r="F106" s="6" t="str">
        <f>IFERROR(__xludf.DUMMYFUNCTION("""COMPUTED_VALUE"""),"MP09ZY2923")</f>
        <v>MP09ZY2923</v>
      </c>
      <c r="G106" s="6" t="str">
        <f>IFERROR(__xludf.DUMMYFUNCTION("""COMPUTED_VALUE"""),"ACE")</f>
        <v>ACE</v>
      </c>
      <c r="H106" s="6" t="str">
        <f>IFERROR(__xludf.DUMMYFUNCTION("""COMPUTED_VALUE"""),"DIESEL")</f>
        <v>DIESEL</v>
      </c>
      <c r="I106" s="6">
        <f>IFERROR(__xludf.DUMMYFUNCTION("""COMPUTED_VALUE"""),4.0)</f>
        <v>4</v>
      </c>
      <c r="J106" s="8">
        <f>IFERROR(__xludf.DUMMYFUNCTION("""COMPUTED_VALUE"""),0.125)</f>
        <v>0.125</v>
      </c>
      <c r="K106" s="8">
        <f>IFERROR(__xludf.DUMMYFUNCTION("""COMPUTED_VALUE"""),0.13402777777777777)</f>
        <v>0.1340277778</v>
      </c>
      <c r="L106" s="8">
        <f>IFERROR(__xludf.DUMMYFUNCTION("""COMPUTED_VALUE"""),0.3125)</f>
        <v>0.3125</v>
      </c>
      <c r="M106" s="8">
        <f>IFERROR(__xludf.DUMMYFUNCTION("""COMPUTED_VALUE"""),0.3194444444444444)</f>
        <v>0.3194444444</v>
      </c>
      <c r="N106" s="10">
        <f>IFERROR(__xludf.DUMMYFUNCTION("""COMPUTED_VALUE"""),32.0)</f>
        <v>32</v>
      </c>
      <c r="O106" s="27" t="str">
        <f t="shared" si="1"/>
        <v>indoreace4</v>
      </c>
      <c r="P106" s="27">
        <f>vlookup(O106,'Terms and condition'!$F:$H,3,0)/day(eomonth(B106,0))</f>
        <v>806.4516129</v>
      </c>
      <c r="Q106" s="27">
        <f t="shared" si="8"/>
        <v>31</v>
      </c>
      <c r="R106" s="27">
        <f t="shared" si="2"/>
        <v>988</v>
      </c>
      <c r="S106" s="27">
        <f t="shared" si="3"/>
        <v>0</v>
      </c>
      <c r="T106" s="27">
        <f t="shared" si="4"/>
        <v>32.25806452</v>
      </c>
      <c r="U106" s="28">
        <v>0.0</v>
      </c>
      <c r="V106" s="27">
        <f t="shared" si="5"/>
        <v>0</v>
      </c>
      <c r="W106" s="29">
        <f t="shared" si="6"/>
        <v>0</v>
      </c>
      <c r="X106" s="30">
        <f t="shared" si="7"/>
        <v>838.7096774</v>
      </c>
    </row>
    <row r="107">
      <c r="A107" s="3">
        <f>IFERROR(__xludf.DUMMYFUNCTION("""COMPUTED_VALUE"""),100.0)</f>
        <v>100</v>
      </c>
      <c r="B107" s="4">
        <f>IFERROR(__xludf.DUMMYFUNCTION("""COMPUTED_VALUE"""),45583.0)</f>
        <v>45583</v>
      </c>
      <c r="C107" s="3" t="str">
        <f>IFERROR(__xludf.DUMMYFUNCTION("""COMPUTED_VALUE"""),"INDORE")</f>
        <v>INDORE</v>
      </c>
      <c r="D107" s="5" t="str">
        <f>IFERROR(__xludf.DUMMYFUNCTION("""COMPUTED_VALUE"""),"SLK8")</f>
        <v>SLK8</v>
      </c>
      <c r="E107" s="6" t="str">
        <f>IFERROR(__xludf.DUMMYFUNCTION("""COMPUTED_VALUE"""),"ALPHABETZ SERVICES")</f>
        <v>ALPHABETZ SERVICES</v>
      </c>
      <c r="F107" s="6" t="str">
        <f>IFERROR(__xludf.DUMMYFUNCTION("""COMPUTED_VALUE"""),"MP09LP8407")</f>
        <v>MP09LP8407</v>
      </c>
      <c r="G107" s="6" t="str">
        <f>IFERROR(__xludf.DUMMYFUNCTION("""COMPUTED_VALUE"""),"ACE")</f>
        <v>ACE</v>
      </c>
      <c r="H107" s="6" t="str">
        <f>IFERROR(__xludf.DUMMYFUNCTION("""COMPUTED_VALUE"""),"DIESEL")</f>
        <v>DIESEL</v>
      </c>
      <c r="I107" s="6">
        <f>IFERROR(__xludf.DUMMYFUNCTION("""COMPUTED_VALUE"""),4.0)</f>
        <v>4</v>
      </c>
      <c r="J107" s="8">
        <f>IFERROR(__xludf.DUMMYFUNCTION("""COMPUTED_VALUE"""),0.12638888888888888)</f>
        <v>0.1263888889</v>
      </c>
      <c r="K107" s="8">
        <f>IFERROR(__xludf.DUMMYFUNCTION("""COMPUTED_VALUE"""),0.1361111111111111)</f>
        <v>0.1361111111</v>
      </c>
      <c r="L107" s="8">
        <f>IFERROR(__xludf.DUMMYFUNCTION("""COMPUTED_VALUE"""),0.3055555555555556)</f>
        <v>0.3055555556</v>
      </c>
      <c r="M107" s="8">
        <f>IFERROR(__xludf.DUMMYFUNCTION("""COMPUTED_VALUE"""),0.3090277777777778)</f>
        <v>0.3090277778</v>
      </c>
      <c r="N107" s="10">
        <f>IFERROR(__xludf.DUMMYFUNCTION("""COMPUTED_VALUE"""),29.0)</f>
        <v>29</v>
      </c>
      <c r="O107" s="27" t="str">
        <f t="shared" si="1"/>
        <v>indoreace4</v>
      </c>
      <c r="P107" s="27">
        <f>vlookup(O107,'Terms and condition'!$F:$H,3,0)/day(eomonth(B107,0))</f>
        <v>806.4516129</v>
      </c>
      <c r="Q107" s="27">
        <f t="shared" si="8"/>
        <v>31</v>
      </c>
      <c r="R107" s="27">
        <f t="shared" si="2"/>
        <v>1063</v>
      </c>
      <c r="S107" s="27">
        <f t="shared" si="3"/>
        <v>16.25806452</v>
      </c>
      <c r="T107" s="27">
        <f t="shared" si="4"/>
        <v>32.25806452</v>
      </c>
      <c r="U107" s="28">
        <v>0.0</v>
      </c>
      <c r="V107" s="27">
        <f t="shared" si="5"/>
        <v>0</v>
      </c>
      <c r="W107" s="29">
        <f t="shared" si="6"/>
        <v>0</v>
      </c>
      <c r="X107" s="30">
        <f t="shared" si="7"/>
        <v>854.9677419</v>
      </c>
    </row>
    <row r="108">
      <c r="A108" s="3">
        <f>IFERROR(__xludf.DUMMYFUNCTION("""COMPUTED_VALUE"""),101.0)</f>
        <v>101</v>
      </c>
      <c r="B108" s="4">
        <f>IFERROR(__xludf.DUMMYFUNCTION("""COMPUTED_VALUE"""),45583.0)</f>
        <v>45583</v>
      </c>
      <c r="C108" s="3" t="str">
        <f>IFERROR(__xludf.DUMMYFUNCTION("""COMPUTED_VALUE"""),"INDORE")</f>
        <v>INDORE</v>
      </c>
      <c r="D108" s="5" t="str">
        <f>IFERROR(__xludf.DUMMYFUNCTION("""COMPUTED_VALUE"""),"SLK8")</f>
        <v>SLK8</v>
      </c>
      <c r="E108" s="6" t="str">
        <f>IFERROR(__xludf.DUMMYFUNCTION("""COMPUTED_VALUE"""),"ALPHABETZ SERVICES")</f>
        <v>ALPHABETZ SERVICES</v>
      </c>
      <c r="F108" s="6" t="str">
        <f>IFERROR(__xludf.DUMMYFUNCTION("""COMPUTED_VALUE"""),"MP04LD5601")</f>
        <v>MP04LD5601</v>
      </c>
      <c r="G108" s="6" t="str">
        <f>IFERROR(__xludf.DUMMYFUNCTION("""COMPUTED_VALUE"""),"ACE")</f>
        <v>ACE</v>
      </c>
      <c r="H108" s="6" t="str">
        <f>IFERROR(__xludf.DUMMYFUNCTION("""COMPUTED_VALUE"""),"DIESEL")</f>
        <v>DIESEL</v>
      </c>
      <c r="I108" s="6">
        <f>IFERROR(__xludf.DUMMYFUNCTION("""COMPUTED_VALUE"""),4.0)</f>
        <v>4</v>
      </c>
      <c r="J108" s="8">
        <f>IFERROR(__xludf.DUMMYFUNCTION("""COMPUTED_VALUE"""),0.12777777777777777)</f>
        <v>0.1277777778</v>
      </c>
      <c r="K108" s="8">
        <f>IFERROR(__xludf.DUMMYFUNCTION("""COMPUTED_VALUE"""),0.13819444444444445)</f>
        <v>0.1381944444</v>
      </c>
      <c r="L108" s="8">
        <f>IFERROR(__xludf.DUMMYFUNCTION("""COMPUTED_VALUE"""),0.29583333333333334)</f>
        <v>0.2958333333</v>
      </c>
      <c r="M108" s="8">
        <f>IFERROR(__xludf.DUMMYFUNCTION("""COMPUTED_VALUE"""),0.2986111111111111)</f>
        <v>0.2986111111</v>
      </c>
      <c r="N108" s="10">
        <f>IFERROR(__xludf.DUMMYFUNCTION("""COMPUTED_VALUE"""),49.0)</f>
        <v>49</v>
      </c>
      <c r="O108" s="27" t="str">
        <f t="shared" si="1"/>
        <v>indoreace4</v>
      </c>
      <c r="P108" s="27">
        <f>vlookup(O108,'Terms and condition'!$F:$H,3,0)/day(eomonth(B108,0))</f>
        <v>806.4516129</v>
      </c>
      <c r="Q108" s="27">
        <f t="shared" si="8"/>
        <v>12</v>
      </c>
      <c r="R108" s="27">
        <f t="shared" si="2"/>
        <v>580</v>
      </c>
      <c r="S108" s="27">
        <f t="shared" si="3"/>
        <v>0</v>
      </c>
      <c r="T108" s="27">
        <f t="shared" si="4"/>
        <v>0</v>
      </c>
      <c r="U108" s="28">
        <v>0.0</v>
      </c>
      <c r="V108" s="27">
        <f t="shared" si="5"/>
        <v>0</v>
      </c>
      <c r="W108" s="29">
        <f t="shared" si="6"/>
        <v>0</v>
      </c>
      <c r="X108" s="30">
        <f t="shared" si="7"/>
        <v>806.4516129</v>
      </c>
    </row>
    <row r="109">
      <c r="A109" s="3">
        <f>IFERROR(__xludf.DUMMYFUNCTION("""COMPUTED_VALUE"""),102.0)</f>
        <v>102</v>
      </c>
      <c r="B109" s="4">
        <f>IFERROR(__xludf.DUMMYFUNCTION("""COMPUTED_VALUE"""),45583.0)</f>
        <v>45583</v>
      </c>
      <c r="C109" s="3" t="str">
        <f>IFERROR(__xludf.DUMMYFUNCTION("""COMPUTED_VALUE"""),"INDORE")</f>
        <v>INDORE</v>
      </c>
      <c r="D109" s="5" t="str">
        <f>IFERROR(__xludf.DUMMYFUNCTION("""COMPUTED_VALUE"""),"SLK8")</f>
        <v>SLK8</v>
      </c>
      <c r="E109" s="6" t="str">
        <f>IFERROR(__xludf.DUMMYFUNCTION("""COMPUTED_VALUE"""),"ALPHABETZ SERVICES")</f>
        <v>ALPHABETZ SERVICES</v>
      </c>
      <c r="F109" s="6" t="str">
        <f>IFERROR(__xludf.DUMMYFUNCTION("""COMPUTED_VALUE"""),"MP09ZV0375")</f>
        <v>MP09ZV0375</v>
      </c>
      <c r="G109" s="6" t="str">
        <f>IFERROR(__xludf.DUMMYFUNCTION("""COMPUTED_VALUE"""),"ACE")</f>
        <v>ACE</v>
      </c>
      <c r="H109" s="6" t="str">
        <f>IFERROR(__xludf.DUMMYFUNCTION("""COMPUTED_VALUE"""),"DIESEL")</f>
        <v>DIESEL</v>
      </c>
      <c r="I109" s="6">
        <f>IFERROR(__xludf.DUMMYFUNCTION("""COMPUTED_VALUE"""),4.0)</f>
        <v>4</v>
      </c>
      <c r="J109" s="8">
        <f>IFERROR(__xludf.DUMMYFUNCTION("""COMPUTED_VALUE"""),0.12916666666666668)</f>
        <v>0.1291666667</v>
      </c>
      <c r="K109" s="8">
        <f>IFERROR(__xludf.DUMMYFUNCTION("""COMPUTED_VALUE"""),0.14444444444444443)</f>
        <v>0.1444444444</v>
      </c>
      <c r="L109" s="8">
        <f>IFERROR(__xludf.DUMMYFUNCTION("""COMPUTED_VALUE"""),0.29930555555555555)</f>
        <v>0.2993055556</v>
      </c>
      <c r="M109" s="8">
        <f>IFERROR(__xludf.DUMMYFUNCTION("""COMPUTED_VALUE"""),0.3020833333333333)</f>
        <v>0.3020833333</v>
      </c>
      <c r="N109" s="10">
        <f>IFERROR(__xludf.DUMMYFUNCTION("""COMPUTED_VALUE"""),31.0)</f>
        <v>31</v>
      </c>
      <c r="O109" s="27" t="str">
        <f t="shared" si="1"/>
        <v>indoreace4</v>
      </c>
      <c r="P109" s="27">
        <f>vlookup(O109,'Terms and condition'!$F:$H,3,0)/day(eomonth(B109,0))</f>
        <v>806.4516129</v>
      </c>
      <c r="Q109" s="27">
        <f t="shared" si="8"/>
        <v>26</v>
      </c>
      <c r="R109" s="27">
        <f t="shared" si="2"/>
        <v>802</v>
      </c>
      <c r="S109" s="27">
        <f t="shared" si="3"/>
        <v>0</v>
      </c>
      <c r="T109" s="27">
        <f t="shared" si="4"/>
        <v>0</v>
      </c>
      <c r="U109" s="28">
        <v>0.0</v>
      </c>
      <c r="V109" s="27">
        <f t="shared" si="5"/>
        <v>0</v>
      </c>
      <c r="W109" s="29">
        <f t="shared" si="6"/>
        <v>0</v>
      </c>
      <c r="X109" s="30">
        <f t="shared" si="7"/>
        <v>806.4516129</v>
      </c>
    </row>
    <row r="110">
      <c r="A110" s="3">
        <f>IFERROR(__xludf.DUMMYFUNCTION("""COMPUTED_VALUE"""),103.0)</f>
        <v>103</v>
      </c>
      <c r="B110" s="4">
        <f>IFERROR(__xludf.DUMMYFUNCTION("""COMPUTED_VALUE"""),45584.0)</f>
        <v>45584</v>
      </c>
      <c r="C110" s="3" t="str">
        <f>IFERROR(__xludf.DUMMYFUNCTION("""COMPUTED_VALUE"""),"INDORE")</f>
        <v>INDORE</v>
      </c>
      <c r="D110" s="5" t="str">
        <f>IFERROR(__xludf.DUMMYFUNCTION("""COMPUTED_VALUE"""),"SLK8")</f>
        <v>SLK8</v>
      </c>
      <c r="E110" s="6" t="str">
        <f>IFERROR(__xludf.DUMMYFUNCTION("""COMPUTED_VALUE"""),"ALPHABETZ SERVICES")</f>
        <v>ALPHABETZ SERVICES</v>
      </c>
      <c r="F110" s="6" t="str">
        <f>IFERROR(__xludf.DUMMYFUNCTION("""COMPUTED_VALUE"""),"MP09LP8407")</f>
        <v>MP09LP8407</v>
      </c>
      <c r="G110" s="6" t="str">
        <f>IFERROR(__xludf.DUMMYFUNCTION("""COMPUTED_VALUE"""),"ACE")</f>
        <v>ACE</v>
      </c>
      <c r="H110" s="6" t="str">
        <f>IFERROR(__xludf.DUMMYFUNCTION("""COMPUTED_VALUE"""),"DIESEL")</f>
        <v>DIESEL</v>
      </c>
      <c r="I110" s="6">
        <f>IFERROR(__xludf.DUMMYFUNCTION("""COMPUTED_VALUE"""),4.0)</f>
        <v>4</v>
      </c>
      <c r="J110" s="8">
        <f>IFERROR(__xludf.DUMMYFUNCTION("""COMPUTED_VALUE"""),0.125)</f>
        <v>0.125</v>
      </c>
      <c r="K110" s="8">
        <f>IFERROR(__xludf.DUMMYFUNCTION("""COMPUTED_VALUE"""),0.13194444444444445)</f>
        <v>0.1319444444</v>
      </c>
      <c r="L110" s="8">
        <f>IFERROR(__xludf.DUMMYFUNCTION("""COMPUTED_VALUE"""),0.2986111111111111)</f>
        <v>0.2986111111</v>
      </c>
      <c r="M110" s="8">
        <f>IFERROR(__xludf.DUMMYFUNCTION("""COMPUTED_VALUE"""),0.3020833333333333)</f>
        <v>0.3020833333</v>
      </c>
      <c r="N110" s="10">
        <f>IFERROR(__xludf.DUMMYFUNCTION("""COMPUTED_VALUE"""),29.0)</f>
        <v>29</v>
      </c>
      <c r="O110" s="27" t="str">
        <f t="shared" si="1"/>
        <v>indoreace4</v>
      </c>
      <c r="P110" s="27">
        <f>vlookup(O110,'Terms and condition'!$F:$H,3,0)/day(eomonth(B110,0))</f>
        <v>806.4516129</v>
      </c>
      <c r="Q110" s="27">
        <f t="shared" si="8"/>
        <v>31</v>
      </c>
      <c r="R110" s="27">
        <f t="shared" si="2"/>
        <v>1063</v>
      </c>
      <c r="S110" s="27">
        <f t="shared" si="3"/>
        <v>16.25806452</v>
      </c>
      <c r="T110" s="27">
        <f t="shared" si="4"/>
        <v>32.25806452</v>
      </c>
      <c r="U110" s="28">
        <v>0.0</v>
      </c>
      <c r="V110" s="27">
        <f t="shared" si="5"/>
        <v>0</v>
      </c>
      <c r="W110" s="29">
        <f t="shared" si="6"/>
        <v>0</v>
      </c>
      <c r="X110" s="30">
        <f t="shared" si="7"/>
        <v>854.9677419</v>
      </c>
    </row>
    <row r="111">
      <c r="A111" s="3">
        <f>IFERROR(__xludf.DUMMYFUNCTION("""COMPUTED_VALUE"""),104.0)</f>
        <v>104</v>
      </c>
      <c r="B111" s="4">
        <f>IFERROR(__xludf.DUMMYFUNCTION("""COMPUTED_VALUE"""),45584.0)</f>
        <v>45584</v>
      </c>
      <c r="C111" s="3" t="str">
        <f>IFERROR(__xludf.DUMMYFUNCTION("""COMPUTED_VALUE"""),"INDORE")</f>
        <v>INDORE</v>
      </c>
      <c r="D111" s="5" t="str">
        <f>IFERROR(__xludf.DUMMYFUNCTION("""COMPUTED_VALUE"""),"SLK8")</f>
        <v>SLK8</v>
      </c>
      <c r="E111" s="6" t="str">
        <f>IFERROR(__xludf.DUMMYFUNCTION("""COMPUTED_VALUE"""),"ALPHABETZ SERVICES")</f>
        <v>ALPHABETZ SERVICES</v>
      </c>
      <c r="F111" s="6" t="str">
        <f>IFERROR(__xludf.DUMMYFUNCTION("""COMPUTED_VALUE"""),"MP54L0316")</f>
        <v>MP54L0316</v>
      </c>
      <c r="G111" s="6" t="str">
        <f>IFERROR(__xludf.DUMMYFUNCTION("""COMPUTED_VALUE"""),"ACE")</f>
        <v>ACE</v>
      </c>
      <c r="H111" s="6" t="str">
        <f>IFERROR(__xludf.DUMMYFUNCTION("""COMPUTED_VALUE"""),"DIESEL")</f>
        <v>DIESEL</v>
      </c>
      <c r="I111" s="6">
        <f>IFERROR(__xludf.DUMMYFUNCTION("""COMPUTED_VALUE"""),4.0)</f>
        <v>4</v>
      </c>
      <c r="J111" s="8">
        <f>IFERROR(__xludf.DUMMYFUNCTION("""COMPUTED_VALUE"""),0.125)</f>
        <v>0.125</v>
      </c>
      <c r="K111" s="8">
        <f>IFERROR(__xludf.DUMMYFUNCTION("""COMPUTED_VALUE"""),0.13333333333333333)</f>
        <v>0.1333333333</v>
      </c>
      <c r="L111" s="8">
        <f>IFERROR(__xludf.DUMMYFUNCTION("""COMPUTED_VALUE"""),0.3055555555555556)</f>
        <v>0.3055555556</v>
      </c>
      <c r="M111" s="8">
        <f>IFERROR(__xludf.DUMMYFUNCTION("""COMPUTED_VALUE"""),0.3090277777777778)</f>
        <v>0.3090277778</v>
      </c>
      <c r="N111" s="10">
        <f>IFERROR(__xludf.DUMMYFUNCTION("""COMPUTED_VALUE"""),43.0)</f>
        <v>43</v>
      </c>
      <c r="O111" s="27" t="str">
        <f t="shared" si="1"/>
        <v>indoreace4</v>
      </c>
      <c r="P111" s="27">
        <f>vlookup(O111,'Terms and condition'!$F:$H,3,0)/day(eomonth(B111,0))</f>
        <v>806.4516129</v>
      </c>
      <c r="Q111" s="27">
        <f t="shared" si="8"/>
        <v>31</v>
      </c>
      <c r="R111" s="27">
        <f t="shared" si="2"/>
        <v>1390</v>
      </c>
      <c r="S111" s="27">
        <f t="shared" si="3"/>
        <v>100.6451613</v>
      </c>
      <c r="T111" s="27">
        <f t="shared" si="4"/>
        <v>32.25806452</v>
      </c>
      <c r="U111" s="28">
        <v>0.0</v>
      </c>
      <c r="V111" s="27">
        <f t="shared" si="5"/>
        <v>0</v>
      </c>
      <c r="W111" s="29">
        <f t="shared" si="6"/>
        <v>0</v>
      </c>
      <c r="X111" s="30">
        <f t="shared" si="7"/>
        <v>939.3548387</v>
      </c>
    </row>
    <row r="112">
      <c r="A112" s="3">
        <f>IFERROR(__xludf.DUMMYFUNCTION("""COMPUTED_VALUE"""),105.0)</f>
        <v>105</v>
      </c>
      <c r="B112" s="4">
        <f>IFERROR(__xludf.DUMMYFUNCTION("""COMPUTED_VALUE"""),45584.0)</f>
        <v>45584</v>
      </c>
      <c r="C112" s="3" t="str">
        <f>IFERROR(__xludf.DUMMYFUNCTION("""COMPUTED_VALUE"""),"INDORE")</f>
        <v>INDORE</v>
      </c>
      <c r="D112" s="5" t="str">
        <f>IFERROR(__xludf.DUMMYFUNCTION("""COMPUTED_VALUE"""),"SLK8")</f>
        <v>SLK8</v>
      </c>
      <c r="E112" s="6" t="str">
        <f>IFERROR(__xludf.DUMMYFUNCTION("""COMPUTED_VALUE"""),"ALPHABETZ SERVICES")</f>
        <v>ALPHABETZ SERVICES</v>
      </c>
      <c r="F112" s="6" t="str">
        <f>IFERROR(__xludf.DUMMYFUNCTION("""COMPUTED_VALUE"""),"MP09LR7355")</f>
        <v>MP09LR7355</v>
      </c>
      <c r="G112" s="6" t="str">
        <f>IFERROR(__xludf.DUMMYFUNCTION("""COMPUTED_VALUE"""),"ACE")</f>
        <v>ACE</v>
      </c>
      <c r="H112" s="6" t="str">
        <f>IFERROR(__xludf.DUMMYFUNCTION("""COMPUTED_VALUE"""),"DIESEL")</f>
        <v>DIESEL</v>
      </c>
      <c r="I112" s="6">
        <f>IFERROR(__xludf.DUMMYFUNCTION("""COMPUTED_VALUE"""),4.0)</f>
        <v>4</v>
      </c>
      <c r="J112" s="8">
        <f>IFERROR(__xludf.DUMMYFUNCTION("""COMPUTED_VALUE"""),0.125)</f>
        <v>0.125</v>
      </c>
      <c r="K112" s="8">
        <f>IFERROR(__xludf.DUMMYFUNCTION("""COMPUTED_VALUE"""),0.13472222222222222)</f>
        <v>0.1347222222</v>
      </c>
      <c r="L112" s="8">
        <f>IFERROR(__xludf.DUMMYFUNCTION("""COMPUTED_VALUE"""),0.3194444444444444)</f>
        <v>0.3194444444</v>
      </c>
      <c r="M112" s="8">
        <f>IFERROR(__xludf.DUMMYFUNCTION("""COMPUTED_VALUE"""),0.3229166666666667)</f>
        <v>0.3229166667</v>
      </c>
      <c r="N112" s="10">
        <f>IFERROR(__xludf.DUMMYFUNCTION("""COMPUTED_VALUE"""),47.0)</f>
        <v>47</v>
      </c>
      <c r="O112" s="27" t="str">
        <f t="shared" si="1"/>
        <v>indoreace4</v>
      </c>
      <c r="P112" s="27">
        <f>vlookup(O112,'Terms and condition'!$F:$H,3,0)/day(eomonth(B112,0))</f>
        <v>806.4516129</v>
      </c>
      <c r="Q112" s="27">
        <f t="shared" si="8"/>
        <v>30</v>
      </c>
      <c r="R112" s="27">
        <f t="shared" si="2"/>
        <v>1436</v>
      </c>
      <c r="S112" s="27">
        <f t="shared" si="3"/>
        <v>116.2666667</v>
      </c>
      <c r="T112" s="27">
        <f t="shared" si="4"/>
        <v>0</v>
      </c>
      <c r="U112" s="28">
        <v>0.0</v>
      </c>
      <c r="V112" s="27">
        <f t="shared" si="5"/>
        <v>0</v>
      </c>
      <c r="W112" s="29">
        <f t="shared" si="6"/>
        <v>0</v>
      </c>
      <c r="X112" s="30">
        <f t="shared" si="7"/>
        <v>922.7182796</v>
      </c>
    </row>
    <row r="113">
      <c r="A113" s="3">
        <f>IFERROR(__xludf.DUMMYFUNCTION("""COMPUTED_VALUE"""),106.0)</f>
        <v>106</v>
      </c>
      <c r="B113" s="4">
        <f>IFERROR(__xludf.DUMMYFUNCTION("""COMPUTED_VALUE"""),45584.0)</f>
        <v>45584</v>
      </c>
      <c r="C113" s="3" t="str">
        <f>IFERROR(__xludf.DUMMYFUNCTION("""COMPUTED_VALUE"""),"INDORE")</f>
        <v>INDORE</v>
      </c>
      <c r="D113" s="5" t="str">
        <f>IFERROR(__xludf.DUMMYFUNCTION("""COMPUTED_VALUE"""),"SLK8")</f>
        <v>SLK8</v>
      </c>
      <c r="E113" s="6" t="str">
        <f>IFERROR(__xludf.DUMMYFUNCTION("""COMPUTED_VALUE"""),"ALPHABETZ SERVICES")</f>
        <v>ALPHABETZ SERVICES</v>
      </c>
      <c r="F113" s="6" t="str">
        <f>IFERROR(__xludf.DUMMYFUNCTION("""COMPUTED_VALUE"""),"MP09ZY2923")</f>
        <v>MP09ZY2923</v>
      </c>
      <c r="G113" s="6" t="str">
        <f>IFERROR(__xludf.DUMMYFUNCTION("""COMPUTED_VALUE"""),"ACE")</f>
        <v>ACE</v>
      </c>
      <c r="H113" s="6" t="str">
        <f>IFERROR(__xludf.DUMMYFUNCTION("""COMPUTED_VALUE"""),"DIESEL")</f>
        <v>DIESEL</v>
      </c>
      <c r="I113" s="6">
        <f>IFERROR(__xludf.DUMMYFUNCTION("""COMPUTED_VALUE"""),4.0)</f>
        <v>4</v>
      </c>
      <c r="J113" s="8">
        <f>IFERROR(__xludf.DUMMYFUNCTION("""COMPUTED_VALUE"""),0.12638888888888888)</f>
        <v>0.1263888889</v>
      </c>
      <c r="K113" s="8">
        <f>IFERROR(__xludf.DUMMYFUNCTION("""COMPUTED_VALUE"""),0.13680555555555557)</f>
        <v>0.1368055556</v>
      </c>
      <c r="L113" s="8">
        <f>IFERROR(__xludf.DUMMYFUNCTION("""COMPUTED_VALUE"""),0.3263888888888889)</f>
        <v>0.3263888889</v>
      </c>
      <c r="M113" s="8">
        <f>IFERROR(__xludf.DUMMYFUNCTION("""COMPUTED_VALUE"""),0.3298611111111111)</f>
        <v>0.3298611111</v>
      </c>
      <c r="N113" s="10">
        <f>IFERROR(__xludf.DUMMYFUNCTION("""COMPUTED_VALUE"""),33.0)</f>
        <v>33</v>
      </c>
      <c r="O113" s="27" t="str">
        <f t="shared" si="1"/>
        <v>indoreace4</v>
      </c>
      <c r="P113" s="27">
        <f>vlookup(O113,'Terms and condition'!$F:$H,3,0)/day(eomonth(B113,0))</f>
        <v>806.4516129</v>
      </c>
      <c r="Q113" s="27">
        <f t="shared" si="8"/>
        <v>31</v>
      </c>
      <c r="R113" s="27">
        <f t="shared" si="2"/>
        <v>988</v>
      </c>
      <c r="S113" s="27">
        <f t="shared" si="3"/>
        <v>0</v>
      </c>
      <c r="T113" s="27">
        <f t="shared" si="4"/>
        <v>32.25806452</v>
      </c>
      <c r="U113" s="28">
        <v>0.0</v>
      </c>
      <c r="V113" s="27">
        <f t="shared" si="5"/>
        <v>0</v>
      </c>
      <c r="W113" s="29">
        <f t="shared" si="6"/>
        <v>0</v>
      </c>
      <c r="X113" s="30">
        <f t="shared" si="7"/>
        <v>838.7096774</v>
      </c>
    </row>
    <row r="114">
      <c r="A114" s="3">
        <f>IFERROR(__xludf.DUMMYFUNCTION("""COMPUTED_VALUE"""),107.0)</f>
        <v>107</v>
      </c>
      <c r="B114" s="4">
        <f>IFERROR(__xludf.DUMMYFUNCTION("""COMPUTED_VALUE"""),45584.0)</f>
        <v>45584</v>
      </c>
      <c r="C114" s="3" t="str">
        <f>IFERROR(__xludf.DUMMYFUNCTION("""COMPUTED_VALUE"""),"INDORE")</f>
        <v>INDORE</v>
      </c>
      <c r="D114" s="5" t="str">
        <f>IFERROR(__xludf.DUMMYFUNCTION("""COMPUTED_VALUE"""),"SLK8")</f>
        <v>SLK8</v>
      </c>
      <c r="E114" s="6" t="str">
        <f>IFERROR(__xludf.DUMMYFUNCTION("""COMPUTED_VALUE"""),"ALPHABETZ SERVICES")</f>
        <v>ALPHABETZ SERVICES</v>
      </c>
      <c r="F114" s="6" t="str">
        <f>IFERROR(__xludf.DUMMYFUNCTION("""COMPUTED_VALUE"""),"MP09ZV0375")</f>
        <v>MP09ZV0375</v>
      </c>
      <c r="G114" s="6" t="str">
        <f>IFERROR(__xludf.DUMMYFUNCTION("""COMPUTED_VALUE"""),"ACE")</f>
        <v>ACE</v>
      </c>
      <c r="H114" s="6" t="str">
        <f>IFERROR(__xludf.DUMMYFUNCTION("""COMPUTED_VALUE"""),"DIESEL")</f>
        <v>DIESEL</v>
      </c>
      <c r="I114" s="6">
        <f>IFERROR(__xludf.DUMMYFUNCTION("""COMPUTED_VALUE"""),4.0)</f>
        <v>4</v>
      </c>
      <c r="J114" s="8">
        <f>IFERROR(__xludf.DUMMYFUNCTION("""COMPUTED_VALUE"""),0.1284722222222222)</f>
        <v>0.1284722222</v>
      </c>
      <c r="K114" s="8">
        <f>IFERROR(__xludf.DUMMYFUNCTION("""COMPUTED_VALUE"""),0.13819444444444445)</f>
        <v>0.1381944444</v>
      </c>
      <c r="L114" s="8">
        <f>IFERROR(__xludf.DUMMYFUNCTION("""COMPUTED_VALUE"""),0.3076388888888889)</f>
        <v>0.3076388889</v>
      </c>
      <c r="M114" s="8">
        <f>IFERROR(__xludf.DUMMYFUNCTION("""COMPUTED_VALUE"""),0.3104166666666667)</f>
        <v>0.3104166667</v>
      </c>
      <c r="N114" s="10">
        <f>IFERROR(__xludf.DUMMYFUNCTION("""COMPUTED_VALUE"""),31.0)</f>
        <v>31</v>
      </c>
      <c r="O114" s="27" t="str">
        <f t="shared" si="1"/>
        <v>indoreace4</v>
      </c>
      <c r="P114" s="27">
        <f>vlookup(O114,'Terms and condition'!$F:$H,3,0)/day(eomonth(B114,0))</f>
        <v>806.4516129</v>
      </c>
      <c r="Q114" s="27">
        <f t="shared" si="8"/>
        <v>26</v>
      </c>
      <c r="R114" s="27">
        <f t="shared" si="2"/>
        <v>802</v>
      </c>
      <c r="S114" s="27">
        <f t="shared" si="3"/>
        <v>0</v>
      </c>
      <c r="T114" s="27">
        <f t="shared" si="4"/>
        <v>0</v>
      </c>
      <c r="U114" s="28">
        <v>0.0</v>
      </c>
      <c r="V114" s="27">
        <f t="shared" si="5"/>
        <v>0</v>
      </c>
      <c r="W114" s="29">
        <f t="shared" si="6"/>
        <v>0</v>
      </c>
      <c r="X114" s="30">
        <f t="shared" si="7"/>
        <v>806.4516129</v>
      </c>
    </row>
    <row r="115">
      <c r="A115" s="3">
        <f>IFERROR(__xludf.DUMMYFUNCTION("""COMPUTED_VALUE"""),108.0)</f>
        <v>108</v>
      </c>
      <c r="B115" s="4">
        <f>IFERROR(__xludf.DUMMYFUNCTION("""COMPUTED_VALUE"""),45584.0)</f>
        <v>45584</v>
      </c>
      <c r="C115" s="3" t="str">
        <f>IFERROR(__xludf.DUMMYFUNCTION("""COMPUTED_VALUE"""),"INDORE")</f>
        <v>INDORE</v>
      </c>
      <c r="D115" s="5" t="str">
        <f>IFERROR(__xludf.DUMMYFUNCTION("""COMPUTED_VALUE"""),"SLK8")</f>
        <v>SLK8</v>
      </c>
      <c r="E115" s="6" t="str">
        <f>IFERROR(__xludf.DUMMYFUNCTION("""COMPUTED_VALUE"""),"ALPHABETZ SERVICES")</f>
        <v>ALPHABETZ SERVICES</v>
      </c>
      <c r="F115" s="6" t="str">
        <f>IFERROR(__xludf.DUMMYFUNCTION("""COMPUTED_VALUE"""),"MP09ZZ6272")</f>
        <v>MP09ZZ6272</v>
      </c>
      <c r="G115" s="6" t="str">
        <f>IFERROR(__xludf.DUMMYFUNCTION("""COMPUTED_VALUE"""),"ACE")</f>
        <v>ACE</v>
      </c>
      <c r="H115" s="6" t="str">
        <f>IFERROR(__xludf.DUMMYFUNCTION("""COMPUTED_VALUE"""),"DIESEL")</f>
        <v>DIESEL</v>
      </c>
      <c r="I115" s="6">
        <f>IFERROR(__xludf.DUMMYFUNCTION("""COMPUTED_VALUE"""),4.0)</f>
        <v>4</v>
      </c>
      <c r="J115" s="8">
        <f>IFERROR(__xludf.DUMMYFUNCTION("""COMPUTED_VALUE"""),0.13194444444444445)</f>
        <v>0.1319444444</v>
      </c>
      <c r="K115" s="8">
        <f>IFERROR(__xludf.DUMMYFUNCTION("""COMPUTED_VALUE"""),0.14305555555555555)</f>
        <v>0.1430555556</v>
      </c>
      <c r="L115" s="8">
        <f>IFERROR(__xludf.DUMMYFUNCTION("""COMPUTED_VALUE"""),0.31319444444444444)</f>
        <v>0.3131944444</v>
      </c>
      <c r="M115" s="8">
        <f>IFERROR(__xludf.DUMMYFUNCTION("""COMPUTED_VALUE"""),0.2986111111111111)</f>
        <v>0.2986111111</v>
      </c>
      <c r="N115" s="10">
        <f>IFERROR(__xludf.DUMMYFUNCTION("""COMPUTED_VALUE"""),47.0)</f>
        <v>47</v>
      </c>
      <c r="O115" s="27" t="str">
        <f t="shared" si="1"/>
        <v>indoreace4</v>
      </c>
      <c r="P115" s="27">
        <f>vlookup(O115,'Terms and condition'!$F:$H,3,0)/day(eomonth(B115,0))</f>
        <v>806.4516129</v>
      </c>
      <c r="Q115" s="27">
        <f t="shared" si="8"/>
        <v>21</v>
      </c>
      <c r="R115" s="27">
        <f t="shared" si="2"/>
        <v>953</v>
      </c>
      <c r="S115" s="27">
        <f t="shared" si="3"/>
        <v>0</v>
      </c>
      <c r="T115" s="27">
        <f t="shared" si="4"/>
        <v>0</v>
      </c>
      <c r="U115" s="28">
        <v>0.0</v>
      </c>
      <c r="V115" s="27">
        <f t="shared" si="5"/>
        <v>0</v>
      </c>
      <c r="W115" s="29">
        <f t="shared" si="6"/>
        <v>0</v>
      </c>
      <c r="X115" s="30">
        <f t="shared" si="7"/>
        <v>806.4516129</v>
      </c>
    </row>
    <row r="116">
      <c r="A116" s="3">
        <f>IFERROR(__xludf.DUMMYFUNCTION("""COMPUTED_VALUE"""),109.0)</f>
        <v>109</v>
      </c>
      <c r="B116" s="4">
        <f>IFERROR(__xludf.DUMMYFUNCTION("""COMPUTED_VALUE"""),45585.0)</f>
        <v>45585</v>
      </c>
      <c r="C116" s="3" t="str">
        <f>IFERROR(__xludf.DUMMYFUNCTION("""COMPUTED_VALUE"""),"INDORE")</f>
        <v>INDORE</v>
      </c>
      <c r="D116" s="5" t="str">
        <f>IFERROR(__xludf.DUMMYFUNCTION("""COMPUTED_VALUE"""),"SLK8")</f>
        <v>SLK8</v>
      </c>
      <c r="E116" s="6" t="str">
        <f>IFERROR(__xludf.DUMMYFUNCTION("""COMPUTED_VALUE"""),"ALPHABETZ SERVICES")</f>
        <v>ALPHABETZ SERVICES</v>
      </c>
      <c r="F116" s="6" t="str">
        <f>IFERROR(__xludf.DUMMYFUNCTION("""COMPUTED_VALUE"""),"MP09LR7355")</f>
        <v>MP09LR7355</v>
      </c>
      <c r="G116" s="6" t="str">
        <f>IFERROR(__xludf.DUMMYFUNCTION("""COMPUTED_VALUE"""),"ACE")</f>
        <v>ACE</v>
      </c>
      <c r="H116" s="6" t="str">
        <f>IFERROR(__xludf.DUMMYFUNCTION("""COMPUTED_VALUE"""),"DIESEL")</f>
        <v>DIESEL</v>
      </c>
      <c r="I116" s="6">
        <f>IFERROR(__xludf.DUMMYFUNCTION("""COMPUTED_VALUE"""),4.0)</f>
        <v>4</v>
      </c>
      <c r="J116" s="8">
        <f>IFERROR(__xludf.DUMMYFUNCTION("""COMPUTED_VALUE"""),0.125)</f>
        <v>0.125</v>
      </c>
      <c r="K116" s="8">
        <f>IFERROR(__xludf.DUMMYFUNCTION("""COMPUTED_VALUE"""),0.13194444444444445)</f>
        <v>0.1319444444</v>
      </c>
      <c r="L116" s="8">
        <f>IFERROR(__xludf.DUMMYFUNCTION("""COMPUTED_VALUE"""),0.2951388888888889)</f>
        <v>0.2951388889</v>
      </c>
      <c r="M116" s="8">
        <f>IFERROR(__xludf.DUMMYFUNCTION("""COMPUTED_VALUE"""),0.2986111111111111)</f>
        <v>0.2986111111</v>
      </c>
      <c r="N116" s="10">
        <f>IFERROR(__xludf.DUMMYFUNCTION("""COMPUTED_VALUE"""),51.0)</f>
        <v>51</v>
      </c>
      <c r="O116" s="27" t="str">
        <f t="shared" si="1"/>
        <v>indoreace4</v>
      </c>
      <c r="P116" s="27">
        <f>vlookup(O116,'Terms and condition'!$F:$H,3,0)/day(eomonth(B116,0))</f>
        <v>806.4516129</v>
      </c>
      <c r="Q116" s="27">
        <f t="shared" si="8"/>
        <v>30</v>
      </c>
      <c r="R116" s="27">
        <f t="shared" si="2"/>
        <v>1436</v>
      </c>
      <c r="S116" s="27">
        <f t="shared" si="3"/>
        <v>116.2666667</v>
      </c>
      <c r="T116" s="27">
        <f t="shared" si="4"/>
        <v>0</v>
      </c>
      <c r="U116" s="28">
        <v>0.0</v>
      </c>
      <c r="V116" s="27">
        <f t="shared" si="5"/>
        <v>0</v>
      </c>
      <c r="W116" s="29">
        <f t="shared" si="6"/>
        <v>0</v>
      </c>
      <c r="X116" s="30">
        <f t="shared" si="7"/>
        <v>922.7182796</v>
      </c>
    </row>
    <row r="117">
      <c r="A117" s="3">
        <f>IFERROR(__xludf.DUMMYFUNCTION("""COMPUTED_VALUE"""),110.0)</f>
        <v>110</v>
      </c>
      <c r="B117" s="4">
        <f>IFERROR(__xludf.DUMMYFUNCTION("""COMPUTED_VALUE"""),45585.0)</f>
        <v>45585</v>
      </c>
      <c r="C117" s="3" t="str">
        <f>IFERROR(__xludf.DUMMYFUNCTION("""COMPUTED_VALUE"""),"INDORE")</f>
        <v>INDORE</v>
      </c>
      <c r="D117" s="5" t="str">
        <f>IFERROR(__xludf.DUMMYFUNCTION("""COMPUTED_VALUE"""),"SLK8")</f>
        <v>SLK8</v>
      </c>
      <c r="E117" s="6" t="str">
        <f>IFERROR(__xludf.DUMMYFUNCTION("""COMPUTED_VALUE"""),"ALPHABETZ SERVICES")</f>
        <v>ALPHABETZ SERVICES</v>
      </c>
      <c r="F117" s="6" t="str">
        <f>IFERROR(__xludf.DUMMYFUNCTION("""COMPUTED_VALUE"""),"MP54L0316")</f>
        <v>MP54L0316</v>
      </c>
      <c r="G117" s="6" t="str">
        <f>IFERROR(__xludf.DUMMYFUNCTION("""COMPUTED_VALUE"""),"ACE")</f>
        <v>ACE</v>
      </c>
      <c r="H117" s="6" t="str">
        <f>IFERROR(__xludf.DUMMYFUNCTION("""COMPUTED_VALUE"""),"DIESEL")</f>
        <v>DIESEL</v>
      </c>
      <c r="I117" s="6">
        <f>IFERROR(__xludf.DUMMYFUNCTION("""COMPUTED_VALUE"""),4.0)</f>
        <v>4</v>
      </c>
      <c r="J117" s="8">
        <f>IFERROR(__xludf.DUMMYFUNCTION("""COMPUTED_VALUE"""),0.12638888888888888)</f>
        <v>0.1263888889</v>
      </c>
      <c r="K117" s="8">
        <f>IFERROR(__xludf.DUMMYFUNCTION("""COMPUTED_VALUE"""),0.13472222222222222)</f>
        <v>0.1347222222</v>
      </c>
      <c r="L117" s="8">
        <f>IFERROR(__xludf.DUMMYFUNCTION("""COMPUTED_VALUE"""),0.3020833333333333)</f>
        <v>0.3020833333</v>
      </c>
      <c r="M117" s="8">
        <f>IFERROR(__xludf.DUMMYFUNCTION("""COMPUTED_VALUE"""),0.3055555555555556)</f>
        <v>0.3055555556</v>
      </c>
      <c r="N117" s="10">
        <f>IFERROR(__xludf.DUMMYFUNCTION("""COMPUTED_VALUE"""),43.0)</f>
        <v>43</v>
      </c>
      <c r="O117" s="27" t="str">
        <f t="shared" si="1"/>
        <v>indoreace4</v>
      </c>
      <c r="P117" s="27">
        <f>vlookup(O117,'Terms and condition'!$F:$H,3,0)/day(eomonth(B117,0))</f>
        <v>806.4516129</v>
      </c>
      <c r="Q117" s="27">
        <f t="shared" si="8"/>
        <v>31</v>
      </c>
      <c r="R117" s="27">
        <f t="shared" si="2"/>
        <v>1390</v>
      </c>
      <c r="S117" s="27">
        <f t="shared" si="3"/>
        <v>100.6451613</v>
      </c>
      <c r="T117" s="27">
        <f t="shared" si="4"/>
        <v>32.25806452</v>
      </c>
      <c r="U117" s="28">
        <v>0.0</v>
      </c>
      <c r="V117" s="27">
        <f t="shared" si="5"/>
        <v>0</v>
      </c>
      <c r="W117" s="29">
        <f t="shared" si="6"/>
        <v>0</v>
      </c>
      <c r="X117" s="30">
        <f t="shared" si="7"/>
        <v>939.3548387</v>
      </c>
    </row>
    <row r="118">
      <c r="A118" s="3">
        <f>IFERROR(__xludf.DUMMYFUNCTION("""COMPUTED_VALUE"""),111.0)</f>
        <v>111</v>
      </c>
      <c r="B118" s="4">
        <f>IFERROR(__xludf.DUMMYFUNCTION("""COMPUTED_VALUE"""),45585.0)</f>
        <v>45585</v>
      </c>
      <c r="C118" s="3" t="str">
        <f>IFERROR(__xludf.DUMMYFUNCTION("""COMPUTED_VALUE"""),"INDORE")</f>
        <v>INDORE</v>
      </c>
      <c r="D118" s="5" t="str">
        <f>IFERROR(__xludf.DUMMYFUNCTION("""COMPUTED_VALUE"""),"SLK8")</f>
        <v>SLK8</v>
      </c>
      <c r="E118" s="6" t="str">
        <f>IFERROR(__xludf.DUMMYFUNCTION("""COMPUTED_VALUE"""),"ALPHABETZ SERVICES")</f>
        <v>ALPHABETZ SERVICES</v>
      </c>
      <c r="F118" s="6" t="str">
        <f>IFERROR(__xludf.DUMMYFUNCTION("""COMPUTED_VALUE"""),"MP09LP8407")</f>
        <v>MP09LP8407</v>
      </c>
      <c r="G118" s="6" t="str">
        <f>IFERROR(__xludf.DUMMYFUNCTION("""COMPUTED_VALUE"""),"ACE")</f>
        <v>ACE</v>
      </c>
      <c r="H118" s="6" t="str">
        <f>IFERROR(__xludf.DUMMYFUNCTION("""COMPUTED_VALUE"""),"DIESEL")</f>
        <v>DIESEL</v>
      </c>
      <c r="I118" s="6">
        <f>IFERROR(__xludf.DUMMYFUNCTION("""COMPUTED_VALUE"""),4.0)</f>
        <v>4</v>
      </c>
      <c r="J118" s="8">
        <f>IFERROR(__xludf.DUMMYFUNCTION("""COMPUTED_VALUE"""),0.1284722222222222)</f>
        <v>0.1284722222</v>
      </c>
      <c r="K118" s="8">
        <f>IFERROR(__xludf.DUMMYFUNCTION("""COMPUTED_VALUE"""),0.13541666666666666)</f>
        <v>0.1354166667</v>
      </c>
      <c r="L118" s="8">
        <f>IFERROR(__xludf.DUMMYFUNCTION("""COMPUTED_VALUE"""),0.2916666666666667)</f>
        <v>0.2916666667</v>
      </c>
      <c r="M118" s="8">
        <f>IFERROR(__xludf.DUMMYFUNCTION("""COMPUTED_VALUE"""),0.3020833333333333)</f>
        <v>0.3020833333</v>
      </c>
      <c r="N118" s="10">
        <f>IFERROR(__xludf.DUMMYFUNCTION("""COMPUTED_VALUE"""),35.0)</f>
        <v>35</v>
      </c>
      <c r="O118" s="27" t="str">
        <f t="shared" si="1"/>
        <v>indoreace4</v>
      </c>
      <c r="P118" s="27">
        <f>vlookup(O118,'Terms and condition'!$F:$H,3,0)/day(eomonth(B118,0))</f>
        <v>806.4516129</v>
      </c>
      <c r="Q118" s="27">
        <f t="shared" si="8"/>
        <v>31</v>
      </c>
      <c r="R118" s="27">
        <f t="shared" si="2"/>
        <v>1063</v>
      </c>
      <c r="S118" s="27">
        <f t="shared" si="3"/>
        <v>16.25806452</v>
      </c>
      <c r="T118" s="27">
        <f t="shared" si="4"/>
        <v>32.25806452</v>
      </c>
      <c r="U118" s="28">
        <v>0.0</v>
      </c>
      <c r="V118" s="27">
        <f t="shared" si="5"/>
        <v>0</v>
      </c>
      <c r="W118" s="29">
        <f t="shared" si="6"/>
        <v>0</v>
      </c>
      <c r="X118" s="30">
        <f t="shared" si="7"/>
        <v>854.9677419</v>
      </c>
    </row>
    <row r="119">
      <c r="A119" s="3">
        <f>IFERROR(__xludf.DUMMYFUNCTION("""COMPUTED_VALUE"""),112.0)</f>
        <v>112</v>
      </c>
      <c r="B119" s="4">
        <f>IFERROR(__xludf.DUMMYFUNCTION("""COMPUTED_VALUE"""),45585.0)</f>
        <v>45585</v>
      </c>
      <c r="C119" s="3" t="str">
        <f>IFERROR(__xludf.DUMMYFUNCTION("""COMPUTED_VALUE"""),"INDORE")</f>
        <v>INDORE</v>
      </c>
      <c r="D119" s="5" t="str">
        <f>IFERROR(__xludf.DUMMYFUNCTION("""COMPUTED_VALUE"""),"SLK8")</f>
        <v>SLK8</v>
      </c>
      <c r="E119" s="6" t="str">
        <f>IFERROR(__xludf.DUMMYFUNCTION("""COMPUTED_VALUE"""),"ALPHABETZ SERVICES")</f>
        <v>ALPHABETZ SERVICES</v>
      </c>
      <c r="F119" s="6" t="str">
        <f>IFERROR(__xludf.DUMMYFUNCTION("""COMPUTED_VALUE"""),"MP09ZY2923")</f>
        <v>MP09ZY2923</v>
      </c>
      <c r="G119" s="6" t="str">
        <f>IFERROR(__xludf.DUMMYFUNCTION("""COMPUTED_VALUE"""),"ACE")</f>
        <v>ACE</v>
      </c>
      <c r="H119" s="6" t="str">
        <f>IFERROR(__xludf.DUMMYFUNCTION("""COMPUTED_VALUE"""),"DIESEL")</f>
        <v>DIESEL</v>
      </c>
      <c r="I119" s="6">
        <f>IFERROR(__xludf.DUMMYFUNCTION("""COMPUTED_VALUE"""),4.0)</f>
        <v>4</v>
      </c>
      <c r="J119" s="8">
        <f>IFERROR(__xludf.DUMMYFUNCTION("""COMPUTED_VALUE"""),0.13194444444444445)</f>
        <v>0.1319444444</v>
      </c>
      <c r="K119" s="8">
        <f>IFERROR(__xludf.DUMMYFUNCTION("""COMPUTED_VALUE"""),0.13819444444444445)</f>
        <v>0.1381944444</v>
      </c>
      <c r="L119" s="8">
        <f>IFERROR(__xludf.DUMMYFUNCTION("""COMPUTED_VALUE"""),0.2986111111111111)</f>
        <v>0.2986111111</v>
      </c>
      <c r="M119" s="8">
        <f>IFERROR(__xludf.DUMMYFUNCTION("""COMPUTED_VALUE"""),0.3)</f>
        <v>0.3</v>
      </c>
      <c r="N119" s="10">
        <f>IFERROR(__xludf.DUMMYFUNCTION("""COMPUTED_VALUE"""),32.0)</f>
        <v>32</v>
      </c>
      <c r="O119" s="27" t="str">
        <f t="shared" si="1"/>
        <v>indoreace4</v>
      </c>
      <c r="P119" s="27">
        <f>vlookup(O119,'Terms and condition'!$F:$H,3,0)/day(eomonth(B119,0))</f>
        <v>806.4516129</v>
      </c>
      <c r="Q119" s="27">
        <f t="shared" si="8"/>
        <v>31</v>
      </c>
      <c r="R119" s="27">
        <f t="shared" si="2"/>
        <v>988</v>
      </c>
      <c r="S119" s="27">
        <f t="shared" si="3"/>
        <v>0</v>
      </c>
      <c r="T119" s="27">
        <f t="shared" si="4"/>
        <v>32.25806452</v>
      </c>
      <c r="U119" s="28">
        <v>0.0</v>
      </c>
      <c r="V119" s="27">
        <f t="shared" si="5"/>
        <v>0</v>
      </c>
      <c r="W119" s="29">
        <f t="shared" si="6"/>
        <v>0</v>
      </c>
      <c r="X119" s="30">
        <f t="shared" si="7"/>
        <v>838.7096774</v>
      </c>
    </row>
    <row r="120">
      <c r="A120" s="3">
        <f>IFERROR(__xludf.DUMMYFUNCTION("""COMPUTED_VALUE"""),113.0)</f>
        <v>113</v>
      </c>
      <c r="B120" s="4">
        <f>IFERROR(__xludf.DUMMYFUNCTION("""COMPUTED_VALUE"""),45585.0)</f>
        <v>45585</v>
      </c>
      <c r="C120" s="3" t="str">
        <f>IFERROR(__xludf.DUMMYFUNCTION("""COMPUTED_VALUE"""),"INDORE")</f>
        <v>INDORE</v>
      </c>
      <c r="D120" s="5" t="str">
        <f>IFERROR(__xludf.DUMMYFUNCTION("""COMPUTED_VALUE"""),"SLK8")</f>
        <v>SLK8</v>
      </c>
      <c r="E120" s="6" t="str">
        <f>IFERROR(__xludf.DUMMYFUNCTION("""COMPUTED_VALUE"""),"ALPHABETZ SERVICES")</f>
        <v>ALPHABETZ SERVICES</v>
      </c>
      <c r="F120" s="6" t="str">
        <f>IFERROR(__xludf.DUMMYFUNCTION("""COMPUTED_VALUE"""),"MP09ZZ6272")</f>
        <v>MP09ZZ6272</v>
      </c>
      <c r="G120" s="6" t="str">
        <f>IFERROR(__xludf.DUMMYFUNCTION("""COMPUTED_VALUE"""),"ACE")</f>
        <v>ACE</v>
      </c>
      <c r="H120" s="6" t="str">
        <f>IFERROR(__xludf.DUMMYFUNCTION("""COMPUTED_VALUE"""),"DIESEL")</f>
        <v>DIESEL</v>
      </c>
      <c r="I120" s="6">
        <f>IFERROR(__xludf.DUMMYFUNCTION("""COMPUTED_VALUE"""),4.0)</f>
        <v>4</v>
      </c>
      <c r="J120" s="8">
        <f>IFERROR(__xludf.DUMMYFUNCTION("""COMPUTED_VALUE"""),0.13125)</f>
        <v>0.13125</v>
      </c>
      <c r="K120" s="8">
        <f>IFERROR(__xludf.DUMMYFUNCTION("""COMPUTED_VALUE"""),0.13958333333333334)</f>
        <v>0.1395833333</v>
      </c>
      <c r="L120" s="8">
        <f>IFERROR(__xludf.DUMMYFUNCTION("""COMPUTED_VALUE"""),0.3)</f>
        <v>0.3</v>
      </c>
      <c r="M120" s="8">
        <f>IFERROR(__xludf.DUMMYFUNCTION("""COMPUTED_VALUE"""),0.3034722222222222)</f>
        <v>0.3034722222</v>
      </c>
      <c r="N120" s="10">
        <f>IFERROR(__xludf.DUMMYFUNCTION("""COMPUTED_VALUE"""),46.0)</f>
        <v>46</v>
      </c>
      <c r="O120" s="27" t="str">
        <f t="shared" si="1"/>
        <v>indoreace4</v>
      </c>
      <c r="P120" s="27">
        <f>vlookup(O120,'Terms and condition'!$F:$H,3,0)/day(eomonth(B120,0))</f>
        <v>806.4516129</v>
      </c>
      <c r="Q120" s="27">
        <f t="shared" si="8"/>
        <v>21</v>
      </c>
      <c r="R120" s="27">
        <f t="shared" si="2"/>
        <v>953</v>
      </c>
      <c r="S120" s="27">
        <f t="shared" si="3"/>
        <v>0</v>
      </c>
      <c r="T120" s="27">
        <f t="shared" si="4"/>
        <v>0</v>
      </c>
      <c r="U120" s="28">
        <v>0.0</v>
      </c>
      <c r="V120" s="27">
        <f t="shared" si="5"/>
        <v>0</v>
      </c>
      <c r="W120" s="29">
        <f t="shared" si="6"/>
        <v>0</v>
      </c>
      <c r="X120" s="30">
        <f t="shared" si="7"/>
        <v>806.4516129</v>
      </c>
    </row>
    <row r="121">
      <c r="A121" s="3">
        <f>IFERROR(__xludf.DUMMYFUNCTION("""COMPUTED_VALUE"""),114.0)</f>
        <v>114</v>
      </c>
      <c r="B121" s="4">
        <f>IFERROR(__xludf.DUMMYFUNCTION("""COMPUTED_VALUE"""),45585.0)</f>
        <v>45585</v>
      </c>
      <c r="C121" s="3" t="str">
        <f>IFERROR(__xludf.DUMMYFUNCTION("""COMPUTED_VALUE"""),"INDORE")</f>
        <v>INDORE</v>
      </c>
      <c r="D121" s="5" t="str">
        <f>IFERROR(__xludf.DUMMYFUNCTION("""COMPUTED_VALUE"""),"SLK8")</f>
        <v>SLK8</v>
      </c>
      <c r="E121" s="6" t="str">
        <f>IFERROR(__xludf.DUMMYFUNCTION("""COMPUTED_VALUE"""),"ALPHABETZ SERVICES")</f>
        <v>ALPHABETZ SERVICES</v>
      </c>
      <c r="F121" s="6" t="str">
        <f>IFERROR(__xludf.DUMMYFUNCTION("""COMPUTED_VALUE"""),"MP09ZV0375")</f>
        <v>MP09ZV0375</v>
      </c>
      <c r="G121" s="6" t="str">
        <f>IFERROR(__xludf.DUMMYFUNCTION("""COMPUTED_VALUE"""),"ACE")</f>
        <v>ACE</v>
      </c>
      <c r="H121" s="6" t="str">
        <f>IFERROR(__xludf.DUMMYFUNCTION("""COMPUTED_VALUE"""),"DIESEL")</f>
        <v>DIESEL</v>
      </c>
      <c r="I121" s="6">
        <f>IFERROR(__xludf.DUMMYFUNCTION("""COMPUTED_VALUE"""),4.0)</f>
        <v>4</v>
      </c>
      <c r="J121" s="8">
        <f>IFERROR(__xludf.DUMMYFUNCTION("""COMPUTED_VALUE"""),0.12777777777777777)</f>
        <v>0.1277777778</v>
      </c>
      <c r="K121" s="8">
        <f>IFERROR(__xludf.DUMMYFUNCTION("""COMPUTED_VALUE"""),0.14027777777777778)</f>
        <v>0.1402777778</v>
      </c>
      <c r="L121" s="8">
        <f>IFERROR(__xludf.DUMMYFUNCTION("""COMPUTED_VALUE"""),0.3013888888888889)</f>
        <v>0.3013888889</v>
      </c>
      <c r="M121" s="8">
        <f>IFERROR(__xludf.DUMMYFUNCTION("""COMPUTED_VALUE"""),0.30694444444444446)</f>
        <v>0.3069444444</v>
      </c>
      <c r="N121" s="10">
        <f>IFERROR(__xludf.DUMMYFUNCTION("""COMPUTED_VALUE"""),31.0)</f>
        <v>31</v>
      </c>
      <c r="O121" s="27" t="str">
        <f t="shared" si="1"/>
        <v>indoreace4</v>
      </c>
      <c r="P121" s="27">
        <f>vlookup(O121,'Terms and condition'!$F:$H,3,0)/day(eomonth(B121,0))</f>
        <v>806.4516129</v>
      </c>
      <c r="Q121" s="27">
        <f t="shared" si="8"/>
        <v>26</v>
      </c>
      <c r="R121" s="27">
        <f t="shared" si="2"/>
        <v>802</v>
      </c>
      <c r="S121" s="27">
        <f t="shared" si="3"/>
        <v>0</v>
      </c>
      <c r="T121" s="27">
        <f t="shared" si="4"/>
        <v>0</v>
      </c>
      <c r="U121" s="28">
        <v>0.0</v>
      </c>
      <c r="V121" s="27">
        <f t="shared" si="5"/>
        <v>0</v>
      </c>
      <c r="W121" s="29">
        <f t="shared" si="6"/>
        <v>0</v>
      </c>
      <c r="X121" s="30">
        <f t="shared" si="7"/>
        <v>806.4516129</v>
      </c>
    </row>
    <row r="122">
      <c r="A122" s="3">
        <f>IFERROR(__xludf.DUMMYFUNCTION("""COMPUTED_VALUE"""),115.0)</f>
        <v>115</v>
      </c>
      <c r="B122" s="4">
        <f>IFERROR(__xludf.DUMMYFUNCTION("""COMPUTED_VALUE"""),45586.0)</f>
        <v>45586</v>
      </c>
      <c r="C122" s="3" t="str">
        <f>IFERROR(__xludf.DUMMYFUNCTION("""COMPUTED_VALUE"""),"INDORE")</f>
        <v>INDORE</v>
      </c>
      <c r="D122" s="5" t="str">
        <f>IFERROR(__xludf.DUMMYFUNCTION("""COMPUTED_VALUE"""),"SLK8")</f>
        <v>SLK8</v>
      </c>
      <c r="E122" s="6" t="str">
        <f>IFERROR(__xludf.DUMMYFUNCTION("""COMPUTED_VALUE"""),"ALPHABETZ SERVICES")</f>
        <v>ALPHABETZ SERVICES</v>
      </c>
      <c r="F122" s="6" t="str">
        <f>IFERROR(__xludf.DUMMYFUNCTION("""COMPUTED_VALUE"""),"MP54L0316")</f>
        <v>MP54L0316</v>
      </c>
      <c r="G122" s="6" t="str">
        <f>IFERROR(__xludf.DUMMYFUNCTION("""COMPUTED_VALUE"""),"ACE")</f>
        <v>ACE</v>
      </c>
      <c r="H122" s="6" t="str">
        <f>IFERROR(__xludf.DUMMYFUNCTION("""COMPUTED_VALUE"""),"DIESEL")</f>
        <v>DIESEL</v>
      </c>
      <c r="I122" s="6">
        <f>IFERROR(__xludf.DUMMYFUNCTION("""COMPUTED_VALUE"""),4.0)</f>
        <v>4</v>
      </c>
      <c r="J122" s="8">
        <f>IFERROR(__xludf.DUMMYFUNCTION("""COMPUTED_VALUE"""),0.125)</f>
        <v>0.125</v>
      </c>
      <c r="K122" s="8">
        <f>IFERROR(__xludf.DUMMYFUNCTION("""COMPUTED_VALUE"""),0.13194444444444445)</f>
        <v>0.1319444444</v>
      </c>
      <c r="L122" s="8">
        <f>IFERROR(__xludf.DUMMYFUNCTION("""COMPUTED_VALUE"""),0.2986111111111111)</f>
        <v>0.2986111111</v>
      </c>
      <c r="M122" s="8">
        <f>IFERROR(__xludf.DUMMYFUNCTION("""COMPUTED_VALUE"""),0.3020833333333333)</f>
        <v>0.3020833333</v>
      </c>
      <c r="N122" s="10">
        <f>IFERROR(__xludf.DUMMYFUNCTION("""COMPUTED_VALUE"""),43.0)</f>
        <v>43</v>
      </c>
      <c r="O122" s="27" t="str">
        <f t="shared" si="1"/>
        <v>indoreace4</v>
      </c>
      <c r="P122" s="27">
        <f>vlookup(O122,'Terms and condition'!$F:$H,3,0)/day(eomonth(B122,0))</f>
        <v>806.4516129</v>
      </c>
      <c r="Q122" s="27">
        <f t="shared" si="8"/>
        <v>31</v>
      </c>
      <c r="R122" s="27">
        <f t="shared" si="2"/>
        <v>1390</v>
      </c>
      <c r="S122" s="27">
        <f t="shared" si="3"/>
        <v>100.6451613</v>
      </c>
      <c r="T122" s="27">
        <f t="shared" si="4"/>
        <v>32.25806452</v>
      </c>
      <c r="U122" s="28">
        <v>0.0</v>
      </c>
      <c r="V122" s="27">
        <f t="shared" si="5"/>
        <v>0</v>
      </c>
      <c r="W122" s="29">
        <f t="shared" si="6"/>
        <v>0</v>
      </c>
      <c r="X122" s="30">
        <f t="shared" si="7"/>
        <v>939.3548387</v>
      </c>
    </row>
    <row r="123">
      <c r="A123" s="3">
        <f>IFERROR(__xludf.DUMMYFUNCTION("""COMPUTED_VALUE"""),116.0)</f>
        <v>116</v>
      </c>
      <c r="B123" s="4">
        <f>IFERROR(__xludf.DUMMYFUNCTION("""COMPUTED_VALUE"""),45586.0)</f>
        <v>45586</v>
      </c>
      <c r="C123" s="3" t="str">
        <f>IFERROR(__xludf.DUMMYFUNCTION("""COMPUTED_VALUE"""),"INDORE")</f>
        <v>INDORE</v>
      </c>
      <c r="D123" s="5" t="str">
        <f>IFERROR(__xludf.DUMMYFUNCTION("""COMPUTED_VALUE"""),"SLK8")</f>
        <v>SLK8</v>
      </c>
      <c r="E123" s="6" t="str">
        <f>IFERROR(__xludf.DUMMYFUNCTION("""COMPUTED_VALUE"""),"ALPHABETZ SERVICES")</f>
        <v>ALPHABETZ SERVICES</v>
      </c>
      <c r="F123" s="6" t="str">
        <f>IFERROR(__xludf.DUMMYFUNCTION("""COMPUTED_VALUE"""),"MP04LD5601")</f>
        <v>MP04LD5601</v>
      </c>
      <c r="G123" s="6" t="str">
        <f>IFERROR(__xludf.DUMMYFUNCTION("""COMPUTED_VALUE"""),"ACE")</f>
        <v>ACE</v>
      </c>
      <c r="H123" s="6" t="str">
        <f>IFERROR(__xludf.DUMMYFUNCTION("""COMPUTED_VALUE"""),"DIESEL")</f>
        <v>DIESEL</v>
      </c>
      <c r="I123" s="6">
        <f>IFERROR(__xludf.DUMMYFUNCTION("""COMPUTED_VALUE"""),4.0)</f>
        <v>4</v>
      </c>
      <c r="J123" s="8">
        <f>IFERROR(__xludf.DUMMYFUNCTION("""COMPUTED_VALUE"""),0.12638888888888888)</f>
        <v>0.1263888889</v>
      </c>
      <c r="K123" s="8">
        <f>IFERROR(__xludf.DUMMYFUNCTION("""COMPUTED_VALUE"""),0.13472222222222222)</f>
        <v>0.1347222222</v>
      </c>
      <c r="L123" s="8">
        <f>IFERROR(__xludf.DUMMYFUNCTION("""COMPUTED_VALUE"""),0.2916666666666667)</f>
        <v>0.2916666667</v>
      </c>
      <c r="M123" s="8">
        <f>IFERROR(__xludf.DUMMYFUNCTION("""COMPUTED_VALUE"""),0.2986111111111111)</f>
        <v>0.2986111111</v>
      </c>
      <c r="N123" s="10">
        <f>IFERROR(__xludf.DUMMYFUNCTION("""COMPUTED_VALUE"""),50.0)</f>
        <v>50</v>
      </c>
      <c r="O123" s="27" t="str">
        <f t="shared" si="1"/>
        <v>indoreace4</v>
      </c>
      <c r="P123" s="27">
        <f>vlookup(O123,'Terms and condition'!$F:$H,3,0)/day(eomonth(B123,0))</f>
        <v>806.4516129</v>
      </c>
      <c r="Q123" s="27">
        <f t="shared" si="8"/>
        <v>12</v>
      </c>
      <c r="R123" s="27">
        <f t="shared" si="2"/>
        <v>580</v>
      </c>
      <c r="S123" s="27">
        <f t="shared" si="3"/>
        <v>0</v>
      </c>
      <c r="T123" s="27">
        <f t="shared" si="4"/>
        <v>0</v>
      </c>
      <c r="U123" s="28">
        <v>0.0</v>
      </c>
      <c r="V123" s="27">
        <f t="shared" si="5"/>
        <v>0</v>
      </c>
      <c r="W123" s="29">
        <f t="shared" si="6"/>
        <v>0</v>
      </c>
      <c r="X123" s="30">
        <f t="shared" si="7"/>
        <v>806.4516129</v>
      </c>
    </row>
    <row r="124">
      <c r="A124" s="3">
        <f>IFERROR(__xludf.DUMMYFUNCTION("""COMPUTED_VALUE"""),117.0)</f>
        <v>117</v>
      </c>
      <c r="B124" s="4">
        <f>IFERROR(__xludf.DUMMYFUNCTION("""COMPUTED_VALUE"""),45586.0)</f>
        <v>45586</v>
      </c>
      <c r="C124" s="3" t="str">
        <f>IFERROR(__xludf.DUMMYFUNCTION("""COMPUTED_VALUE"""),"INDORE")</f>
        <v>INDORE</v>
      </c>
      <c r="D124" s="5" t="str">
        <f>IFERROR(__xludf.DUMMYFUNCTION("""COMPUTED_VALUE"""),"SLK8")</f>
        <v>SLK8</v>
      </c>
      <c r="E124" s="6" t="str">
        <f>IFERROR(__xludf.DUMMYFUNCTION("""COMPUTED_VALUE"""),"ALPHABETZ SERVICES")</f>
        <v>ALPHABETZ SERVICES</v>
      </c>
      <c r="F124" s="6" t="str">
        <f>IFERROR(__xludf.DUMMYFUNCTION("""COMPUTED_VALUE"""),"MP09ZY2923")</f>
        <v>MP09ZY2923</v>
      </c>
      <c r="G124" s="6" t="str">
        <f>IFERROR(__xludf.DUMMYFUNCTION("""COMPUTED_VALUE"""),"ACE")</f>
        <v>ACE</v>
      </c>
      <c r="H124" s="6" t="str">
        <f>IFERROR(__xludf.DUMMYFUNCTION("""COMPUTED_VALUE"""),"DIESEL")</f>
        <v>DIESEL</v>
      </c>
      <c r="I124" s="6">
        <f>IFERROR(__xludf.DUMMYFUNCTION("""COMPUTED_VALUE"""),4.0)</f>
        <v>4</v>
      </c>
      <c r="J124" s="8">
        <f>IFERROR(__xludf.DUMMYFUNCTION("""COMPUTED_VALUE"""),0.1284722222222222)</f>
        <v>0.1284722222</v>
      </c>
      <c r="K124" s="8">
        <f>IFERROR(__xludf.DUMMYFUNCTION("""COMPUTED_VALUE"""),0.13541666666666666)</f>
        <v>0.1354166667</v>
      </c>
      <c r="L124" s="8">
        <f>IFERROR(__xludf.DUMMYFUNCTION("""COMPUTED_VALUE"""),0.30694444444444446)</f>
        <v>0.3069444444</v>
      </c>
      <c r="M124" s="8">
        <f>IFERROR(__xludf.DUMMYFUNCTION("""COMPUTED_VALUE"""),0.3125)</f>
        <v>0.3125</v>
      </c>
      <c r="N124" s="10">
        <f>IFERROR(__xludf.DUMMYFUNCTION("""COMPUTED_VALUE"""),31.0)</f>
        <v>31</v>
      </c>
      <c r="O124" s="27" t="str">
        <f t="shared" si="1"/>
        <v>indoreace4</v>
      </c>
      <c r="P124" s="27">
        <f>vlookup(O124,'Terms and condition'!$F:$H,3,0)/day(eomonth(B124,0))</f>
        <v>806.4516129</v>
      </c>
      <c r="Q124" s="27">
        <f t="shared" si="8"/>
        <v>31</v>
      </c>
      <c r="R124" s="27">
        <f t="shared" si="2"/>
        <v>988</v>
      </c>
      <c r="S124" s="27">
        <f t="shared" si="3"/>
        <v>0</v>
      </c>
      <c r="T124" s="27">
        <f t="shared" si="4"/>
        <v>32.25806452</v>
      </c>
      <c r="U124" s="28">
        <v>0.0</v>
      </c>
      <c r="V124" s="27">
        <f t="shared" si="5"/>
        <v>0</v>
      </c>
      <c r="W124" s="29">
        <f t="shared" si="6"/>
        <v>0</v>
      </c>
      <c r="X124" s="30">
        <f t="shared" si="7"/>
        <v>838.7096774</v>
      </c>
    </row>
    <row r="125">
      <c r="A125" s="3">
        <f>IFERROR(__xludf.DUMMYFUNCTION("""COMPUTED_VALUE"""),118.0)</f>
        <v>118</v>
      </c>
      <c r="B125" s="4">
        <f>IFERROR(__xludf.DUMMYFUNCTION("""COMPUTED_VALUE"""),45586.0)</f>
        <v>45586</v>
      </c>
      <c r="C125" s="3" t="str">
        <f>IFERROR(__xludf.DUMMYFUNCTION("""COMPUTED_VALUE"""),"INDORE")</f>
        <v>INDORE</v>
      </c>
      <c r="D125" s="5" t="str">
        <f>IFERROR(__xludf.DUMMYFUNCTION("""COMPUTED_VALUE"""),"SLK8")</f>
        <v>SLK8</v>
      </c>
      <c r="E125" s="6" t="str">
        <f>IFERROR(__xludf.DUMMYFUNCTION("""COMPUTED_VALUE"""),"ALPHABETZ SERVICES")</f>
        <v>ALPHABETZ SERVICES</v>
      </c>
      <c r="F125" s="6" t="str">
        <f>IFERROR(__xludf.DUMMYFUNCTION("""COMPUTED_VALUE"""),"MP09ZZ6272")</f>
        <v>MP09ZZ6272</v>
      </c>
      <c r="G125" s="6" t="str">
        <f>IFERROR(__xludf.DUMMYFUNCTION("""COMPUTED_VALUE"""),"ACE")</f>
        <v>ACE</v>
      </c>
      <c r="H125" s="6" t="str">
        <f>IFERROR(__xludf.DUMMYFUNCTION("""COMPUTED_VALUE"""),"DIESEL")</f>
        <v>DIESEL</v>
      </c>
      <c r="I125" s="6">
        <f>IFERROR(__xludf.DUMMYFUNCTION("""COMPUTED_VALUE"""),4.0)</f>
        <v>4</v>
      </c>
      <c r="J125" s="8">
        <f>IFERROR(__xludf.DUMMYFUNCTION("""COMPUTED_VALUE"""),0.13194444444444445)</f>
        <v>0.1319444444</v>
      </c>
      <c r="K125" s="8">
        <f>IFERROR(__xludf.DUMMYFUNCTION("""COMPUTED_VALUE"""),0.13819444444444445)</f>
        <v>0.1381944444</v>
      </c>
      <c r="L125" s="8">
        <f>IFERROR(__xludf.DUMMYFUNCTION("""COMPUTED_VALUE"""),0.3055555555555556)</f>
        <v>0.3055555556</v>
      </c>
      <c r="M125" s="8">
        <f>IFERROR(__xludf.DUMMYFUNCTION("""COMPUTED_VALUE"""),0.3125)</f>
        <v>0.3125</v>
      </c>
      <c r="N125" s="10">
        <f>IFERROR(__xludf.DUMMYFUNCTION("""COMPUTED_VALUE"""),46.0)</f>
        <v>46</v>
      </c>
      <c r="O125" s="27" t="str">
        <f t="shared" si="1"/>
        <v>indoreace4</v>
      </c>
      <c r="P125" s="27">
        <f>vlookup(O125,'Terms and condition'!$F:$H,3,0)/day(eomonth(B125,0))</f>
        <v>806.4516129</v>
      </c>
      <c r="Q125" s="27">
        <f t="shared" si="8"/>
        <v>21</v>
      </c>
      <c r="R125" s="27">
        <f t="shared" si="2"/>
        <v>953</v>
      </c>
      <c r="S125" s="27">
        <f t="shared" si="3"/>
        <v>0</v>
      </c>
      <c r="T125" s="27">
        <f t="shared" si="4"/>
        <v>0</v>
      </c>
      <c r="U125" s="28">
        <v>0.0</v>
      </c>
      <c r="V125" s="27">
        <f t="shared" si="5"/>
        <v>0</v>
      </c>
      <c r="W125" s="29">
        <f t="shared" si="6"/>
        <v>0</v>
      </c>
      <c r="X125" s="30">
        <f t="shared" si="7"/>
        <v>806.4516129</v>
      </c>
    </row>
    <row r="126">
      <c r="A126" s="3">
        <f>IFERROR(__xludf.DUMMYFUNCTION("""COMPUTED_VALUE"""),119.0)</f>
        <v>119</v>
      </c>
      <c r="B126" s="4">
        <f>IFERROR(__xludf.DUMMYFUNCTION("""COMPUTED_VALUE"""),45586.0)</f>
        <v>45586</v>
      </c>
      <c r="C126" s="3" t="str">
        <f>IFERROR(__xludf.DUMMYFUNCTION("""COMPUTED_VALUE"""),"INDORE")</f>
        <v>INDORE</v>
      </c>
      <c r="D126" s="5" t="str">
        <f>IFERROR(__xludf.DUMMYFUNCTION("""COMPUTED_VALUE"""),"SLK8")</f>
        <v>SLK8</v>
      </c>
      <c r="E126" s="6" t="str">
        <f>IFERROR(__xludf.DUMMYFUNCTION("""COMPUTED_VALUE"""),"ALPHABETZ SERVICES")</f>
        <v>ALPHABETZ SERVICES</v>
      </c>
      <c r="F126" s="6" t="str">
        <f>IFERROR(__xludf.DUMMYFUNCTION("""COMPUTED_VALUE"""),"MP09ZV0375")</f>
        <v>MP09ZV0375</v>
      </c>
      <c r="G126" s="6" t="str">
        <f>IFERROR(__xludf.DUMMYFUNCTION("""COMPUTED_VALUE"""),"ACE")</f>
        <v>ACE</v>
      </c>
      <c r="H126" s="6" t="str">
        <f>IFERROR(__xludf.DUMMYFUNCTION("""COMPUTED_VALUE"""),"DIESEL")</f>
        <v>DIESEL</v>
      </c>
      <c r="I126" s="6">
        <f>IFERROR(__xludf.DUMMYFUNCTION("""COMPUTED_VALUE"""),4.0)</f>
        <v>4</v>
      </c>
      <c r="J126" s="8">
        <f>IFERROR(__xludf.DUMMYFUNCTION("""COMPUTED_VALUE"""),0.13125)</f>
        <v>0.13125</v>
      </c>
      <c r="K126" s="8">
        <f>IFERROR(__xludf.DUMMYFUNCTION("""COMPUTED_VALUE"""),0.13958333333333334)</f>
        <v>0.1395833333</v>
      </c>
      <c r="L126" s="8">
        <f>IFERROR(__xludf.DUMMYFUNCTION("""COMPUTED_VALUE"""),0.3125)</f>
        <v>0.3125</v>
      </c>
      <c r="M126" s="8">
        <f>IFERROR(__xludf.DUMMYFUNCTION("""COMPUTED_VALUE"""),0.3125)</f>
        <v>0.3125</v>
      </c>
      <c r="N126" s="10">
        <f>IFERROR(__xludf.DUMMYFUNCTION("""COMPUTED_VALUE"""),31.0)</f>
        <v>31</v>
      </c>
      <c r="O126" s="27" t="str">
        <f t="shared" si="1"/>
        <v>indoreace4</v>
      </c>
      <c r="P126" s="27">
        <f>vlookup(O126,'Terms and condition'!$F:$H,3,0)/day(eomonth(B126,0))</f>
        <v>806.4516129</v>
      </c>
      <c r="Q126" s="27">
        <f t="shared" si="8"/>
        <v>26</v>
      </c>
      <c r="R126" s="27">
        <f t="shared" si="2"/>
        <v>802</v>
      </c>
      <c r="S126" s="27">
        <f t="shared" si="3"/>
        <v>0</v>
      </c>
      <c r="T126" s="27">
        <f t="shared" si="4"/>
        <v>0</v>
      </c>
      <c r="U126" s="28">
        <v>0.0</v>
      </c>
      <c r="V126" s="27">
        <f t="shared" si="5"/>
        <v>0</v>
      </c>
      <c r="W126" s="29">
        <f t="shared" si="6"/>
        <v>0</v>
      </c>
      <c r="X126" s="30">
        <f t="shared" si="7"/>
        <v>806.4516129</v>
      </c>
    </row>
    <row r="127">
      <c r="A127" s="3">
        <f>IFERROR(__xludf.DUMMYFUNCTION("""COMPUTED_VALUE"""),120.0)</f>
        <v>120</v>
      </c>
      <c r="B127" s="4">
        <f>IFERROR(__xludf.DUMMYFUNCTION("""COMPUTED_VALUE"""),45586.0)</f>
        <v>45586</v>
      </c>
      <c r="C127" s="3" t="str">
        <f>IFERROR(__xludf.DUMMYFUNCTION("""COMPUTED_VALUE"""),"INDORE")</f>
        <v>INDORE</v>
      </c>
      <c r="D127" s="5" t="str">
        <f>IFERROR(__xludf.DUMMYFUNCTION("""COMPUTED_VALUE"""),"SLK8")</f>
        <v>SLK8</v>
      </c>
      <c r="E127" s="6" t="str">
        <f>IFERROR(__xludf.DUMMYFUNCTION("""COMPUTED_VALUE"""),"ALPHABETZ SERVICES")</f>
        <v>ALPHABETZ SERVICES</v>
      </c>
      <c r="F127" s="6" t="str">
        <f>IFERROR(__xludf.DUMMYFUNCTION("""COMPUTED_VALUE"""),"MP09LP8407")</f>
        <v>MP09LP8407</v>
      </c>
      <c r="G127" s="6" t="str">
        <f>IFERROR(__xludf.DUMMYFUNCTION("""COMPUTED_VALUE"""),"ACE")</f>
        <v>ACE</v>
      </c>
      <c r="H127" s="6" t="str">
        <f>IFERROR(__xludf.DUMMYFUNCTION("""COMPUTED_VALUE"""),"DIESEL")</f>
        <v>DIESEL</v>
      </c>
      <c r="I127" s="6">
        <f>IFERROR(__xludf.DUMMYFUNCTION("""COMPUTED_VALUE"""),4.0)</f>
        <v>4</v>
      </c>
      <c r="J127" s="8">
        <f>IFERROR(__xludf.DUMMYFUNCTION("""COMPUTED_VALUE"""),0.13125)</f>
        <v>0.13125</v>
      </c>
      <c r="K127" s="8">
        <f>IFERROR(__xludf.DUMMYFUNCTION("""COMPUTED_VALUE"""),0.14305555555555555)</f>
        <v>0.1430555556</v>
      </c>
      <c r="L127" s="8">
        <f>IFERROR(__xludf.DUMMYFUNCTION("""COMPUTED_VALUE"""),0.30694444444444446)</f>
        <v>0.3069444444</v>
      </c>
      <c r="M127" s="8">
        <f>IFERROR(__xludf.DUMMYFUNCTION("""COMPUTED_VALUE"""),0.3125)</f>
        <v>0.3125</v>
      </c>
      <c r="N127" s="10">
        <f>IFERROR(__xludf.DUMMYFUNCTION("""COMPUTED_VALUE"""),30.0)</f>
        <v>30</v>
      </c>
      <c r="O127" s="27" t="str">
        <f t="shared" si="1"/>
        <v>indoreace4</v>
      </c>
      <c r="P127" s="27">
        <f>vlookup(O127,'Terms and condition'!$F:$H,3,0)/day(eomonth(B127,0))</f>
        <v>806.4516129</v>
      </c>
      <c r="Q127" s="27">
        <f t="shared" si="8"/>
        <v>31</v>
      </c>
      <c r="R127" s="27">
        <f t="shared" si="2"/>
        <v>1063</v>
      </c>
      <c r="S127" s="27">
        <f t="shared" si="3"/>
        <v>16.25806452</v>
      </c>
      <c r="T127" s="27">
        <f t="shared" si="4"/>
        <v>32.25806452</v>
      </c>
      <c r="U127" s="28">
        <v>0.0</v>
      </c>
      <c r="V127" s="27">
        <f t="shared" si="5"/>
        <v>0</v>
      </c>
      <c r="W127" s="29">
        <f t="shared" si="6"/>
        <v>0</v>
      </c>
      <c r="X127" s="30">
        <f t="shared" si="7"/>
        <v>854.9677419</v>
      </c>
    </row>
    <row r="128">
      <c r="A128" s="3">
        <f>IFERROR(__xludf.DUMMYFUNCTION("""COMPUTED_VALUE"""),121.0)</f>
        <v>121</v>
      </c>
      <c r="B128" s="4">
        <f>IFERROR(__xludf.DUMMYFUNCTION("""COMPUTED_VALUE"""),45587.0)</f>
        <v>45587</v>
      </c>
      <c r="C128" s="3" t="str">
        <f>IFERROR(__xludf.DUMMYFUNCTION("""COMPUTED_VALUE"""),"INDORE")</f>
        <v>INDORE</v>
      </c>
      <c r="D128" s="5" t="str">
        <f>IFERROR(__xludf.DUMMYFUNCTION("""COMPUTED_VALUE"""),"SLK8")</f>
        <v>SLK8</v>
      </c>
      <c r="E128" s="6" t="str">
        <f>IFERROR(__xludf.DUMMYFUNCTION("""COMPUTED_VALUE"""),"ALPHABETZ SERVICES")</f>
        <v>ALPHABETZ SERVICES</v>
      </c>
      <c r="F128" s="6" t="str">
        <f>IFERROR(__xludf.DUMMYFUNCTION("""COMPUTED_VALUE"""),"MP09LR7355")</f>
        <v>MP09LR7355</v>
      </c>
      <c r="G128" s="6" t="str">
        <f>IFERROR(__xludf.DUMMYFUNCTION("""COMPUTED_VALUE"""),"ACE")</f>
        <v>ACE</v>
      </c>
      <c r="H128" s="6" t="str">
        <f>IFERROR(__xludf.DUMMYFUNCTION("""COMPUTED_VALUE"""),"DIESEL")</f>
        <v>DIESEL</v>
      </c>
      <c r="I128" s="6">
        <f>IFERROR(__xludf.DUMMYFUNCTION("""COMPUTED_VALUE"""),4.0)</f>
        <v>4</v>
      </c>
      <c r="J128" s="8">
        <f>IFERROR(__xludf.DUMMYFUNCTION("""COMPUTED_VALUE"""),0.125)</f>
        <v>0.125</v>
      </c>
      <c r="K128" s="8">
        <f>IFERROR(__xludf.DUMMYFUNCTION("""COMPUTED_VALUE"""),0.1388888888888889)</f>
        <v>0.1388888889</v>
      </c>
      <c r="L128" s="8">
        <f>IFERROR(__xludf.DUMMYFUNCTION("""COMPUTED_VALUE"""),0.3125)</f>
        <v>0.3125</v>
      </c>
      <c r="M128" s="8">
        <f>IFERROR(__xludf.DUMMYFUNCTION("""COMPUTED_VALUE"""),0.3159722222222222)</f>
        <v>0.3159722222</v>
      </c>
      <c r="N128" s="10">
        <f>IFERROR(__xludf.DUMMYFUNCTION("""COMPUTED_VALUE"""),47.0)</f>
        <v>47</v>
      </c>
      <c r="O128" s="27" t="str">
        <f t="shared" si="1"/>
        <v>indoreace4</v>
      </c>
      <c r="P128" s="27">
        <f>vlookup(O128,'Terms and condition'!$F:$H,3,0)/day(eomonth(B128,0))</f>
        <v>806.4516129</v>
      </c>
      <c r="Q128" s="27">
        <f t="shared" si="8"/>
        <v>30</v>
      </c>
      <c r="R128" s="27">
        <f t="shared" si="2"/>
        <v>1436</v>
      </c>
      <c r="S128" s="27">
        <f t="shared" si="3"/>
        <v>116.2666667</v>
      </c>
      <c r="T128" s="27">
        <f t="shared" si="4"/>
        <v>0</v>
      </c>
      <c r="U128" s="28">
        <v>0.0</v>
      </c>
      <c r="V128" s="27">
        <f t="shared" si="5"/>
        <v>0</v>
      </c>
      <c r="W128" s="29">
        <f t="shared" si="6"/>
        <v>0</v>
      </c>
      <c r="X128" s="30">
        <f t="shared" si="7"/>
        <v>922.7182796</v>
      </c>
    </row>
    <row r="129">
      <c r="A129" s="3">
        <f>IFERROR(__xludf.DUMMYFUNCTION("""COMPUTED_VALUE"""),122.0)</f>
        <v>122</v>
      </c>
      <c r="B129" s="4">
        <f>IFERROR(__xludf.DUMMYFUNCTION("""COMPUTED_VALUE"""),45587.0)</f>
        <v>45587</v>
      </c>
      <c r="C129" s="3" t="str">
        <f>IFERROR(__xludf.DUMMYFUNCTION("""COMPUTED_VALUE"""),"INDORE")</f>
        <v>INDORE</v>
      </c>
      <c r="D129" s="5" t="str">
        <f>IFERROR(__xludf.DUMMYFUNCTION("""COMPUTED_VALUE"""),"SLK8")</f>
        <v>SLK8</v>
      </c>
      <c r="E129" s="6" t="str">
        <f>IFERROR(__xludf.DUMMYFUNCTION("""COMPUTED_VALUE"""),"ALPHABETZ SERVICES")</f>
        <v>ALPHABETZ SERVICES</v>
      </c>
      <c r="F129" s="6" t="str">
        <f>IFERROR(__xludf.DUMMYFUNCTION("""COMPUTED_VALUE"""),"MP54L0316")</f>
        <v>MP54L0316</v>
      </c>
      <c r="G129" s="6" t="str">
        <f>IFERROR(__xludf.DUMMYFUNCTION("""COMPUTED_VALUE"""),"ACE")</f>
        <v>ACE</v>
      </c>
      <c r="H129" s="6" t="str">
        <f>IFERROR(__xludf.DUMMYFUNCTION("""COMPUTED_VALUE"""),"DIESEL")</f>
        <v>DIESEL</v>
      </c>
      <c r="I129" s="6">
        <f>IFERROR(__xludf.DUMMYFUNCTION("""COMPUTED_VALUE"""),4.0)</f>
        <v>4</v>
      </c>
      <c r="J129" s="8">
        <f>IFERROR(__xludf.DUMMYFUNCTION("""COMPUTED_VALUE"""),0.12569444444444444)</f>
        <v>0.1256944444</v>
      </c>
      <c r="K129" s="8">
        <f>IFERROR(__xludf.DUMMYFUNCTION("""COMPUTED_VALUE"""),0.1423611111111111)</f>
        <v>0.1423611111</v>
      </c>
      <c r="L129" s="8">
        <f>IFERROR(__xludf.DUMMYFUNCTION("""COMPUTED_VALUE"""),0.3159722222222222)</f>
        <v>0.3159722222</v>
      </c>
      <c r="M129" s="8">
        <f>IFERROR(__xludf.DUMMYFUNCTION("""COMPUTED_VALUE"""),0.3194444444444444)</f>
        <v>0.3194444444</v>
      </c>
      <c r="N129" s="10">
        <f>IFERROR(__xludf.DUMMYFUNCTION("""COMPUTED_VALUE"""),43.0)</f>
        <v>43</v>
      </c>
      <c r="O129" s="27" t="str">
        <f t="shared" si="1"/>
        <v>indoreace4</v>
      </c>
      <c r="P129" s="27">
        <f>vlookup(O129,'Terms and condition'!$F:$H,3,0)/day(eomonth(B129,0))</f>
        <v>806.4516129</v>
      </c>
      <c r="Q129" s="27">
        <f t="shared" si="8"/>
        <v>31</v>
      </c>
      <c r="R129" s="27">
        <f t="shared" si="2"/>
        <v>1390</v>
      </c>
      <c r="S129" s="27">
        <f t="shared" si="3"/>
        <v>100.6451613</v>
      </c>
      <c r="T129" s="27">
        <f t="shared" si="4"/>
        <v>32.25806452</v>
      </c>
      <c r="U129" s="28">
        <v>0.0</v>
      </c>
      <c r="V129" s="27">
        <f t="shared" si="5"/>
        <v>0</v>
      </c>
      <c r="W129" s="29">
        <f t="shared" si="6"/>
        <v>0</v>
      </c>
      <c r="X129" s="30">
        <f t="shared" si="7"/>
        <v>939.3548387</v>
      </c>
    </row>
    <row r="130">
      <c r="A130" s="3">
        <f>IFERROR(__xludf.DUMMYFUNCTION("""COMPUTED_VALUE"""),123.0)</f>
        <v>123</v>
      </c>
      <c r="B130" s="4">
        <f>IFERROR(__xludf.DUMMYFUNCTION("""COMPUTED_VALUE"""),45587.0)</f>
        <v>45587</v>
      </c>
      <c r="C130" s="3" t="str">
        <f>IFERROR(__xludf.DUMMYFUNCTION("""COMPUTED_VALUE"""),"INDORE")</f>
        <v>INDORE</v>
      </c>
      <c r="D130" s="5" t="str">
        <f>IFERROR(__xludf.DUMMYFUNCTION("""COMPUTED_VALUE"""),"SLK8")</f>
        <v>SLK8</v>
      </c>
      <c r="E130" s="6" t="str">
        <f>IFERROR(__xludf.DUMMYFUNCTION("""COMPUTED_VALUE"""),"ALPHABETZ SERVICES")</f>
        <v>ALPHABETZ SERVICES</v>
      </c>
      <c r="F130" s="6" t="str">
        <f>IFERROR(__xludf.DUMMYFUNCTION("""COMPUTED_VALUE"""),"MP09ZY2923")</f>
        <v>MP09ZY2923</v>
      </c>
      <c r="G130" s="6" t="str">
        <f>IFERROR(__xludf.DUMMYFUNCTION("""COMPUTED_VALUE"""),"ACE")</f>
        <v>ACE</v>
      </c>
      <c r="H130" s="6" t="str">
        <f>IFERROR(__xludf.DUMMYFUNCTION("""COMPUTED_VALUE"""),"DIESEL")</f>
        <v>DIESEL</v>
      </c>
      <c r="I130" s="6">
        <f>IFERROR(__xludf.DUMMYFUNCTION("""COMPUTED_VALUE"""),4.0)</f>
        <v>4</v>
      </c>
      <c r="J130" s="8">
        <f>IFERROR(__xludf.DUMMYFUNCTION("""COMPUTED_VALUE"""),0.12569444444444444)</f>
        <v>0.1256944444</v>
      </c>
      <c r="K130" s="8">
        <f>IFERROR(__xludf.DUMMYFUNCTION("""COMPUTED_VALUE"""),0.13958333333333334)</f>
        <v>0.1395833333</v>
      </c>
      <c r="L130" s="8">
        <f>IFERROR(__xludf.DUMMYFUNCTION("""COMPUTED_VALUE"""),0.3194444444444444)</f>
        <v>0.3194444444</v>
      </c>
      <c r="M130" s="8">
        <f>IFERROR(__xludf.DUMMYFUNCTION("""COMPUTED_VALUE"""),0.3229166666666667)</f>
        <v>0.3229166667</v>
      </c>
      <c r="N130" s="10">
        <f>IFERROR(__xludf.DUMMYFUNCTION("""COMPUTED_VALUE"""),31.0)</f>
        <v>31</v>
      </c>
      <c r="O130" s="27" t="str">
        <f t="shared" si="1"/>
        <v>indoreace4</v>
      </c>
      <c r="P130" s="27">
        <f>vlookup(O130,'Terms and condition'!$F:$H,3,0)/day(eomonth(B130,0))</f>
        <v>806.4516129</v>
      </c>
      <c r="Q130" s="27">
        <f t="shared" si="8"/>
        <v>31</v>
      </c>
      <c r="R130" s="27">
        <f t="shared" si="2"/>
        <v>988</v>
      </c>
      <c r="S130" s="27">
        <f t="shared" si="3"/>
        <v>0</v>
      </c>
      <c r="T130" s="27">
        <f t="shared" si="4"/>
        <v>32.25806452</v>
      </c>
      <c r="U130" s="28">
        <v>0.0</v>
      </c>
      <c r="V130" s="27">
        <f t="shared" si="5"/>
        <v>0</v>
      </c>
      <c r="W130" s="29">
        <f t="shared" si="6"/>
        <v>0</v>
      </c>
      <c r="X130" s="30">
        <f t="shared" si="7"/>
        <v>838.7096774</v>
      </c>
    </row>
    <row r="131">
      <c r="A131" s="3">
        <f>IFERROR(__xludf.DUMMYFUNCTION("""COMPUTED_VALUE"""),124.0)</f>
        <v>124</v>
      </c>
      <c r="B131" s="4">
        <f>IFERROR(__xludf.DUMMYFUNCTION("""COMPUTED_VALUE"""),45587.0)</f>
        <v>45587</v>
      </c>
      <c r="C131" s="3" t="str">
        <f>IFERROR(__xludf.DUMMYFUNCTION("""COMPUTED_VALUE"""),"INDORE")</f>
        <v>INDORE</v>
      </c>
      <c r="D131" s="5" t="str">
        <f>IFERROR(__xludf.DUMMYFUNCTION("""COMPUTED_VALUE"""),"SLK8")</f>
        <v>SLK8</v>
      </c>
      <c r="E131" s="6" t="str">
        <f>IFERROR(__xludf.DUMMYFUNCTION("""COMPUTED_VALUE"""),"ALPHABETZ SERVICES")</f>
        <v>ALPHABETZ SERVICES</v>
      </c>
      <c r="F131" s="6" t="str">
        <f>IFERROR(__xludf.DUMMYFUNCTION("""COMPUTED_VALUE"""),"MP09ZV0375")</f>
        <v>MP09ZV0375</v>
      </c>
      <c r="G131" s="6" t="str">
        <f>IFERROR(__xludf.DUMMYFUNCTION("""COMPUTED_VALUE"""),"ACE")</f>
        <v>ACE</v>
      </c>
      <c r="H131" s="6" t="str">
        <f>IFERROR(__xludf.DUMMYFUNCTION("""COMPUTED_VALUE"""),"DIESEL")</f>
        <v>DIESEL</v>
      </c>
      <c r="I131" s="6">
        <f>IFERROR(__xludf.DUMMYFUNCTION("""COMPUTED_VALUE"""),4.0)</f>
        <v>4</v>
      </c>
      <c r="J131" s="8">
        <f>IFERROR(__xludf.DUMMYFUNCTION("""COMPUTED_VALUE"""),0.12638888888888888)</f>
        <v>0.1263888889</v>
      </c>
      <c r="K131" s="8">
        <f>IFERROR(__xludf.DUMMYFUNCTION("""COMPUTED_VALUE"""),0.14027777777777778)</f>
        <v>0.1402777778</v>
      </c>
      <c r="L131" s="8">
        <f>IFERROR(__xludf.DUMMYFUNCTION("""COMPUTED_VALUE"""),0.31666666666666665)</f>
        <v>0.3166666667</v>
      </c>
      <c r="M131" s="8">
        <f>IFERROR(__xludf.DUMMYFUNCTION("""COMPUTED_VALUE"""),0.3229166666666667)</f>
        <v>0.3229166667</v>
      </c>
      <c r="N131" s="10">
        <f>IFERROR(__xludf.DUMMYFUNCTION("""COMPUTED_VALUE"""),30.0)</f>
        <v>30</v>
      </c>
      <c r="O131" s="27" t="str">
        <f t="shared" si="1"/>
        <v>indoreace4</v>
      </c>
      <c r="P131" s="27">
        <f>vlookup(O131,'Terms and condition'!$F:$H,3,0)/day(eomonth(B131,0))</f>
        <v>806.4516129</v>
      </c>
      <c r="Q131" s="27">
        <f t="shared" si="8"/>
        <v>26</v>
      </c>
      <c r="R131" s="27">
        <f t="shared" si="2"/>
        <v>802</v>
      </c>
      <c r="S131" s="27">
        <f t="shared" si="3"/>
        <v>0</v>
      </c>
      <c r="T131" s="27">
        <f t="shared" si="4"/>
        <v>0</v>
      </c>
      <c r="U131" s="28">
        <v>0.0</v>
      </c>
      <c r="V131" s="27">
        <f t="shared" si="5"/>
        <v>0</v>
      </c>
      <c r="W131" s="29">
        <f t="shared" si="6"/>
        <v>0</v>
      </c>
      <c r="X131" s="30">
        <f t="shared" si="7"/>
        <v>806.4516129</v>
      </c>
    </row>
    <row r="132">
      <c r="A132" s="3">
        <f>IFERROR(__xludf.DUMMYFUNCTION("""COMPUTED_VALUE"""),125.0)</f>
        <v>125</v>
      </c>
      <c r="B132" s="4">
        <f>IFERROR(__xludf.DUMMYFUNCTION("""COMPUTED_VALUE"""),45587.0)</f>
        <v>45587</v>
      </c>
      <c r="C132" s="3" t="str">
        <f>IFERROR(__xludf.DUMMYFUNCTION("""COMPUTED_VALUE"""),"INDORE")</f>
        <v>INDORE</v>
      </c>
      <c r="D132" s="5" t="str">
        <f>IFERROR(__xludf.DUMMYFUNCTION("""COMPUTED_VALUE"""),"SLK8")</f>
        <v>SLK8</v>
      </c>
      <c r="E132" s="6" t="str">
        <f>IFERROR(__xludf.DUMMYFUNCTION("""COMPUTED_VALUE"""),"ALPHABETZ SERVICES")</f>
        <v>ALPHABETZ SERVICES</v>
      </c>
      <c r="F132" s="6" t="str">
        <f>IFERROR(__xludf.DUMMYFUNCTION("""COMPUTED_VALUE"""),"MP09ZZ6272")</f>
        <v>MP09ZZ6272</v>
      </c>
      <c r="G132" s="6" t="str">
        <f>IFERROR(__xludf.DUMMYFUNCTION("""COMPUTED_VALUE"""),"ACE")</f>
        <v>ACE</v>
      </c>
      <c r="H132" s="6" t="str">
        <f>IFERROR(__xludf.DUMMYFUNCTION("""COMPUTED_VALUE"""),"DIESEL")</f>
        <v>DIESEL</v>
      </c>
      <c r="I132" s="6">
        <f>IFERROR(__xludf.DUMMYFUNCTION("""COMPUTED_VALUE"""),4.0)</f>
        <v>4</v>
      </c>
      <c r="J132" s="8">
        <f>IFERROR(__xludf.DUMMYFUNCTION("""COMPUTED_VALUE"""),0.12777777777777777)</f>
        <v>0.1277777778</v>
      </c>
      <c r="K132" s="8">
        <f>IFERROR(__xludf.DUMMYFUNCTION("""COMPUTED_VALUE"""),0.1423611111111111)</f>
        <v>0.1423611111</v>
      </c>
      <c r="L132" s="8">
        <f>IFERROR(__xludf.DUMMYFUNCTION("""COMPUTED_VALUE"""),0.3194444444444444)</f>
        <v>0.3194444444</v>
      </c>
      <c r="M132" s="8">
        <f>IFERROR(__xludf.DUMMYFUNCTION("""COMPUTED_VALUE"""),0.3229166666666667)</f>
        <v>0.3229166667</v>
      </c>
      <c r="N132" s="10">
        <f>IFERROR(__xludf.DUMMYFUNCTION("""COMPUTED_VALUE"""),46.0)</f>
        <v>46</v>
      </c>
      <c r="O132" s="27" t="str">
        <f t="shared" si="1"/>
        <v>indoreace4</v>
      </c>
      <c r="P132" s="27">
        <f>vlookup(O132,'Terms and condition'!$F:$H,3,0)/day(eomonth(B132,0))</f>
        <v>806.4516129</v>
      </c>
      <c r="Q132" s="27">
        <f t="shared" si="8"/>
        <v>21</v>
      </c>
      <c r="R132" s="27">
        <f t="shared" si="2"/>
        <v>953</v>
      </c>
      <c r="S132" s="27">
        <f t="shared" si="3"/>
        <v>0</v>
      </c>
      <c r="T132" s="27">
        <f t="shared" si="4"/>
        <v>0</v>
      </c>
      <c r="U132" s="28">
        <v>0.0</v>
      </c>
      <c r="V132" s="27">
        <f t="shared" si="5"/>
        <v>0</v>
      </c>
      <c r="W132" s="29">
        <f t="shared" si="6"/>
        <v>0</v>
      </c>
      <c r="X132" s="30">
        <f t="shared" si="7"/>
        <v>806.4516129</v>
      </c>
    </row>
    <row r="133">
      <c r="A133" s="3">
        <f>IFERROR(__xludf.DUMMYFUNCTION("""COMPUTED_VALUE"""),126.0)</f>
        <v>126</v>
      </c>
      <c r="B133" s="4">
        <f>IFERROR(__xludf.DUMMYFUNCTION("""COMPUTED_VALUE"""),45587.0)</f>
        <v>45587</v>
      </c>
      <c r="C133" s="3" t="str">
        <f>IFERROR(__xludf.DUMMYFUNCTION("""COMPUTED_VALUE"""),"INDORE")</f>
        <v>INDORE</v>
      </c>
      <c r="D133" s="5" t="str">
        <f>IFERROR(__xludf.DUMMYFUNCTION("""COMPUTED_VALUE"""),"SLK8")</f>
        <v>SLK8</v>
      </c>
      <c r="E133" s="6" t="str">
        <f>IFERROR(__xludf.DUMMYFUNCTION("""COMPUTED_VALUE"""),"ALPHABETZ SERVICES")</f>
        <v>ALPHABETZ SERVICES</v>
      </c>
      <c r="F133" s="6" t="str">
        <f>IFERROR(__xludf.DUMMYFUNCTION("""COMPUTED_VALUE"""),"MP09LP8407")</f>
        <v>MP09LP8407</v>
      </c>
      <c r="G133" s="6" t="str">
        <f>IFERROR(__xludf.DUMMYFUNCTION("""COMPUTED_VALUE"""),"ACE")</f>
        <v>ACE</v>
      </c>
      <c r="H133" s="6" t="str">
        <f>IFERROR(__xludf.DUMMYFUNCTION("""COMPUTED_VALUE"""),"DIESEL")</f>
        <v>DIESEL</v>
      </c>
      <c r="I133" s="6">
        <f>IFERROR(__xludf.DUMMYFUNCTION("""COMPUTED_VALUE"""),4.0)</f>
        <v>4</v>
      </c>
      <c r="J133" s="8">
        <f>IFERROR(__xludf.DUMMYFUNCTION("""COMPUTED_VALUE"""),0.1284722222222222)</f>
        <v>0.1284722222</v>
      </c>
      <c r="K133" s="8">
        <f>IFERROR(__xludf.DUMMYFUNCTION("""COMPUTED_VALUE"""),0.14305555555555555)</f>
        <v>0.1430555556</v>
      </c>
      <c r="L133" s="8">
        <f>IFERROR(__xludf.DUMMYFUNCTION("""COMPUTED_VALUE"""),0.3125)</f>
        <v>0.3125</v>
      </c>
      <c r="M133" s="8">
        <f>IFERROR(__xludf.DUMMYFUNCTION("""COMPUTED_VALUE"""),0.3194444444444444)</f>
        <v>0.3194444444</v>
      </c>
      <c r="N133" s="10">
        <f>IFERROR(__xludf.DUMMYFUNCTION("""COMPUTED_VALUE"""),35.0)</f>
        <v>35</v>
      </c>
      <c r="O133" s="27" t="str">
        <f t="shared" si="1"/>
        <v>indoreace4</v>
      </c>
      <c r="P133" s="27">
        <f>vlookup(O133,'Terms and condition'!$F:$H,3,0)/day(eomonth(B133,0))</f>
        <v>806.4516129</v>
      </c>
      <c r="Q133" s="27">
        <f t="shared" si="8"/>
        <v>31</v>
      </c>
      <c r="R133" s="27">
        <f t="shared" si="2"/>
        <v>1063</v>
      </c>
      <c r="S133" s="27">
        <f t="shared" si="3"/>
        <v>16.25806452</v>
      </c>
      <c r="T133" s="27">
        <f t="shared" si="4"/>
        <v>32.25806452</v>
      </c>
      <c r="U133" s="28">
        <v>0.0</v>
      </c>
      <c r="V133" s="27">
        <f t="shared" si="5"/>
        <v>0</v>
      </c>
      <c r="W133" s="29">
        <f t="shared" si="6"/>
        <v>0</v>
      </c>
      <c r="X133" s="30">
        <f t="shared" si="7"/>
        <v>854.9677419</v>
      </c>
    </row>
    <row r="134">
      <c r="A134" s="3">
        <f>IFERROR(__xludf.DUMMYFUNCTION("""COMPUTED_VALUE"""),127.0)</f>
        <v>127</v>
      </c>
      <c r="B134" s="4">
        <f>IFERROR(__xludf.DUMMYFUNCTION("""COMPUTED_VALUE"""),45588.0)</f>
        <v>45588</v>
      </c>
      <c r="C134" s="3" t="str">
        <f>IFERROR(__xludf.DUMMYFUNCTION("""COMPUTED_VALUE"""),"INDORE")</f>
        <v>INDORE</v>
      </c>
      <c r="D134" s="5" t="str">
        <f>IFERROR(__xludf.DUMMYFUNCTION("""COMPUTED_VALUE"""),"SLK8")</f>
        <v>SLK8</v>
      </c>
      <c r="E134" s="6" t="str">
        <f>IFERROR(__xludf.DUMMYFUNCTION("""COMPUTED_VALUE"""),"ALPHABETZ SERVICES")</f>
        <v>ALPHABETZ SERVICES</v>
      </c>
      <c r="F134" s="6" t="str">
        <f>IFERROR(__xludf.DUMMYFUNCTION("""COMPUTED_VALUE"""),"MP09LR7355")</f>
        <v>MP09LR7355</v>
      </c>
      <c r="G134" s="6" t="str">
        <f>IFERROR(__xludf.DUMMYFUNCTION("""COMPUTED_VALUE"""),"ACE")</f>
        <v>ACE</v>
      </c>
      <c r="H134" s="6" t="str">
        <f>IFERROR(__xludf.DUMMYFUNCTION("""COMPUTED_VALUE"""),"DIESEL")</f>
        <v>DIESEL</v>
      </c>
      <c r="I134" s="6">
        <f>IFERROR(__xludf.DUMMYFUNCTION("""COMPUTED_VALUE"""),4.0)</f>
        <v>4</v>
      </c>
      <c r="J134" s="8">
        <f>IFERROR(__xludf.DUMMYFUNCTION("""COMPUTED_VALUE"""),0.125)</f>
        <v>0.125</v>
      </c>
      <c r="K134" s="8">
        <f>IFERROR(__xludf.DUMMYFUNCTION("""COMPUTED_VALUE"""),0.13333333333333333)</f>
        <v>0.1333333333</v>
      </c>
      <c r="L134" s="8">
        <f>IFERROR(__xludf.DUMMYFUNCTION("""COMPUTED_VALUE"""),0.3020833333333333)</f>
        <v>0.3020833333</v>
      </c>
      <c r="M134" s="8">
        <f>IFERROR(__xludf.DUMMYFUNCTION("""COMPUTED_VALUE"""),0.30625)</f>
        <v>0.30625</v>
      </c>
      <c r="N134" s="10">
        <f>IFERROR(__xludf.DUMMYFUNCTION("""COMPUTED_VALUE"""),46.0)</f>
        <v>46</v>
      </c>
      <c r="O134" s="27" t="str">
        <f t="shared" si="1"/>
        <v>indoreace4</v>
      </c>
      <c r="P134" s="27">
        <f>vlookup(O134,'Terms and condition'!$F:$H,3,0)/day(eomonth(B134,0))</f>
        <v>806.4516129</v>
      </c>
      <c r="Q134" s="27">
        <f t="shared" si="8"/>
        <v>30</v>
      </c>
      <c r="R134" s="27">
        <f t="shared" si="2"/>
        <v>1436</v>
      </c>
      <c r="S134" s="27">
        <f t="shared" si="3"/>
        <v>116.2666667</v>
      </c>
      <c r="T134" s="27">
        <f t="shared" si="4"/>
        <v>0</v>
      </c>
      <c r="U134" s="28">
        <v>0.0</v>
      </c>
      <c r="V134" s="27">
        <f t="shared" si="5"/>
        <v>0</v>
      </c>
      <c r="W134" s="29">
        <f t="shared" si="6"/>
        <v>0</v>
      </c>
      <c r="X134" s="30">
        <f t="shared" si="7"/>
        <v>922.7182796</v>
      </c>
    </row>
    <row r="135">
      <c r="A135" s="3">
        <f>IFERROR(__xludf.DUMMYFUNCTION("""COMPUTED_VALUE"""),128.0)</f>
        <v>128</v>
      </c>
      <c r="B135" s="13">
        <f>IFERROR(__xludf.DUMMYFUNCTION("""COMPUTED_VALUE"""),45588.0)</f>
        <v>45588</v>
      </c>
      <c r="C135" s="12" t="str">
        <f>IFERROR(__xludf.DUMMYFUNCTION("""COMPUTED_VALUE"""),"INDORE")</f>
        <v>INDORE</v>
      </c>
      <c r="D135" s="14" t="str">
        <f>IFERROR(__xludf.DUMMYFUNCTION("""COMPUTED_VALUE"""),"SLK8")</f>
        <v>SLK8</v>
      </c>
      <c r="E135" s="6" t="str">
        <f>IFERROR(__xludf.DUMMYFUNCTION("""COMPUTED_VALUE"""),"ALPHABETZ SERVICES")</f>
        <v>ALPHABETZ SERVICES</v>
      </c>
      <c r="F135" s="6" t="str">
        <f>IFERROR(__xludf.DUMMYFUNCTION("""COMPUTED_VALUE"""),"MP09ZZ6272")</f>
        <v>MP09ZZ6272</v>
      </c>
      <c r="G135" s="6" t="str">
        <f>IFERROR(__xludf.DUMMYFUNCTION("""COMPUTED_VALUE"""),"ACE")</f>
        <v>ACE</v>
      </c>
      <c r="H135" s="6" t="str">
        <f>IFERROR(__xludf.DUMMYFUNCTION("""COMPUTED_VALUE"""),"DIESEL")</f>
        <v>DIESEL</v>
      </c>
      <c r="I135" s="6">
        <f>IFERROR(__xludf.DUMMYFUNCTION("""COMPUTED_VALUE"""),4.0)</f>
        <v>4</v>
      </c>
      <c r="J135" s="15">
        <f>IFERROR(__xludf.DUMMYFUNCTION("""COMPUTED_VALUE"""),0.12777777777777777)</f>
        <v>0.1277777778</v>
      </c>
      <c r="K135" s="15">
        <f>IFERROR(__xludf.DUMMYFUNCTION("""COMPUTED_VALUE"""),0.13472222222222222)</f>
        <v>0.1347222222</v>
      </c>
      <c r="L135" s="15">
        <f>IFERROR(__xludf.DUMMYFUNCTION("""COMPUTED_VALUE"""),0.3298611111111111)</f>
        <v>0.3298611111</v>
      </c>
      <c r="M135" s="15">
        <f>IFERROR(__xludf.DUMMYFUNCTION("""COMPUTED_VALUE"""),0.3333333333333333)</f>
        <v>0.3333333333</v>
      </c>
      <c r="N135" s="18">
        <f>IFERROR(__xludf.DUMMYFUNCTION("""COMPUTED_VALUE"""),45.0)</f>
        <v>45</v>
      </c>
      <c r="O135" s="27" t="str">
        <f t="shared" si="1"/>
        <v>indoreace4</v>
      </c>
      <c r="P135" s="27">
        <f>vlookup(O135,'Terms and condition'!$F:$H,3,0)/day(eomonth(B135,0))</f>
        <v>806.4516129</v>
      </c>
      <c r="Q135" s="27">
        <f t="shared" si="8"/>
        <v>21</v>
      </c>
      <c r="R135" s="27">
        <f t="shared" si="2"/>
        <v>953</v>
      </c>
      <c r="S135" s="27">
        <f t="shared" si="3"/>
        <v>0</v>
      </c>
      <c r="T135" s="27">
        <f t="shared" si="4"/>
        <v>0</v>
      </c>
      <c r="U135" s="28">
        <v>0.0</v>
      </c>
      <c r="V135" s="27">
        <f t="shared" si="5"/>
        <v>0</v>
      </c>
      <c r="W135" s="29">
        <f t="shared" si="6"/>
        <v>0</v>
      </c>
      <c r="X135" s="30">
        <f t="shared" si="7"/>
        <v>806.4516129</v>
      </c>
    </row>
    <row r="136">
      <c r="A136" s="3">
        <f>IFERROR(__xludf.DUMMYFUNCTION("""COMPUTED_VALUE"""),129.0)</f>
        <v>129</v>
      </c>
      <c r="B136" s="13">
        <f>IFERROR(__xludf.DUMMYFUNCTION("""COMPUTED_VALUE"""),45588.0)</f>
        <v>45588</v>
      </c>
      <c r="C136" s="12" t="str">
        <f>IFERROR(__xludf.DUMMYFUNCTION("""COMPUTED_VALUE"""),"INDORE")</f>
        <v>INDORE</v>
      </c>
      <c r="D136" s="14" t="str">
        <f>IFERROR(__xludf.DUMMYFUNCTION("""COMPUTED_VALUE"""),"SLK8")</f>
        <v>SLK8</v>
      </c>
      <c r="E136" s="6" t="str">
        <f>IFERROR(__xludf.DUMMYFUNCTION("""COMPUTED_VALUE"""),"ALPHABETZ SERVICES")</f>
        <v>ALPHABETZ SERVICES</v>
      </c>
      <c r="F136" s="6" t="str">
        <f>IFERROR(__xludf.DUMMYFUNCTION("""COMPUTED_VALUE"""),"MP09LP8407")</f>
        <v>MP09LP8407</v>
      </c>
      <c r="G136" s="6" t="str">
        <f>IFERROR(__xludf.DUMMYFUNCTION("""COMPUTED_VALUE"""),"ACE")</f>
        <v>ACE</v>
      </c>
      <c r="H136" s="6" t="str">
        <f>IFERROR(__xludf.DUMMYFUNCTION("""COMPUTED_VALUE"""),"DIESEL")</f>
        <v>DIESEL</v>
      </c>
      <c r="I136" s="6">
        <f>IFERROR(__xludf.DUMMYFUNCTION("""COMPUTED_VALUE"""),4.0)</f>
        <v>4</v>
      </c>
      <c r="J136" s="15">
        <f>IFERROR(__xludf.DUMMYFUNCTION("""COMPUTED_VALUE"""),0.12638888888888888)</f>
        <v>0.1263888889</v>
      </c>
      <c r="K136" s="15">
        <f>IFERROR(__xludf.DUMMYFUNCTION("""COMPUTED_VALUE"""),0.13541666666666666)</f>
        <v>0.1354166667</v>
      </c>
      <c r="L136" s="15">
        <f>IFERROR(__xludf.DUMMYFUNCTION("""COMPUTED_VALUE"""),0.3541666666666667)</f>
        <v>0.3541666667</v>
      </c>
      <c r="M136" s="15">
        <f>IFERROR(__xludf.DUMMYFUNCTION("""COMPUTED_VALUE"""),0.35833333333333334)</f>
        <v>0.3583333333</v>
      </c>
      <c r="N136" s="18">
        <f>IFERROR(__xludf.DUMMYFUNCTION("""COMPUTED_VALUE"""),42.0)</f>
        <v>42</v>
      </c>
      <c r="O136" s="27" t="str">
        <f t="shared" si="1"/>
        <v>indoreace4</v>
      </c>
      <c r="P136" s="27">
        <f>vlookup(O136,'Terms and condition'!$F:$H,3,0)/day(eomonth(B136,0))</f>
        <v>806.4516129</v>
      </c>
      <c r="Q136" s="27">
        <f t="shared" si="8"/>
        <v>31</v>
      </c>
      <c r="R136" s="27">
        <f t="shared" si="2"/>
        <v>1063</v>
      </c>
      <c r="S136" s="27">
        <f t="shared" si="3"/>
        <v>16.25806452</v>
      </c>
      <c r="T136" s="27">
        <f t="shared" si="4"/>
        <v>32.25806452</v>
      </c>
      <c r="U136" s="28">
        <v>0.0</v>
      </c>
      <c r="V136" s="27">
        <f t="shared" si="5"/>
        <v>0</v>
      </c>
      <c r="W136" s="29">
        <f t="shared" si="6"/>
        <v>150</v>
      </c>
      <c r="X136" s="30">
        <f t="shared" si="7"/>
        <v>1004.967742</v>
      </c>
    </row>
    <row r="137">
      <c r="A137" s="3">
        <f>IFERROR(__xludf.DUMMYFUNCTION("""COMPUTED_VALUE"""),130.0)</f>
        <v>130</v>
      </c>
      <c r="B137" s="4">
        <f>IFERROR(__xludf.DUMMYFUNCTION("""COMPUTED_VALUE"""),45588.0)</f>
        <v>45588</v>
      </c>
      <c r="C137" s="3" t="str">
        <f>IFERROR(__xludf.DUMMYFUNCTION("""COMPUTED_VALUE"""),"INDORE")</f>
        <v>INDORE</v>
      </c>
      <c r="D137" s="5" t="str">
        <f>IFERROR(__xludf.DUMMYFUNCTION("""COMPUTED_VALUE"""),"SLK8")</f>
        <v>SLK8</v>
      </c>
      <c r="E137" s="6" t="str">
        <f>IFERROR(__xludf.DUMMYFUNCTION("""COMPUTED_VALUE"""),"ALPHABETZ SERVICES")</f>
        <v>ALPHABETZ SERVICES</v>
      </c>
      <c r="F137" s="6" t="str">
        <f>IFERROR(__xludf.DUMMYFUNCTION("""COMPUTED_VALUE"""),"MP09ZY2923")</f>
        <v>MP09ZY2923</v>
      </c>
      <c r="G137" s="6" t="str">
        <f>IFERROR(__xludf.DUMMYFUNCTION("""COMPUTED_VALUE"""),"ACE")</f>
        <v>ACE</v>
      </c>
      <c r="H137" s="6" t="str">
        <f>IFERROR(__xludf.DUMMYFUNCTION("""COMPUTED_VALUE"""),"DIESEL")</f>
        <v>DIESEL</v>
      </c>
      <c r="I137" s="6">
        <f>IFERROR(__xludf.DUMMYFUNCTION("""COMPUTED_VALUE"""),4.0)</f>
        <v>4</v>
      </c>
      <c r="J137" s="8">
        <f>IFERROR(__xludf.DUMMYFUNCTION("""COMPUTED_VALUE"""),0.12569444444444444)</f>
        <v>0.1256944444</v>
      </c>
      <c r="K137" s="8">
        <f>IFERROR(__xludf.DUMMYFUNCTION("""COMPUTED_VALUE"""),0.1375)</f>
        <v>0.1375</v>
      </c>
      <c r="L137" s="8">
        <f>IFERROR(__xludf.DUMMYFUNCTION("""COMPUTED_VALUE"""),0.3368055555555556)</f>
        <v>0.3368055556</v>
      </c>
      <c r="M137" s="8">
        <f>IFERROR(__xludf.DUMMYFUNCTION("""COMPUTED_VALUE"""),0.3402777777777778)</f>
        <v>0.3402777778</v>
      </c>
      <c r="N137" s="10">
        <f>IFERROR(__xludf.DUMMYFUNCTION("""COMPUTED_VALUE"""),32.0)</f>
        <v>32</v>
      </c>
      <c r="O137" s="27" t="str">
        <f t="shared" si="1"/>
        <v>indoreace4</v>
      </c>
      <c r="P137" s="27">
        <f>vlookup(O137,'Terms and condition'!$F:$H,3,0)/day(eomonth(B137,0))</f>
        <v>806.4516129</v>
      </c>
      <c r="Q137" s="27">
        <f t="shared" si="8"/>
        <v>31</v>
      </c>
      <c r="R137" s="27">
        <f t="shared" si="2"/>
        <v>988</v>
      </c>
      <c r="S137" s="27">
        <f t="shared" si="3"/>
        <v>0</v>
      </c>
      <c r="T137" s="27">
        <f t="shared" si="4"/>
        <v>32.25806452</v>
      </c>
      <c r="U137" s="28">
        <v>0.0</v>
      </c>
      <c r="V137" s="27">
        <f t="shared" si="5"/>
        <v>0</v>
      </c>
      <c r="W137" s="29">
        <f t="shared" si="6"/>
        <v>150</v>
      </c>
      <c r="X137" s="30">
        <f t="shared" si="7"/>
        <v>988.7096774</v>
      </c>
    </row>
    <row r="138">
      <c r="A138" s="3">
        <f>IFERROR(__xludf.DUMMYFUNCTION("""COMPUTED_VALUE"""),131.0)</f>
        <v>131</v>
      </c>
      <c r="B138" s="4">
        <f>IFERROR(__xludf.DUMMYFUNCTION("""COMPUTED_VALUE"""),45588.0)</f>
        <v>45588</v>
      </c>
      <c r="C138" s="3" t="str">
        <f>IFERROR(__xludf.DUMMYFUNCTION("""COMPUTED_VALUE"""),"INDORE")</f>
        <v>INDORE</v>
      </c>
      <c r="D138" s="5" t="str">
        <f>IFERROR(__xludf.DUMMYFUNCTION("""COMPUTED_VALUE"""),"SLK8")</f>
        <v>SLK8</v>
      </c>
      <c r="E138" s="6" t="str">
        <f>IFERROR(__xludf.DUMMYFUNCTION("""COMPUTED_VALUE"""),"ALPHABETZ SERVICES")</f>
        <v>ALPHABETZ SERVICES</v>
      </c>
      <c r="F138" s="6" t="str">
        <f>IFERROR(__xludf.DUMMYFUNCTION("""COMPUTED_VALUE"""),"MP54L0316")</f>
        <v>MP54L0316</v>
      </c>
      <c r="G138" s="6" t="str">
        <f>IFERROR(__xludf.DUMMYFUNCTION("""COMPUTED_VALUE"""),"ACE")</f>
        <v>ACE</v>
      </c>
      <c r="H138" s="6" t="str">
        <f>IFERROR(__xludf.DUMMYFUNCTION("""COMPUTED_VALUE"""),"DIESEL")</f>
        <v>DIESEL</v>
      </c>
      <c r="I138" s="6">
        <f>IFERROR(__xludf.DUMMYFUNCTION("""COMPUTED_VALUE"""),4.0)</f>
        <v>4</v>
      </c>
      <c r="J138" s="8">
        <f>IFERROR(__xludf.DUMMYFUNCTION("""COMPUTED_VALUE"""),0.125)</f>
        <v>0.125</v>
      </c>
      <c r="K138" s="8">
        <f>IFERROR(__xludf.DUMMYFUNCTION("""COMPUTED_VALUE"""),0.14166666666666666)</f>
        <v>0.1416666667</v>
      </c>
      <c r="L138" s="8">
        <f>IFERROR(__xludf.DUMMYFUNCTION("""COMPUTED_VALUE"""),0.3055555555555556)</f>
        <v>0.3055555556</v>
      </c>
      <c r="M138" s="8">
        <f>IFERROR(__xludf.DUMMYFUNCTION("""COMPUTED_VALUE"""),0.3104166666666667)</f>
        <v>0.3104166667</v>
      </c>
      <c r="N138" s="10">
        <f>IFERROR(__xludf.DUMMYFUNCTION("""COMPUTED_VALUE"""),45.0)</f>
        <v>45</v>
      </c>
      <c r="O138" s="27" t="str">
        <f t="shared" si="1"/>
        <v>indoreace4</v>
      </c>
      <c r="P138" s="27">
        <f>vlookup(O138,'Terms and condition'!$F:$H,3,0)/day(eomonth(B138,0))</f>
        <v>806.4516129</v>
      </c>
      <c r="Q138" s="27">
        <f t="shared" si="8"/>
        <v>31</v>
      </c>
      <c r="R138" s="27">
        <f t="shared" si="2"/>
        <v>1390</v>
      </c>
      <c r="S138" s="27">
        <f t="shared" si="3"/>
        <v>100.6451613</v>
      </c>
      <c r="T138" s="27">
        <f t="shared" si="4"/>
        <v>32.25806452</v>
      </c>
      <c r="U138" s="28">
        <v>0.0</v>
      </c>
      <c r="V138" s="27">
        <f t="shared" si="5"/>
        <v>0</v>
      </c>
      <c r="W138" s="29">
        <f t="shared" si="6"/>
        <v>0</v>
      </c>
      <c r="X138" s="30">
        <f t="shared" si="7"/>
        <v>939.3548387</v>
      </c>
    </row>
    <row r="139">
      <c r="A139" s="3">
        <f>IFERROR(__xludf.DUMMYFUNCTION("""COMPUTED_VALUE"""),132.0)</f>
        <v>132</v>
      </c>
      <c r="B139" s="4">
        <f>IFERROR(__xludf.DUMMYFUNCTION("""COMPUTED_VALUE"""),45588.0)</f>
        <v>45588</v>
      </c>
      <c r="C139" s="3" t="str">
        <f>IFERROR(__xludf.DUMMYFUNCTION("""COMPUTED_VALUE"""),"INDORE")</f>
        <v>INDORE</v>
      </c>
      <c r="D139" s="5" t="str">
        <f>IFERROR(__xludf.DUMMYFUNCTION("""COMPUTED_VALUE"""),"SLK8")</f>
        <v>SLK8</v>
      </c>
      <c r="E139" s="6" t="str">
        <f>IFERROR(__xludf.DUMMYFUNCTION("""COMPUTED_VALUE"""),"ALPHABETZ SERVICES")</f>
        <v>ALPHABETZ SERVICES</v>
      </c>
      <c r="F139" s="6" t="str">
        <f>IFERROR(__xludf.DUMMYFUNCTION("""COMPUTED_VALUE"""),"MP09ZV0375")</f>
        <v>MP09ZV0375</v>
      </c>
      <c r="G139" s="6" t="str">
        <f>IFERROR(__xludf.DUMMYFUNCTION("""COMPUTED_VALUE"""),"ACE")</f>
        <v>ACE</v>
      </c>
      <c r="H139" s="6" t="str">
        <f>IFERROR(__xludf.DUMMYFUNCTION("""COMPUTED_VALUE"""),"DIESEL")</f>
        <v>DIESEL</v>
      </c>
      <c r="I139" s="6">
        <f>IFERROR(__xludf.DUMMYFUNCTION("""COMPUTED_VALUE"""),4.0)</f>
        <v>4</v>
      </c>
      <c r="J139" s="8">
        <f>IFERROR(__xludf.DUMMYFUNCTION("""COMPUTED_VALUE"""),0.13541666666666666)</f>
        <v>0.1354166667</v>
      </c>
      <c r="K139" s="8">
        <f>IFERROR(__xludf.DUMMYFUNCTION("""COMPUTED_VALUE"""),0.1451388888888889)</f>
        <v>0.1451388889</v>
      </c>
      <c r="L139" s="8">
        <f>IFERROR(__xludf.DUMMYFUNCTION("""COMPUTED_VALUE"""),0.3125)</f>
        <v>0.3125</v>
      </c>
      <c r="M139" s="8">
        <f>IFERROR(__xludf.DUMMYFUNCTION("""COMPUTED_VALUE"""),0.3159722222222222)</f>
        <v>0.3159722222</v>
      </c>
      <c r="N139" s="10">
        <f>IFERROR(__xludf.DUMMYFUNCTION("""COMPUTED_VALUE"""),31.0)</f>
        <v>31</v>
      </c>
      <c r="O139" s="27" t="str">
        <f t="shared" si="1"/>
        <v>indoreace4</v>
      </c>
      <c r="P139" s="27">
        <f>vlookup(O139,'Terms and condition'!$F:$H,3,0)/day(eomonth(B139,0))</f>
        <v>806.4516129</v>
      </c>
      <c r="Q139" s="27">
        <f t="shared" si="8"/>
        <v>26</v>
      </c>
      <c r="R139" s="27">
        <f t="shared" si="2"/>
        <v>802</v>
      </c>
      <c r="S139" s="27">
        <f t="shared" si="3"/>
        <v>0</v>
      </c>
      <c r="T139" s="27">
        <f t="shared" si="4"/>
        <v>0</v>
      </c>
      <c r="U139" s="28">
        <v>0.0</v>
      </c>
      <c r="V139" s="27">
        <f t="shared" si="5"/>
        <v>0</v>
      </c>
      <c r="W139" s="29">
        <f t="shared" si="6"/>
        <v>0</v>
      </c>
      <c r="X139" s="30">
        <f t="shared" si="7"/>
        <v>806.4516129</v>
      </c>
    </row>
    <row r="140">
      <c r="A140" s="3">
        <f>IFERROR(__xludf.DUMMYFUNCTION("""COMPUTED_VALUE"""),133.0)</f>
        <v>133</v>
      </c>
      <c r="B140" s="4">
        <f>IFERROR(__xludf.DUMMYFUNCTION("""COMPUTED_VALUE"""),45589.0)</f>
        <v>45589</v>
      </c>
      <c r="C140" s="3" t="str">
        <f>IFERROR(__xludf.DUMMYFUNCTION("""COMPUTED_VALUE"""),"INDORE")</f>
        <v>INDORE</v>
      </c>
      <c r="D140" s="5" t="str">
        <f>IFERROR(__xludf.DUMMYFUNCTION("""COMPUTED_VALUE"""),"SLK8")</f>
        <v>SLK8</v>
      </c>
      <c r="E140" s="6" t="str">
        <f>IFERROR(__xludf.DUMMYFUNCTION("""COMPUTED_VALUE"""),"ALPHABETZ SERVICES")</f>
        <v>ALPHABETZ SERVICES</v>
      </c>
      <c r="F140" s="6" t="str">
        <f>IFERROR(__xludf.DUMMYFUNCTION("""COMPUTED_VALUE"""),"MP09LR7355")</f>
        <v>MP09LR7355</v>
      </c>
      <c r="G140" s="6" t="str">
        <f>IFERROR(__xludf.DUMMYFUNCTION("""COMPUTED_VALUE"""),"ACE")</f>
        <v>ACE</v>
      </c>
      <c r="H140" s="6" t="str">
        <f>IFERROR(__xludf.DUMMYFUNCTION("""COMPUTED_VALUE"""),"DIESEL")</f>
        <v>DIESEL</v>
      </c>
      <c r="I140" s="6">
        <f>IFERROR(__xludf.DUMMYFUNCTION("""COMPUTED_VALUE"""),4.0)</f>
        <v>4</v>
      </c>
      <c r="J140" s="8">
        <f>IFERROR(__xludf.DUMMYFUNCTION("""COMPUTED_VALUE"""),0.125)</f>
        <v>0.125</v>
      </c>
      <c r="K140" s="8">
        <f>IFERROR(__xludf.DUMMYFUNCTION("""COMPUTED_VALUE"""),0.13680555555555557)</f>
        <v>0.1368055556</v>
      </c>
      <c r="L140" s="8">
        <f>IFERROR(__xludf.DUMMYFUNCTION("""COMPUTED_VALUE"""),0.3055555555555556)</f>
        <v>0.3055555556</v>
      </c>
      <c r="M140" s="8">
        <f>IFERROR(__xludf.DUMMYFUNCTION("""COMPUTED_VALUE"""),0.3090277777777778)</f>
        <v>0.3090277778</v>
      </c>
      <c r="N140" s="10">
        <f>IFERROR(__xludf.DUMMYFUNCTION("""COMPUTED_VALUE"""),47.0)</f>
        <v>47</v>
      </c>
      <c r="O140" s="27" t="str">
        <f t="shared" si="1"/>
        <v>indoreace4</v>
      </c>
      <c r="P140" s="27">
        <f>vlookup(O140,'Terms and condition'!$F:$H,3,0)/day(eomonth(B140,0))</f>
        <v>806.4516129</v>
      </c>
      <c r="Q140" s="27">
        <f t="shared" si="8"/>
        <v>30</v>
      </c>
      <c r="R140" s="27">
        <f t="shared" si="2"/>
        <v>1436</v>
      </c>
      <c r="S140" s="27">
        <f t="shared" si="3"/>
        <v>116.2666667</v>
      </c>
      <c r="T140" s="27">
        <f t="shared" si="4"/>
        <v>0</v>
      </c>
      <c r="U140" s="28">
        <v>0.0</v>
      </c>
      <c r="V140" s="27">
        <f t="shared" si="5"/>
        <v>0</v>
      </c>
      <c r="W140" s="29">
        <f t="shared" si="6"/>
        <v>0</v>
      </c>
      <c r="X140" s="30">
        <f t="shared" si="7"/>
        <v>922.7182796</v>
      </c>
    </row>
    <row r="141">
      <c r="A141" s="3">
        <f>IFERROR(__xludf.DUMMYFUNCTION("""COMPUTED_VALUE"""),134.0)</f>
        <v>134</v>
      </c>
      <c r="B141" s="4">
        <f>IFERROR(__xludf.DUMMYFUNCTION("""COMPUTED_VALUE"""),45589.0)</f>
        <v>45589</v>
      </c>
      <c r="C141" s="3" t="str">
        <f>IFERROR(__xludf.DUMMYFUNCTION("""COMPUTED_VALUE"""),"INDORE")</f>
        <v>INDORE</v>
      </c>
      <c r="D141" s="5" t="str">
        <f>IFERROR(__xludf.DUMMYFUNCTION("""COMPUTED_VALUE"""),"SLK8")</f>
        <v>SLK8</v>
      </c>
      <c r="E141" s="6" t="str">
        <f>IFERROR(__xludf.DUMMYFUNCTION("""COMPUTED_VALUE"""),"ALPHABETZ SERVICES")</f>
        <v>ALPHABETZ SERVICES</v>
      </c>
      <c r="F141" s="6" t="str">
        <f>IFERROR(__xludf.DUMMYFUNCTION("""COMPUTED_VALUE"""),"MP54L0316")</f>
        <v>MP54L0316</v>
      </c>
      <c r="G141" s="6" t="str">
        <f>IFERROR(__xludf.DUMMYFUNCTION("""COMPUTED_VALUE"""),"ACE")</f>
        <v>ACE</v>
      </c>
      <c r="H141" s="6" t="str">
        <f>IFERROR(__xludf.DUMMYFUNCTION("""COMPUTED_VALUE"""),"DIESEL")</f>
        <v>DIESEL</v>
      </c>
      <c r="I141" s="6">
        <f>IFERROR(__xludf.DUMMYFUNCTION("""COMPUTED_VALUE"""),4.0)</f>
        <v>4</v>
      </c>
      <c r="J141" s="8">
        <f>IFERROR(__xludf.DUMMYFUNCTION("""COMPUTED_VALUE"""),0.125)</f>
        <v>0.125</v>
      </c>
      <c r="K141" s="8">
        <f>IFERROR(__xludf.DUMMYFUNCTION("""COMPUTED_VALUE"""),0.13541666666666666)</f>
        <v>0.1354166667</v>
      </c>
      <c r="L141" s="8">
        <f>IFERROR(__xludf.DUMMYFUNCTION("""COMPUTED_VALUE"""),0.3090277777777778)</f>
        <v>0.3090277778</v>
      </c>
      <c r="M141" s="8">
        <f>IFERROR(__xludf.DUMMYFUNCTION("""COMPUTED_VALUE"""),0.3125)</f>
        <v>0.3125</v>
      </c>
      <c r="N141" s="10">
        <f>IFERROR(__xludf.DUMMYFUNCTION("""COMPUTED_VALUE"""),44.0)</f>
        <v>44</v>
      </c>
      <c r="O141" s="27" t="str">
        <f t="shared" si="1"/>
        <v>indoreace4</v>
      </c>
      <c r="P141" s="27">
        <f>vlookup(O141,'Terms and condition'!$F:$H,3,0)/day(eomonth(B141,0))</f>
        <v>806.4516129</v>
      </c>
      <c r="Q141" s="27">
        <f t="shared" si="8"/>
        <v>31</v>
      </c>
      <c r="R141" s="27">
        <f t="shared" si="2"/>
        <v>1390</v>
      </c>
      <c r="S141" s="27">
        <f t="shared" si="3"/>
        <v>100.6451613</v>
      </c>
      <c r="T141" s="27">
        <f t="shared" si="4"/>
        <v>32.25806452</v>
      </c>
      <c r="U141" s="28">
        <v>0.0</v>
      </c>
      <c r="V141" s="27">
        <f t="shared" si="5"/>
        <v>0</v>
      </c>
      <c r="W141" s="29">
        <f t="shared" si="6"/>
        <v>0</v>
      </c>
      <c r="X141" s="30">
        <f t="shared" si="7"/>
        <v>939.3548387</v>
      </c>
    </row>
    <row r="142">
      <c r="A142" s="3">
        <f>IFERROR(__xludf.DUMMYFUNCTION("""COMPUTED_VALUE"""),135.0)</f>
        <v>135</v>
      </c>
      <c r="B142" s="4">
        <f>IFERROR(__xludf.DUMMYFUNCTION("""COMPUTED_VALUE"""),45589.0)</f>
        <v>45589</v>
      </c>
      <c r="C142" s="3" t="str">
        <f>IFERROR(__xludf.DUMMYFUNCTION("""COMPUTED_VALUE"""),"INDORE")</f>
        <v>INDORE</v>
      </c>
      <c r="D142" s="5" t="str">
        <f>IFERROR(__xludf.DUMMYFUNCTION("""COMPUTED_VALUE"""),"SLK8")</f>
        <v>SLK8</v>
      </c>
      <c r="E142" s="6" t="str">
        <f>IFERROR(__xludf.DUMMYFUNCTION("""COMPUTED_VALUE"""),"ALPHABETZ SERVICES")</f>
        <v>ALPHABETZ SERVICES</v>
      </c>
      <c r="F142" s="6" t="str">
        <f>IFERROR(__xludf.DUMMYFUNCTION("""COMPUTED_VALUE"""),"MP09ZY2923")</f>
        <v>MP09ZY2923</v>
      </c>
      <c r="G142" s="6" t="str">
        <f>IFERROR(__xludf.DUMMYFUNCTION("""COMPUTED_VALUE"""),"ACE")</f>
        <v>ACE</v>
      </c>
      <c r="H142" s="6" t="str">
        <f>IFERROR(__xludf.DUMMYFUNCTION("""COMPUTED_VALUE"""),"DIESEL")</f>
        <v>DIESEL</v>
      </c>
      <c r="I142" s="6">
        <f>IFERROR(__xludf.DUMMYFUNCTION("""COMPUTED_VALUE"""),4.0)</f>
        <v>4</v>
      </c>
      <c r="J142" s="8">
        <f>IFERROR(__xludf.DUMMYFUNCTION("""COMPUTED_VALUE"""),0.12569444444444444)</f>
        <v>0.1256944444</v>
      </c>
      <c r="K142" s="8">
        <f>IFERROR(__xludf.DUMMYFUNCTION("""COMPUTED_VALUE"""),0.13680555555555557)</f>
        <v>0.1368055556</v>
      </c>
      <c r="L142" s="8">
        <f>IFERROR(__xludf.DUMMYFUNCTION("""COMPUTED_VALUE"""),0.3055555555555556)</f>
        <v>0.3055555556</v>
      </c>
      <c r="M142" s="8">
        <f>IFERROR(__xludf.DUMMYFUNCTION("""COMPUTED_VALUE"""),0.3090277777777778)</f>
        <v>0.3090277778</v>
      </c>
      <c r="N142" s="10">
        <f>IFERROR(__xludf.DUMMYFUNCTION("""COMPUTED_VALUE"""),31.0)</f>
        <v>31</v>
      </c>
      <c r="O142" s="27" t="str">
        <f t="shared" si="1"/>
        <v>indoreace4</v>
      </c>
      <c r="P142" s="27">
        <f>vlookup(O142,'Terms and condition'!$F:$H,3,0)/day(eomonth(B142,0))</f>
        <v>806.4516129</v>
      </c>
      <c r="Q142" s="27">
        <f t="shared" si="8"/>
        <v>31</v>
      </c>
      <c r="R142" s="27">
        <f t="shared" si="2"/>
        <v>988</v>
      </c>
      <c r="S142" s="27">
        <f t="shared" si="3"/>
        <v>0</v>
      </c>
      <c r="T142" s="27">
        <f t="shared" si="4"/>
        <v>32.25806452</v>
      </c>
      <c r="U142" s="28">
        <v>0.0</v>
      </c>
      <c r="V142" s="27">
        <f t="shared" si="5"/>
        <v>0</v>
      </c>
      <c r="W142" s="29">
        <f t="shared" si="6"/>
        <v>0</v>
      </c>
      <c r="X142" s="30">
        <f t="shared" si="7"/>
        <v>838.7096774</v>
      </c>
    </row>
    <row r="143">
      <c r="A143" s="3">
        <f>IFERROR(__xludf.DUMMYFUNCTION("""COMPUTED_VALUE"""),136.0)</f>
        <v>136</v>
      </c>
      <c r="B143" s="4">
        <f>IFERROR(__xludf.DUMMYFUNCTION("""COMPUTED_VALUE"""),45589.0)</f>
        <v>45589</v>
      </c>
      <c r="C143" s="3" t="str">
        <f>IFERROR(__xludf.DUMMYFUNCTION("""COMPUTED_VALUE"""),"INDORE")</f>
        <v>INDORE</v>
      </c>
      <c r="D143" s="5" t="str">
        <f>IFERROR(__xludf.DUMMYFUNCTION("""COMPUTED_VALUE"""),"SLK8")</f>
        <v>SLK8</v>
      </c>
      <c r="E143" s="6" t="str">
        <f>IFERROR(__xludf.DUMMYFUNCTION("""COMPUTED_VALUE"""),"ALPHABETZ SERVICES")</f>
        <v>ALPHABETZ SERVICES</v>
      </c>
      <c r="F143" s="6" t="str">
        <f>IFERROR(__xludf.DUMMYFUNCTION("""COMPUTED_VALUE"""),"MP09LP8407")</f>
        <v>MP09LP8407</v>
      </c>
      <c r="G143" s="6" t="str">
        <f>IFERROR(__xludf.DUMMYFUNCTION("""COMPUTED_VALUE"""),"ACE")</f>
        <v>ACE</v>
      </c>
      <c r="H143" s="6" t="str">
        <f>IFERROR(__xludf.DUMMYFUNCTION("""COMPUTED_VALUE"""),"DIESEL")</f>
        <v>DIESEL</v>
      </c>
      <c r="I143" s="6">
        <f>IFERROR(__xludf.DUMMYFUNCTION("""COMPUTED_VALUE"""),4.0)</f>
        <v>4</v>
      </c>
      <c r="J143" s="8">
        <f>IFERROR(__xludf.DUMMYFUNCTION("""COMPUTED_VALUE"""),0.12638888888888888)</f>
        <v>0.1263888889</v>
      </c>
      <c r="K143" s="8">
        <f>IFERROR(__xludf.DUMMYFUNCTION("""COMPUTED_VALUE"""),0.1388888888888889)</f>
        <v>0.1388888889</v>
      </c>
      <c r="L143" s="8">
        <f>IFERROR(__xludf.DUMMYFUNCTION("""COMPUTED_VALUE"""),0.2881944444444444)</f>
        <v>0.2881944444</v>
      </c>
      <c r="M143" s="8">
        <f>IFERROR(__xludf.DUMMYFUNCTION("""COMPUTED_VALUE"""),0.2916666666666667)</f>
        <v>0.2916666667</v>
      </c>
      <c r="N143" s="10">
        <f>IFERROR(__xludf.DUMMYFUNCTION("""COMPUTED_VALUE"""),36.0)</f>
        <v>36</v>
      </c>
      <c r="O143" s="27" t="str">
        <f t="shared" si="1"/>
        <v>indoreace4</v>
      </c>
      <c r="P143" s="27">
        <f>vlookup(O143,'Terms and condition'!$F:$H,3,0)/day(eomonth(B143,0))</f>
        <v>806.4516129</v>
      </c>
      <c r="Q143" s="27">
        <f t="shared" si="8"/>
        <v>31</v>
      </c>
      <c r="R143" s="27">
        <f t="shared" si="2"/>
        <v>1063</v>
      </c>
      <c r="S143" s="27">
        <f t="shared" si="3"/>
        <v>16.25806452</v>
      </c>
      <c r="T143" s="27">
        <f t="shared" si="4"/>
        <v>32.25806452</v>
      </c>
      <c r="U143" s="28">
        <v>0.0</v>
      </c>
      <c r="V143" s="27">
        <f t="shared" si="5"/>
        <v>0</v>
      </c>
      <c r="W143" s="29">
        <f t="shared" si="6"/>
        <v>0</v>
      </c>
      <c r="X143" s="30">
        <f t="shared" si="7"/>
        <v>854.9677419</v>
      </c>
    </row>
    <row r="144">
      <c r="A144" s="3">
        <f>IFERROR(__xludf.DUMMYFUNCTION("""COMPUTED_VALUE"""),137.0)</f>
        <v>137</v>
      </c>
      <c r="B144" s="4">
        <f>IFERROR(__xludf.DUMMYFUNCTION("""COMPUTED_VALUE"""),45589.0)</f>
        <v>45589</v>
      </c>
      <c r="C144" s="3" t="str">
        <f>IFERROR(__xludf.DUMMYFUNCTION("""COMPUTED_VALUE"""),"INDORE")</f>
        <v>INDORE</v>
      </c>
      <c r="D144" s="5" t="str">
        <f>IFERROR(__xludf.DUMMYFUNCTION("""COMPUTED_VALUE"""),"SLK8")</f>
        <v>SLK8</v>
      </c>
      <c r="E144" s="6" t="str">
        <f>IFERROR(__xludf.DUMMYFUNCTION("""COMPUTED_VALUE"""),"ALPHABETZ SERVICES")</f>
        <v>ALPHABETZ SERVICES</v>
      </c>
      <c r="F144" s="6" t="str">
        <f>IFERROR(__xludf.DUMMYFUNCTION("""COMPUTED_VALUE"""),"MP09ZV0375")</f>
        <v>MP09ZV0375</v>
      </c>
      <c r="G144" s="6" t="str">
        <f>IFERROR(__xludf.DUMMYFUNCTION("""COMPUTED_VALUE"""),"ACE")</f>
        <v>ACE</v>
      </c>
      <c r="H144" s="6" t="str">
        <f>IFERROR(__xludf.DUMMYFUNCTION("""COMPUTED_VALUE"""),"DIESEL")</f>
        <v>DIESEL</v>
      </c>
      <c r="I144" s="6">
        <f>IFERROR(__xludf.DUMMYFUNCTION("""COMPUTED_VALUE"""),4.0)</f>
        <v>4</v>
      </c>
      <c r="J144" s="8">
        <f>IFERROR(__xludf.DUMMYFUNCTION("""COMPUTED_VALUE"""),0.12777777777777777)</f>
        <v>0.1277777778</v>
      </c>
      <c r="K144" s="8">
        <f>IFERROR(__xludf.DUMMYFUNCTION("""COMPUTED_VALUE"""),0.14305555555555555)</f>
        <v>0.1430555556</v>
      </c>
      <c r="L144" s="8">
        <f>IFERROR(__xludf.DUMMYFUNCTION("""COMPUTED_VALUE"""),0.3125)</f>
        <v>0.3125</v>
      </c>
      <c r="M144" s="8">
        <f>IFERROR(__xludf.DUMMYFUNCTION("""COMPUTED_VALUE"""),0.3159722222222222)</f>
        <v>0.3159722222</v>
      </c>
      <c r="N144" s="10">
        <f>IFERROR(__xludf.DUMMYFUNCTION("""COMPUTED_VALUE"""),31.0)</f>
        <v>31</v>
      </c>
      <c r="O144" s="27" t="str">
        <f t="shared" si="1"/>
        <v>indoreace4</v>
      </c>
      <c r="P144" s="27">
        <f>vlookup(O144,'Terms and condition'!$F:$H,3,0)/day(eomonth(B144,0))</f>
        <v>806.4516129</v>
      </c>
      <c r="Q144" s="27">
        <f t="shared" si="8"/>
        <v>26</v>
      </c>
      <c r="R144" s="27">
        <f t="shared" si="2"/>
        <v>802</v>
      </c>
      <c r="S144" s="27">
        <f t="shared" si="3"/>
        <v>0</v>
      </c>
      <c r="T144" s="27">
        <f t="shared" si="4"/>
        <v>0</v>
      </c>
      <c r="U144" s="28">
        <v>0.0</v>
      </c>
      <c r="V144" s="27">
        <f t="shared" si="5"/>
        <v>0</v>
      </c>
      <c r="W144" s="29">
        <f t="shared" si="6"/>
        <v>0</v>
      </c>
      <c r="X144" s="30">
        <f t="shared" si="7"/>
        <v>806.4516129</v>
      </c>
    </row>
    <row r="145">
      <c r="A145" s="3">
        <f>IFERROR(__xludf.DUMMYFUNCTION("""COMPUTED_VALUE"""),138.0)</f>
        <v>138</v>
      </c>
      <c r="B145" s="4">
        <f>IFERROR(__xludf.DUMMYFUNCTION("""COMPUTED_VALUE"""),45589.0)</f>
        <v>45589</v>
      </c>
      <c r="C145" s="3" t="str">
        <f>IFERROR(__xludf.DUMMYFUNCTION("""COMPUTED_VALUE"""),"INDORE")</f>
        <v>INDORE</v>
      </c>
      <c r="D145" s="5" t="str">
        <f>IFERROR(__xludf.DUMMYFUNCTION("""COMPUTED_VALUE"""),"SLK8")</f>
        <v>SLK8</v>
      </c>
      <c r="E145" s="6" t="str">
        <f>IFERROR(__xludf.DUMMYFUNCTION("""COMPUTED_VALUE"""),"ALPHABETZ SERVICES")</f>
        <v>ALPHABETZ SERVICES</v>
      </c>
      <c r="F145" s="6" t="str">
        <f>IFERROR(__xludf.DUMMYFUNCTION("""COMPUTED_VALUE"""),"MP09ZZ6272")</f>
        <v>MP09ZZ6272</v>
      </c>
      <c r="G145" s="6" t="str">
        <f>IFERROR(__xludf.DUMMYFUNCTION("""COMPUTED_VALUE"""),"ACE")</f>
        <v>ACE</v>
      </c>
      <c r="H145" s="6" t="str">
        <f>IFERROR(__xludf.DUMMYFUNCTION("""COMPUTED_VALUE"""),"DIESEL")</f>
        <v>DIESEL</v>
      </c>
      <c r="I145" s="6">
        <f>IFERROR(__xludf.DUMMYFUNCTION("""COMPUTED_VALUE"""),4.0)</f>
        <v>4</v>
      </c>
      <c r="J145" s="8">
        <f>IFERROR(__xludf.DUMMYFUNCTION("""COMPUTED_VALUE"""),0.1284722222222222)</f>
        <v>0.1284722222</v>
      </c>
      <c r="K145" s="8">
        <f>IFERROR(__xludf.DUMMYFUNCTION("""COMPUTED_VALUE"""),0.14166666666666666)</f>
        <v>0.1416666667</v>
      </c>
      <c r="L145" s="8">
        <f>IFERROR(__xludf.DUMMYFUNCTION("""COMPUTED_VALUE"""),0.3229166666666667)</f>
        <v>0.3229166667</v>
      </c>
      <c r="M145" s="8">
        <f>IFERROR(__xludf.DUMMYFUNCTION("""COMPUTED_VALUE"""),0.3263888888888889)</f>
        <v>0.3263888889</v>
      </c>
      <c r="N145" s="10">
        <f>IFERROR(__xludf.DUMMYFUNCTION("""COMPUTED_VALUE"""),47.0)</f>
        <v>47</v>
      </c>
      <c r="O145" s="27" t="str">
        <f t="shared" si="1"/>
        <v>indoreace4</v>
      </c>
      <c r="P145" s="27">
        <f>vlookup(O145,'Terms and condition'!$F:$H,3,0)/day(eomonth(B145,0))</f>
        <v>806.4516129</v>
      </c>
      <c r="Q145" s="27">
        <f t="shared" si="8"/>
        <v>21</v>
      </c>
      <c r="R145" s="27">
        <f t="shared" si="2"/>
        <v>953</v>
      </c>
      <c r="S145" s="27">
        <f t="shared" si="3"/>
        <v>0</v>
      </c>
      <c r="T145" s="27">
        <f t="shared" si="4"/>
        <v>0</v>
      </c>
      <c r="U145" s="28">
        <v>0.0</v>
      </c>
      <c r="V145" s="27">
        <f t="shared" si="5"/>
        <v>0</v>
      </c>
      <c r="W145" s="29">
        <f t="shared" si="6"/>
        <v>0</v>
      </c>
      <c r="X145" s="30">
        <f t="shared" si="7"/>
        <v>806.4516129</v>
      </c>
    </row>
    <row r="146">
      <c r="A146" s="3">
        <f>IFERROR(__xludf.DUMMYFUNCTION("""COMPUTED_VALUE"""),139.0)</f>
        <v>139</v>
      </c>
      <c r="B146" s="4">
        <f>IFERROR(__xludf.DUMMYFUNCTION("""COMPUTED_VALUE"""),45590.0)</f>
        <v>45590</v>
      </c>
      <c r="C146" s="3" t="str">
        <f>IFERROR(__xludf.DUMMYFUNCTION("""COMPUTED_VALUE"""),"INDORE")</f>
        <v>INDORE</v>
      </c>
      <c r="D146" s="5" t="str">
        <f>IFERROR(__xludf.DUMMYFUNCTION("""COMPUTED_VALUE"""),"SLK8")</f>
        <v>SLK8</v>
      </c>
      <c r="E146" s="6" t="str">
        <f>IFERROR(__xludf.DUMMYFUNCTION("""COMPUTED_VALUE"""),"ALPHABETZ SERVICES")</f>
        <v>ALPHABETZ SERVICES</v>
      </c>
      <c r="F146" s="6" t="str">
        <f>IFERROR(__xludf.DUMMYFUNCTION("""COMPUTED_VALUE"""),"MP04LD5601")</f>
        <v>MP04LD5601</v>
      </c>
      <c r="G146" s="6" t="str">
        <f>IFERROR(__xludf.DUMMYFUNCTION("""COMPUTED_VALUE"""),"ACE")</f>
        <v>ACE</v>
      </c>
      <c r="H146" s="6" t="str">
        <f>IFERROR(__xludf.DUMMYFUNCTION("""COMPUTED_VALUE"""),"DIESEL")</f>
        <v>DIESEL</v>
      </c>
      <c r="I146" s="6">
        <f>IFERROR(__xludf.DUMMYFUNCTION("""COMPUTED_VALUE"""),4.0)</f>
        <v>4</v>
      </c>
      <c r="J146" s="8">
        <f>IFERROR(__xludf.DUMMYFUNCTION("""COMPUTED_VALUE"""),0.125)</f>
        <v>0.125</v>
      </c>
      <c r="K146" s="8">
        <f>IFERROR(__xludf.DUMMYFUNCTION("""COMPUTED_VALUE"""),0.13194444444444445)</f>
        <v>0.1319444444</v>
      </c>
      <c r="L146" s="8">
        <f>IFERROR(__xludf.DUMMYFUNCTION("""COMPUTED_VALUE"""),0.2986111111111111)</f>
        <v>0.2986111111</v>
      </c>
      <c r="M146" s="8">
        <f>IFERROR(__xludf.DUMMYFUNCTION("""COMPUTED_VALUE"""),0.3055555555555556)</f>
        <v>0.3055555556</v>
      </c>
      <c r="N146" s="10">
        <f>IFERROR(__xludf.DUMMYFUNCTION("""COMPUTED_VALUE"""),49.0)</f>
        <v>49</v>
      </c>
      <c r="O146" s="27" t="str">
        <f t="shared" si="1"/>
        <v>indoreace4</v>
      </c>
      <c r="P146" s="27">
        <f>vlookup(O146,'Terms and condition'!$F:$H,3,0)/day(eomonth(B146,0))</f>
        <v>806.4516129</v>
      </c>
      <c r="Q146" s="27">
        <f t="shared" si="8"/>
        <v>12</v>
      </c>
      <c r="R146" s="27">
        <f t="shared" si="2"/>
        <v>580</v>
      </c>
      <c r="S146" s="27">
        <f t="shared" si="3"/>
        <v>0</v>
      </c>
      <c r="T146" s="27">
        <f t="shared" si="4"/>
        <v>0</v>
      </c>
      <c r="U146" s="28">
        <v>0.0</v>
      </c>
      <c r="V146" s="27">
        <f t="shared" si="5"/>
        <v>0</v>
      </c>
      <c r="W146" s="29">
        <f t="shared" si="6"/>
        <v>0</v>
      </c>
      <c r="X146" s="30">
        <f t="shared" si="7"/>
        <v>806.4516129</v>
      </c>
    </row>
    <row r="147">
      <c r="A147" s="3">
        <f>IFERROR(__xludf.DUMMYFUNCTION("""COMPUTED_VALUE"""),140.0)</f>
        <v>140</v>
      </c>
      <c r="B147" s="4">
        <f>IFERROR(__xludf.DUMMYFUNCTION("""COMPUTED_VALUE"""),45590.0)</f>
        <v>45590</v>
      </c>
      <c r="C147" s="3" t="str">
        <f>IFERROR(__xludf.DUMMYFUNCTION("""COMPUTED_VALUE"""),"INDORE")</f>
        <v>INDORE</v>
      </c>
      <c r="D147" s="5" t="str">
        <f>IFERROR(__xludf.DUMMYFUNCTION("""COMPUTED_VALUE"""),"SLK8")</f>
        <v>SLK8</v>
      </c>
      <c r="E147" s="6" t="str">
        <f>IFERROR(__xludf.DUMMYFUNCTION("""COMPUTED_VALUE"""),"ALPHABETZ SERVICES")</f>
        <v>ALPHABETZ SERVICES</v>
      </c>
      <c r="F147" s="6" t="str">
        <f>IFERROR(__xludf.DUMMYFUNCTION("""COMPUTED_VALUE"""),"MP54L0316")</f>
        <v>MP54L0316</v>
      </c>
      <c r="G147" s="6" t="str">
        <f>IFERROR(__xludf.DUMMYFUNCTION("""COMPUTED_VALUE"""),"ACE")</f>
        <v>ACE</v>
      </c>
      <c r="H147" s="6" t="str">
        <f>IFERROR(__xludf.DUMMYFUNCTION("""COMPUTED_VALUE"""),"DIESEL")</f>
        <v>DIESEL</v>
      </c>
      <c r="I147" s="6">
        <f>IFERROR(__xludf.DUMMYFUNCTION("""COMPUTED_VALUE"""),4.0)</f>
        <v>4</v>
      </c>
      <c r="J147" s="8">
        <f>IFERROR(__xludf.DUMMYFUNCTION("""COMPUTED_VALUE"""),0.125)</f>
        <v>0.125</v>
      </c>
      <c r="K147" s="8">
        <f>IFERROR(__xludf.DUMMYFUNCTION("""COMPUTED_VALUE"""),0.13541666666666666)</f>
        <v>0.1354166667</v>
      </c>
      <c r="L147" s="8">
        <f>IFERROR(__xludf.DUMMYFUNCTION("""COMPUTED_VALUE"""),0.29930555555555555)</f>
        <v>0.2993055556</v>
      </c>
      <c r="M147" s="8">
        <f>IFERROR(__xludf.DUMMYFUNCTION("""COMPUTED_VALUE"""),0.30416666666666664)</f>
        <v>0.3041666667</v>
      </c>
      <c r="N147" s="10">
        <f>IFERROR(__xludf.DUMMYFUNCTION("""COMPUTED_VALUE"""),44.0)</f>
        <v>44</v>
      </c>
      <c r="O147" s="27" t="str">
        <f t="shared" si="1"/>
        <v>indoreace4</v>
      </c>
      <c r="P147" s="27">
        <f>vlookup(O147,'Terms and condition'!$F:$H,3,0)/day(eomonth(B147,0))</f>
        <v>806.4516129</v>
      </c>
      <c r="Q147" s="27">
        <f t="shared" si="8"/>
        <v>31</v>
      </c>
      <c r="R147" s="27">
        <f t="shared" si="2"/>
        <v>1390</v>
      </c>
      <c r="S147" s="27">
        <f t="shared" si="3"/>
        <v>100.6451613</v>
      </c>
      <c r="T147" s="27">
        <f t="shared" si="4"/>
        <v>32.25806452</v>
      </c>
      <c r="U147" s="28">
        <v>0.0</v>
      </c>
      <c r="V147" s="27">
        <f t="shared" si="5"/>
        <v>0</v>
      </c>
      <c r="W147" s="29">
        <f t="shared" si="6"/>
        <v>0</v>
      </c>
      <c r="X147" s="30">
        <f t="shared" si="7"/>
        <v>939.3548387</v>
      </c>
    </row>
    <row r="148">
      <c r="A148" s="3">
        <f>IFERROR(__xludf.DUMMYFUNCTION("""COMPUTED_VALUE"""),141.0)</f>
        <v>141</v>
      </c>
      <c r="B148" s="4">
        <f>IFERROR(__xludf.DUMMYFUNCTION("""COMPUTED_VALUE"""),45590.0)</f>
        <v>45590</v>
      </c>
      <c r="C148" s="3" t="str">
        <f>IFERROR(__xludf.DUMMYFUNCTION("""COMPUTED_VALUE"""),"INDORE")</f>
        <v>INDORE</v>
      </c>
      <c r="D148" s="5" t="str">
        <f>IFERROR(__xludf.DUMMYFUNCTION("""COMPUTED_VALUE"""),"SLK8")</f>
        <v>SLK8</v>
      </c>
      <c r="E148" s="6" t="str">
        <f>IFERROR(__xludf.DUMMYFUNCTION("""COMPUTED_VALUE"""),"ALPHABETZ SERVICES")</f>
        <v>ALPHABETZ SERVICES</v>
      </c>
      <c r="F148" s="6" t="str">
        <f>IFERROR(__xludf.DUMMYFUNCTION("""COMPUTED_VALUE"""),"MP09ZY2923")</f>
        <v>MP09ZY2923</v>
      </c>
      <c r="G148" s="6" t="str">
        <f>IFERROR(__xludf.DUMMYFUNCTION("""COMPUTED_VALUE"""),"ACE")</f>
        <v>ACE</v>
      </c>
      <c r="H148" s="6" t="str">
        <f>IFERROR(__xludf.DUMMYFUNCTION("""COMPUTED_VALUE"""),"DIESEL")</f>
        <v>DIESEL</v>
      </c>
      <c r="I148" s="6">
        <f>IFERROR(__xludf.DUMMYFUNCTION("""COMPUTED_VALUE"""),4.0)</f>
        <v>4</v>
      </c>
      <c r="J148" s="8">
        <f>IFERROR(__xludf.DUMMYFUNCTION("""COMPUTED_VALUE"""),0.125)</f>
        <v>0.125</v>
      </c>
      <c r="K148" s="8">
        <f>IFERROR(__xludf.DUMMYFUNCTION("""COMPUTED_VALUE"""),0.1375)</f>
        <v>0.1375</v>
      </c>
      <c r="L148" s="8">
        <f>IFERROR(__xludf.DUMMYFUNCTION("""COMPUTED_VALUE"""),0.30486111111111114)</f>
        <v>0.3048611111</v>
      </c>
      <c r="M148" s="8">
        <f>IFERROR(__xludf.DUMMYFUNCTION("""COMPUTED_VALUE"""),0.3111111111111111)</f>
        <v>0.3111111111</v>
      </c>
      <c r="N148" s="10">
        <f>IFERROR(__xludf.DUMMYFUNCTION("""COMPUTED_VALUE"""),31.0)</f>
        <v>31</v>
      </c>
      <c r="O148" s="27" t="str">
        <f t="shared" si="1"/>
        <v>indoreace4</v>
      </c>
      <c r="P148" s="27">
        <f>vlookup(O148,'Terms and condition'!$F:$H,3,0)/day(eomonth(B148,0))</f>
        <v>806.4516129</v>
      </c>
      <c r="Q148" s="27">
        <f t="shared" si="8"/>
        <v>31</v>
      </c>
      <c r="R148" s="27">
        <f t="shared" si="2"/>
        <v>988</v>
      </c>
      <c r="S148" s="27">
        <f t="shared" si="3"/>
        <v>0</v>
      </c>
      <c r="T148" s="27">
        <f t="shared" si="4"/>
        <v>32.25806452</v>
      </c>
      <c r="U148" s="28">
        <v>0.0</v>
      </c>
      <c r="V148" s="27">
        <f t="shared" si="5"/>
        <v>0</v>
      </c>
      <c r="W148" s="29">
        <f t="shared" si="6"/>
        <v>0</v>
      </c>
      <c r="X148" s="30">
        <f t="shared" si="7"/>
        <v>838.7096774</v>
      </c>
    </row>
    <row r="149">
      <c r="A149" s="3">
        <f>IFERROR(__xludf.DUMMYFUNCTION("""COMPUTED_VALUE"""),142.0)</f>
        <v>142</v>
      </c>
      <c r="B149" s="4">
        <f>IFERROR(__xludf.DUMMYFUNCTION("""COMPUTED_VALUE"""),45590.0)</f>
        <v>45590</v>
      </c>
      <c r="C149" s="3" t="str">
        <f>IFERROR(__xludf.DUMMYFUNCTION("""COMPUTED_VALUE"""),"INDORE")</f>
        <v>INDORE</v>
      </c>
      <c r="D149" s="5" t="str">
        <f>IFERROR(__xludf.DUMMYFUNCTION("""COMPUTED_VALUE"""),"SLK8")</f>
        <v>SLK8</v>
      </c>
      <c r="E149" s="6" t="str">
        <f>IFERROR(__xludf.DUMMYFUNCTION("""COMPUTED_VALUE"""),"ALPHABETZ SERVICES")</f>
        <v>ALPHABETZ SERVICES</v>
      </c>
      <c r="F149" s="6" t="str">
        <f>IFERROR(__xludf.DUMMYFUNCTION("""COMPUTED_VALUE"""),"MP07L8679")</f>
        <v>MP07L8679</v>
      </c>
      <c r="G149" s="6" t="str">
        <f>IFERROR(__xludf.DUMMYFUNCTION("""COMPUTED_VALUE"""),"ACE")</f>
        <v>ACE</v>
      </c>
      <c r="H149" s="6" t="str">
        <f>IFERROR(__xludf.DUMMYFUNCTION("""COMPUTED_VALUE"""),"DIESEL")</f>
        <v>DIESEL</v>
      </c>
      <c r="I149" s="6">
        <f>IFERROR(__xludf.DUMMYFUNCTION("""COMPUTED_VALUE"""),4.0)</f>
        <v>4</v>
      </c>
      <c r="J149" s="8">
        <f>IFERROR(__xludf.DUMMYFUNCTION("""COMPUTED_VALUE"""),0.125)</f>
        <v>0.125</v>
      </c>
      <c r="K149" s="8">
        <f>IFERROR(__xludf.DUMMYFUNCTION("""COMPUTED_VALUE"""),0.13819444444444445)</f>
        <v>0.1381944444</v>
      </c>
      <c r="L149" s="8">
        <f>IFERROR(__xludf.DUMMYFUNCTION("""COMPUTED_VALUE"""),0.30416666666666664)</f>
        <v>0.3041666667</v>
      </c>
      <c r="M149" s="8">
        <f>IFERROR(__xludf.DUMMYFUNCTION("""COMPUTED_VALUE"""),0.3125)</f>
        <v>0.3125</v>
      </c>
      <c r="N149" s="10">
        <f>IFERROR(__xludf.DUMMYFUNCTION("""COMPUTED_VALUE"""),32.0)</f>
        <v>32</v>
      </c>
      <c r="O149" s="27" t="str">
        <f t="shared" si="1"/>
        <v>indoreace4</v>
      </c>
      <c r="P149" s="27">
        <f>vlookup(O149,'Terms and condition'!$F:$H,3,0)/day(eomonth(B149,0))</f>
        <v>806.4516129</v>
      </c>
      <c r="Q149" s="27">
        <f t="shared" si="8"/>
        <v>4</v>
      </c>
      <c r="R149" s="27">
        <f t="shared" si="2"/>
        <v>126</v>
      </c>
      <c r="S149" s="27">
        <f t="shared" si="3"/>
        <v>0</v>
      </c>
      <c r="T149" s="27">
        <f t="shared" si="4"/>
        <v>0</v>
      </c>
      <c r="U149" s="28">
        <v>0.0</v>
      </c>
      <c r="V149" s="27">
        <f t="shared" si="5"/>
        <v>0</v>
      </c>
      <c r="W149" s="29">
        <f t="shared" si="6"/>
        <v>0</v>
      </c>
      <c r="X149" s="30">
        <f t="shared" si="7"/>
        <v>806.4516129</v>
      </c>
    </row>
    <row r="150">
      <c r="A150" s="3">
        <f>IFERROR(__xludf.DUMMYFUNCTION("""COMPUTED_VALUE"""),143.0)</f>
        <v>143</v>
      </c>
      <c r="B150" s="4">
        <f>IFERROR(__xludf.DUMMYFUNCTION("""COMPUTED_VALUE"""),45590.0)</f>
        <v>45590</v>
      </c>
      <c r="C150" s="3" t="str">
        <f>IFERROR(__xludf.DUMMYFUNCTION("""COMPUTED_VALUE"""),"INDORE")</f>
        <v>INDORE</v>
      </c>
      <c r="D150" s="5" t="str">
        <f>IFERROR(__xludf.DUMMYFUNCTION("""COMPUTED_VALUE"""),"SLK8")</f>
        <v>SLK8</v>
      </c>
      <c r="E150" s="6" t="str">
        <f>IFERROR(__xludf.DUMMYFUNCTION("""COMPUTED_VALUE"""),"ALPHABETZ SERVICES")</f>
        <v>ALPHABETZ SERVICES</v>
      </c>
      <c r="F150" s="6" t="str">
        <f>IFERROR(__xludf.DUMMYFUNCTION("""COMPUTED_VALUE"""),"MP09LP8407")</f>
        <v>MP09LP8407</v>
      </c>
      <c r="G150" s="6" t="str">
        <f>IFERROR(__xludf.DUMMYFUNCTION("""COMPUTED_VALUE"""),"ACE")</f>
        <v>ACE</v>
      </c>
      <c r="H150" s="6" t="str">
        <f>IFERROR(__xludf.DUMMYFUNCTION("""COMPUTED_VALUE"""),"DIESEL")</f>
        <v>DIESEL</v>
      </c>
      <c r="I150" s="6">
        <f>IFERROR(__xludf.DUMMYFUNCTION("""COMPUTED_VALUE"""),4.0)</f>
        <v>4</v>
      </c>
      <c r="J150" s="8">
        <f>IFERROR(__xludf.DUMMYFUNCTION("""COMPUTED_VALUE"""),0.12638888888888888)</f>
        <v>0.1263888889</v>
      </c>
      <c r="K150" s="8">
        <f>IFERROR(__xludf.DUMMYFUNCTION("""COMPUTED_VALUE"""),0.14027777777777778)</f>
        <v>0.1402777778</v>
      </c>
      <c r="L150" s="8">
        <f>IFERROR(__xludf.DUMMYFUNCTION("""COMPUTED_VALUE"""),0.2986111111111111)</f>
        <v>0.2986111111</v>
      </c>
      <c r="M150" s="8">
        <f>IFERROR(__xludf.DUMMYFUNCTION("""COMPUTED_VALUE"""),0.3020833333333333)</f>
        <v>0.3020833333</v>
      </c>
      <c r="N150" s="10">
        <f>IFERROR(__xludf.DUMMYFUNCTION("""COMPUTED_VALUE"""),35.0)</f>
        <v>35</v>
      </c>
      <c r="O150" s="27" t="str">
        <f t="shared" si="1"/>
        <v>indoreace4</v>
      </c>
      <c r="P150" s="27">
        <f>vlookup(O150,'Terms and condition'!$F:$H,3,0)/day(eomonth(B150,0))</f>
        <v>806.4516129</v>
      </c>
      <c r="Q150" s="27">
        <f t="shared" si="8"/>
        <v>31</v>
      </c>
      <c r="R150" s="27">
        <f t="shared" si="2"/>
        <v>1063</v>
      </c>
      <c r="S150" s="27">
        <f t="shared" si="3"/>
        <v>16.25806452</v>
      </c>
      <c r="T150" s="27">
        <f t="shared" si="4"/>
        <v>32.25806452</v>
      </c>
      <c r="U150" s="28">
        <v>0.0</v>
      </c>
      <c r="V150" s="27">
        <f t="shared" si="5"/>
        <v>0</v>
      </c>
      <c r="W150" s="29">
        <f t="shared" si="6"/>
        <v>0</v>
      </c>
      <c r="X150" s="30">
        <f t="shared" si="7"/>
        <v>854.9677419</v>
      </c>
    </row>
    <row r="151">
      <c r="A151" s="3">
        <f>IFERROR(__xludf.DUMMYFUNCTION("""COMPUTED_VALUE"""),144.0)</f>
        <v>144</v>
      </c>
      <c r="B151" s="4">
        <f>IFERROR(__xludf.DUMMYFUNCTION("""COMPUTED_VALUE"""),45590.0)</f>
        <v>45590</v>
      </c>
      <c r="C151" s="3" t="str">
        <f>IFERROR(__xludf.DUMMYFUNCTION("""COMPUTED_VALUE"""),"INDORE")</f>
        <v>INDORE</v>
      </c>
      <c r="D151" s="5" t="str">
        <f>IFERROR(__xludf.DUMMYFUNCTION("""COMPUTED_VALUE"""),"SLK8")</f>
        <v>SLK8</v>
      </c>
      <c r="E151" s="6" t="str">
        <f>IFERROR(__xludf.DUMMYFUNCTION("""COMPUTED_VALUE"""),"ALPHABETZ SERVICES")</f>
        <v>ALPHABETZ SERVICES</v>
      </c>
      <c r="F151" s="6" t="str">
        <f>IFERROR(__xludf.DUMMYFUNCTION("""COMPUTED_VALUE"""),"MP09LR7355")</f>
        <v>MP09LR7355</v>
      </c>
      <c r="G151" s="6" t="str">
        <f>IFERROR(__xludf.DUMMYFUNCTION("""COMPUTED_VALUE"""),"ACE")</f>
        <v>ACE</v>
      </c>
      <c r="H151" s="6" t="str">
        <f>IFERROR(__xludf.DUMMYFUNCTION("""COMPUTED_VALUE"""),"DIESEL")</f>
        <v>DIESEL</v>
      </c>
      <c r="I151" s="6">
        <f>IFERROR(__xludf.DUMMYFUNCTION("""COMPUTED_VALUE"""),4.0)</f>
        <v>4</v>
      </c>
      <c r="J151" s="8">
        <f>IFERROR(__xludf.DUMMYFUNCTION("""COMPUTED_VALUE"""),0.1284722222222222)</f>
        <v>0.1284722222</v>
      </c>
      <c r="K151" s="8">
        <f>IFERROR(__xludf.DUMMYFUNCTION("""COMPUTED_VALUE"""),0.14444444444444443)</f>
        <v>0.1444444444</v>
      </c>
      <c r="L151" s="8">
        <f>IFERROR(__xludf.DUMMYFUNCTION("""COMPUTED_VALUE"""),0.3125)</f>
        <v>0.3125</v>
      </c>
      <c r="M151" s="8">
        <f>IFERROR(__xludf.DUMMYFUNCTION("""COMPUTED_VALUE"""),0.3159722222222222)</f>
        <v>0.3159722222</v>
      </c>
      <c r="N151" s="10">
        <f>IFERROR(__xludf.DUMMYFUNCTION("""COMPUTED_VALUE"""),47.0)</f>
        <v>47</v>
      </c>
      <c r="O151" s="27" t="str">
        <f t="shared" si="1"/>
        <v>indoreace4</v>
      </c>
      <c r="P151" s="27">
        <f>vlookup(O151,'Terms and condition'!$F:$H,3,0)/day(eomonth(B151,0))</f>
        <v>806.4516129</v>
      </c>
      <c r="Q151" s="27">
        <f t="shared" si="8"/>
        <v>30</v>
      </c>
      <c r="R151" s="27">
        <f t="shared" si="2"/>
        <v>1436</v>
      </c>
      <c r="S151" s="27">
        <f t="shared" si="3"/>
        <v>116.2666667</v>
      </c>
      <c r="T151" s="27">
        <f t="shared" si="4"/>
        <v>0</v>
      </c>
      <c r="U151" s="28">
        <v>0.0</v>
      </c>
      <c r="V151" s="27">
        <f t="shared" si="5"/>
        <v>0</v>
      </c>
      <c r="W151" s="29">
        <f t="shared" si="6"/>
        <v>0</v>
      </c>
      <c r="X151" s="30">
        <f t="shared" si="7"/>
        <v>922.7182796</v>
      </c>
    </row>
    <row r="152">
      <c r="A152" s="3">
        <f>IFERROR(__xludf.DUMMYFUNCTION("""COMPUTED_VALUE"""),145.0)</f>
        <v>145</v>
      </c>
      <c r="B152" s="4">
        <f>IFERROR(__xludf.DUMMYFUNCTION("""COMPUTED_VALUE"""),45591.0)</f>
        <v>45591</v>
      </c>
      <c r="C152" s="3" t="str">
        <f>IFERROR(__xludf.DUMMYFUNCTION("""COMPUTED_VALUE"""),"INDORE")</f>
        <v>INDORE</v>
      </c>
      <c r="D152" s="5" t="str">
        <f>IFERROR(__xludf.DUMMYFUNCTION("""COMPUTED_VALUE"""),"SLK8")</f>
        <v>SLK8</v>
      </c>
      <c r="E152" s="6" t="str">
        <f>IFERROR(__xludf.DUMMYFUNCTION("""COMPUTED_VALUE"""),"ALPHABETZ SERVICES")</f>
        <v>ALPHABETZ SERVICES</v>
      </c>
      <c r="F152" s="6" t="str">
        <f>IFERROR(__xludf.DUMMYFUNCTION("""COMPUTED_VALUE"""),"MP09ZY2923")</f>
        <v>MP09ZY2923</v>
      </c>
      <c r="G152" s="6" t="str">
        <f>IFERROR(__xludf.DUMMYFUNCTION("""COMPUTED_VALUE"""),"ACE")</f>
        <v>ACE</v>
      </c>
      <c r="H152" s="6" t="str">
        <f>IFERROR(__xludf.DUMMYFUNCTION("""COMPUTED_VALUE"""),"DIESEL")</f>
        <v>DIESEL</v>
      </c>
      <c r="I152" s="6">
        <f>IFERROR(__xludf.DUMMYFUNCTION("""COMPUTED_VALUE"""),4.0)</f>
        <v>4</v>
      </c>
      <c r="J152" s="8">
        <f>IFERROR(__xludf.DUMMYFUNCTION("""COMPUTED_VALUE"""),0.125)</f>
        <v>0.125</v>
      </c>
      <c r="K152" s="8">
        <f>IFERROR(__xludf.DUMMYFUNCTION("""COMPUTED_VALUE"""),0.13194444444444445)</f>
        <v>0.1319444444</v>
      </c>
      <c r="L152" s="8">
        <f>IFERROR(__xludf.DUMMYFUNCTION("""COMPUTED_VALUE"""),0.3229166666666667)</f>
        <v>0.3229166667</v>
      </c>
      <c r="M152" s="8">
        <f>IFERROR(__xludf.DUMMYFUNCTION("""COMPUTED_VALUE"""),0.3277777777777778)</f>
        <v>0.3277777778</v>
      </c>
      <c r="N152" s="10">
        <f>IFERROR(__xludf.DUMMYFUNCTION("""COMPUTED_VALUE"""),31.0)</f>
        <v>31</v>
      </c>
      <c r="O152" s="27" t="str">
        <f t="shared" si="1"/>
        <v>indoreace4</v>
      </c>
      <c r="P152" s="27">
        <f>vlookup(O152,'Terms and condition'!$F:$H,3,0)/day(eomonth(B152,0))</f>
        <v>806.4516129</v>
      </c>
      <c r="Q152" s="27">
        <f t="shared" si="8"/>
        <v>31</v>
      </c>
      <c r="R152" s="27">
        <f t="shared" si="2"/>
        <v>988</v>
      </c>
      <c r="S152" s="27">
        <f t="shared" si="3"/>
        <v>0</v>
      </c>
      <c r="T152" s="27">
        <f t="shared" si="4"/>
        <v>32.25806452</v>
      </c>
      <c r="U152" s="28">
        <v>0.0</v>
      </c>
      <c r="V152" s="27">
        <f t="shared" si="5"/>
        <v>0</v>
      </c>
      <c r="W152" s="29">
        <f t="shared" si="6"/>
        <v>0</v>
      </c>
      <c r="X152" s="30">
        <f t="shared" si="7"/>
        <v>838.7096774</v>
      </c>
    </row>
    <row r="153">
      <c r="A153" s="3">
        <f>IFERROR(__xludf.DUMMYFUNCTION("""COMPUTED_VALUE"""),146.0)</f>
        <v>146</v>
      </c>
      <c r="B153" s="4">
        <f>IFERROR(__xludf.DUMMYFUNCTION("""COMPUTED_VALUE"""),45591.0)</f>
        <v>45591</v>
      </c>
      <c r="C153" s="3" t="str">
        <f>IFERROR(__xludf.DUMMYFUNCTION("""COMPUTED_VALUE"""),"INDORE")</f>
        <v>INDORE</v>
      </c>
      <c r="D153" s="5" t="str">
        <f>IFERROR(__xludf.DUMMYFUNCTION("""COMPUTED_VALUE"""),"SLK8")</f>
        <v>SLK8</v>
      </c>
      <c r="E153" s="6" t="str">
        <f>IFERROR(__xludf.DUMMYFUNCTION("""COMPUTED_VALUE"""),"ALPHABETZ SERVICES")</f>
        <v>ALPHABETZ SERVICES</v>
      </c>
      <c r="F153" s="6" t="str">
        <f>IFERROR(__xludf.DUMMYFUNCTION("""COMPUTED_VALUE"""),"MP09LR7355")</f>
        <v>MP09LR7355</v>
      </c>
      <c r="G153" s="6" t="str">
        <f>IFERROR(__xludf.DUMMYFUNCTION("""COMPUTED_VALUE"""),"ACE")</f>
        <v>ACE</v>
      </c>
      <c r="H153" s="6" t="str">
        <f>IFERROR(__xludf.DUMMYFUNCTION("""COMPUTED_VALUE"""),"DIESEL")</f>
        <v>DIESEL</v>
      </c>
      <c r="I153" s="6">
        <f>IFERROR(__xludf.DUMMYFUNCTION("""COMPUTED_VALUE"""),4.0)</f>
        <v>4</v>
      </c>
      <c r="J153" s="8">
        <f>IFERROR(__xludf.DUMMYFUNCTION("""COMPUTED_VALUE"""),0.12569444444444444)</f>
        <v>0.1256944444</v>
      </c>
      <c r="K153" s="8">
        <f>IFERROR(__xludf.DUMMYFUNCTION("""COMPUTED_VALUE"""),0.13333333333333333)</f>
        <v>0.1333333333</v>
      </c>
      <c r="L153" s="8">
        <f>IFERROR(__xludf.DUMMYFUNCTION("""COMPUTED_VALUE"""),0.2847222222222222)</f>
        <v>0.2847222222</v>
      </c>
      <c r="M153" s="8">
        <f>IFERROR(__xludf.DUMMYFUNCTION("""COMPUTED_VALUE"""),0.2986111111111111)</f>
        <v>0.2986111111</v>
      </c>
      <c r="N153" s="10">
        <f>IFERROR(__xludf.DUMMYFUNCTION("""COMPUTED_VALUE"""),46.0)</f>
        <v>46</v>
      </c>
      <c r="O153" s="27" t="str">
        <f t="shared" si="1"/>
        <v>indoreace4</v>
      </c>
      <c r="P153" s="27">
        <f>vlookup(O153,'Terms and condition'!$F:$H,3,0)/day(eomonth(B153,0))</f>
        <v>806.4516129</v>
      </c>
      <c r="Q153" s="27">
        <f t="shared" si="8"/>
        <v>30</v>
      </c>
      <c r="R153" s="27">
        <f t="shared" si="2"/>
        <v>1436</v>
      </c>
      <c r="S153" s="27">
        <f t="shared" si="3"/>
        <v>116.2666667</v>
      </c>
      <c r="T153" s="27">
        <f t="shared" si="4"/>
        <v>0</v>
      </c>
      <c r="U153" s="28">
        <v>0.0</v>
      </c>
      <c r="V153" s="27">
        <f t="shared" si="5"/>
        <v>0</v>
      </c>
      <c r="W153" s="29">
        <f t="shared" si="6"/>
        <v>0</v>
      </c>
      <c r="X153" s="30">
        <f t="shared" si="7"/>
        <v>922.7182796</v>
      </c>
    </row>
    <row r="154">
      <c r="A154" s="3">
        <f>IFERROR(__xludf.DUMMYFUNCTION("""COMPUTED_VALUE"""),147.0)</f>
        <v>147</v>
      </c>
      <c r="B154" s="4">
        <f>IFERROR(__xludf.DUMMYFUNCTION("""COMPUTED_VALUE"""),45591.0)</f>
        <v>45591</v>
      </c>
      <c r="C154" s="3" t="str">
        <f>IFERROR(__xludf.DUMMYFUNCTION("""COMPUTED_VALUE"""),"INDORE")</f>
        <v>INDORE</v>
      </c>
      <c r="D154" s="5" t="str">
        <f>IFERROR(__xludf.DUMMYFUNCTION("""COMPUTED_VALUE"""),"SLK8")</f>
        <v>SLK8</v>
      </c>
      <c r="E154" s="6" t="str">
        <f>IFERROR(__xludf.DUMMYFUNCTION("""COMPUTED_VALUE"""),"ALPHABETZ SERVICES")</f>
        <v>ALPHABETZ SERVICES</v>
      </c>
      <c r="F154" s="6" t="str">
        <f>IFERROR(__xludf.DUMMYFUNCTION("""COMPUTED_VALUE"""),"MP09ZV0375")</f>
        <v>MP09ZV0375</v>
      </c>
      <c r="G154" s="6" t="str">
        <f>IFERROR(__xludf.DUMMYFUNCTION("""COMPUTED_VALUE"""),"ACE")</f>
        <v>ACE</v>
      </c>
      <c r="H154" s="6" t="str">
        <f>IFERROR(__xludf.DUMMYFUNCTION("""COMPUTED_VALUE"""),"DIESEL")</f>
        <v>DIESEL</v>
      </c>
      <c r="I154" s="6">
        <f>IFERROR(__xludf.DUMMYFUNCTION("""COMPUTED_VALUE"""),4.0)</f>
        <v>4</v>
      </c>
      <c r="J154" s="8">
        <f>IFERROR(__xludf.DUMMYFUNCTION("""COMPUTED_VALUE"""),0.12569444444444444)</f>
        <v>0.1256944444</v>
      </c>
      <c r="K154" s="8">
        <f>IFERROR(__xludf.DUMMYFUNCTION("""COMPUTED_VALUE"""),0.13472222222222222)</f>
        <v>0.1347222222</v>
      </c>
      <c r="L154" s="8">
        <f>IFERROR(__xludf.DUMMYFUNCTION("""COMPUTED_VALUE"""),0.2916666666666667)</f>
        <v>0.2916666667</v>
      </c>
      <c r="M154" s="8">
        <f>IFERROR(__xludf.DUMMYFUNCTION("""COMPUTED_VALUE"""),0.3055555555555556)</f>
        <v>0.3055555556</v>
      </c>
      <c r="N154" s="10">
        <f>IFERROR(__xludf.DUMMYFUNCTION("""COMPUTED_VALUE"""),31.0)</f>
        <v>31</v>
      </c>
      <c r="O154" s="27" t="str">
        <f t="shared" si="1"/>
        <v>indoreace4</v>
      </c>
      <c r="P154" s="27">
        <f>vlookup(O154,'Terms and condition'!$F:$H,3,0)/day(eomonth(B154,0))</f>
        <v>806.4516129</v>
      </c>
      <c r="Q154" s="27">
        <f t="shared" si="8"/>
        <v>26</v>
      </c>
      <c r="R154" s="27">
        <f t="shared" si="2"/>
        <v>802</v>
      </c>
      <c r="S154" s="27">
        <f t="shared" si="3"/>
        <v>0</v>
      </c>
      <c r="T154" s="27">
        <f t="shared" si="4"/>
        <v>0</v>
      </c>
      <c r="U154" s="28">
        <v>0.0</v>
      </c>
      <c r="V154" s="27">
        <f t="shared" si="5"/>
        <v>0</v>
      </c>
      <c r="W154" s="29">
        <f t="shared" si="6"/>
        <v>0</v>
      </c>
      <c r="X154" s="30">
        <f t="shared" si="7"/>
        <v>806.4516129</v>
      </c>
    </row>
    <row r="155">
      <c r="A155" s="3">
        <f>IFERROR(__xludf.DUMMYFUNCTION("""COMPUTED_VALUE"""),148.0)</f>
        <v>148</v>
      </c>
      <c r="B155" s="4">
        <f>IFERROR(__xludf.DUMMYFUNCTION("""COMPUTED_VALUE"""),45591.0)</f>
        <v>45591</v>
      </c>
      <c r="C155" s="3" t="str">
        <f>IFERROR(__xludf.DUMMYFUNCTION("""COMPUTED_VALUE"""),"INDORE")</f>
        <v>INDORE</v>
      </c>
      <c r="D155" s="5" t="str">
        <f>IFERROR(__xludf.DUMMYFUNCTION("""COMPUTED_VALUE"""),"SLK8")</f>
        <v>SLK8</v>
      </c>
      <c r="E155" s="6" t="str">
        <f>IFERROR(__xludf.DUMMYFUNCTION("""COMPUTED_VALUE"""),"ALPHABETZ SERVICES")</f>
        <v>ALPHABETZ SERVICES</v>
      </c>
      <c r="F155" s="6" t="str">
        <f>IFERROR(__xludf.DUMMYFUNCTION("""COMPUTED_VALUE"""),"MP54L0316")</f>
        <v>MP54L0316</v>
      </c>
      <c r="G155" s="6" t="str">
        <f>IFERROR(__xludf.DUMMYFUNCTION("""COMPUTED_VALUE"""),"ACE")</f>
        <v>ACE</v>
      </c>
      <c r="H155" s="6" t="str">
        <f>IFERROR(__xludf.DUMMYFUNCTION("""COMPUTED_VALUE"""),"DIESEL")</f>
        <v>DIESEL</v>
      </c>
      <c r="I155" s="6">
        <f>IFERROR(__xludf.DUMMYFUNCTION("""COMPUTED_VALUE"""),4.0)</f>
        <v>4</v>
      </c>
      <c r="J155" s="8">
        <f>IFERROR(__xludf.DUMMYFUNCTION("""COMPUTED_VALUE"""),0.1284722222222222)</f>
        <v>0.1284722222</v>
      </c>
      <c r="K155" s="8">
        <f>IFERROR(__xludf.DUMMYFUNCTION("""COMPUTED_VALUE"""),0.1375)</f>
        <v>0.1375</v>
      </c>
      <c r="L155" s="8">
        <f>IFERROR(__xludf.DUMMYFUNCTION("""COMPUTED_VALUE"""),0.2986111111111111)</f>
        <v>0.2986111111</v>
      </c>
      <c r="M155" s="8">
        <f>IFERROR(__xludf.DUMMYFUNCTION("""COMPUTED_VALUE"""),0.30416666666666664)</f>
        <v>0.3041666667</v>
      </c>
      <c r="N155" s="10">
        <f>IFERROR(__xludf.DUMMYFUNCTION("""COMPUTED_VALUE"""),44.0)</f>
        <v>44</v>
      </c>
      <c r="O155" s="27" t="str">
        <f t="shared" si="1"/>
        <v>indoreace4</v>
      </c>
      <c r="P155" s="27">
        <f>vlookup(O155,'Terms and condition'!$F:$H,3,0)/day(eomonth(B155,0))</f>
        <v>806.4516129</v>
      </c>
      <c r="Q155" s="27">
        <f t="shared" si="8"/>
        <v>31</v>
      </c>
      <c r="R155" s="27">
        <f t="shared" si="2"/>
        <v>1390</v>
      </c>
      <c r="S155" s="27">
        <f t="shared" si="3"/>
        <v>100.6451613</v>
      </c>
      <c r="T155" s="27">
        <f t="shared" si="4"/>
        <v>32.25806452</v>
      </c>
      <c r="U155" s="28">
        <v>0.0</v>
      </c>
      <c r="V155" s="27">
        <f t="shared" si="5"/>
        <v>0</v>
      </c>
      <c r="W155" s="29">
        <f t="shared" si="6"/>
        <v>0</v>
      </c>
      <c r="X155" s="30">
        <f t="shared" si="7"/>
        <v>939.3548387</v>
      </c>
    </row>
    <row r="156">
      <c r="A156" s="3">
        <f>IFERROR(__xludf.DUMMYFUNCTION("""COMPUTED_VALUE"""),149.0)</f>
        <v>149</v>
      </c>
      <c r="B156" s="4">
        <f>IFERROR(__xludf.DUMMYFUNCTION("""COMPUTED_VALUE"""),45591.0)</f>
        <v>45591</v>
      </c>
      <c r="C156" s="3" t="str">
        <f>IFERROR(__xludf.DUMMYFUNCTION("""COMPUTED_VALUE"""),"INDORE")</f>
        <v>INDORE</v>
      </c>
      <c r="D156" s="5" t="str">
        <f>IFERROR(__xludf.DUMMYFUNCTION("""COMPUTED_VALUE"""),"SLK8")</f>
        <v>SLK8</v>
      </c>
      <c r="E156" s="6" t="str">
        <f>IFERROR(__xludf.DUMMYFUNCTION("""COMPUTED_VALUE"""),"ALPHABETZ SERVICES")</f>
        <v>ALPHABETZ SERVICES</v>
      </c>
      <c r="F156" s="6" t="str">
        <f>IFERROR(__xludf.DUMMYFUNCTION("""COMPUTED_VALUE"""),"MP04LD5601")</f>
        <v>MP04LD5601</v>
      </c>
      <c r="G156" s="6" t="str">
        <f>IFERROR(__xludf.DUMMYFUNCTION("""COMPUTED_VALUE"""),"ACE")</f>
        <v>ACE</v>
      </c>
      <c r="H156" s="6" t="str">
        <f>IFERROR(__xludf.DUMMYFUNCTION("""COMPUTED_VALUE"""),"DIESEL")</f>
        <v>DIESEL</v>
      </c>
      <c r="I156" s="6">
        <f>IFERROR(__xludf.DUMMYFUNCTION("""COMPUTED_VALUE"""),4.0)</f>
        <v>4</v>
      </c>
      <c r="J156" s="8">
        <f>IFERROR(__xludf.DUMMYFUNCTION("""COMPUTED_VALUE"""),0.1284722222222222)</f>
        <v>0.1284722222</v>
      </c>
      <c r="K156" s="8">
        <f>IFERROR(__xludf.DUMMYFUNCTION("""COMPUTED_VALUE"""),0.1388888888888889)</f>
        <v>0.1388888889</v>
      </c>
      <c r="L156" s="8">
        <f>IFERROR(__xludf.DUMMYFUNCTION("""COMPUTED_VALUE"""),0.3055555555555556)</f>
        <v>0.3055555556</v>
      </c>
      <c r="M156" s="8">
        <f>IFERROR(__xludf.DUMMYFUNCTION("""COMPUTED_VALUE"""),0.3111111111111111)</f>
        <v>0.3111111111</v>
      </c>
      <c r="N156" s="10">
        <f>IFERROR(__xludf.DUMMYFUNCTION("""COMPUTED_VALUE"""),49.0)</f>
        <v>49</v>
      </c>
      <c r="O156" s="27" t="str">
        <f t="shared" si="1"/>
        <v>indoreace4</v>
      </c>
      <c r="P156" s="27">
        <f>vlookup(O156,'Terms and condition'!$F:$H,3,0)/day(eomonth(B156,0))</f>
        <v>806.4516129</v>
      </c>
      <c r="Q156" s="27">
        <f t="shared" si="8"/>
        <v>12</v>
      </c>
      <c r="R156" s="27">
        <f t="shared" si="2"/>
        <v>580</v>
      </c>
      <c r="S156" s="27">
        <f t="shared" si="3"/>
        <v>0</v>
      </c>
      <c r="T156" s="27">
        <f t="shared" si="4"/>
        <v>0</v>
      </c>
      <c r="U156" s="28">
        <v>0.0</v>
      </c>
      <c r="V156" s="27">
        <f t="shared" si="5"/>
        <v>0</v>
      </c>
      <c r="W156" s="29">
        <f t="shared" si="6"/>
        <v>0</v>
      </c>
      <c r="X156" s="30">
        <f t="shared" si="7"/>
        <v>806.4516129</v>
      </c>
    </row>
    <row r="157">
      <c r="A157" s="3">
        <f>IFERROR(__xludf.DUMMYFUNCTION("""COMPUTED_VALUE"""),150.0)</f>
        <v>150</v>
      </c>
      <c r="B157" s="4">
        <f>IFERROR(__xludf.DUMMYFUNCTION("""COMPUTED_VALUE"""),45591.0)</f>
        <v>45591</v>
      </c>
      <c r="C157" s="3" t="str">
        <f>IFERROR(__xludf.DUMMYFUNCTION("""COMPUTED_VALUE"""),"INDORE")</f>
        <v>INDORE</v>
      </c>
      <c r="D157" s="5" t="str">
        <f>IFERROR(__xludf.DUMMYFUNCTION("""COMPUTED_VALUE"""),"SLK8")</f>
        <v>SLK8</v>
      </c>
      <c r="E157" s="6" t="str">
        <f>IFERROR(__xludf.DUMMYFUNCTION("""COMPUTED_VALUE"""),"ALPHABETZ SERVICES")</f>
        <v>ALPHABETZ SERVICES</v>
      </c>
      <c r="F157" s="6" t="str">
        <f>IFERROR(__xludf.DUMMYFUNCTION("""COMPUTED_VALUE"""),"MP09LP8407")</f>
        <v>MP09LP8407</v>
      </c>
      <c r="G157" s="6" t="str">
        <f>IFERROR(__xludf.DUMMYFUNCTION("""COMPUTED_VALUE"""),"ACE")</f>
        <v>ACE</v>
      </c>
      <c r="H157" s="6" t="str">
        <f>IFERROR(__xludf.DUMMYFUNCTION("""COMPUTED_VALUE"""),"DIESEL")</f>
        <v>DIESEL</v>
      </c>
      <c r="I157" s="6">
        <f>IFERROR(__xludf.DUMMYFUNCTION("""COMPUTED_VALUE"""),4.0)</f>
        <v>4</v>
      </c>
      <c r="J157" s="8">
        <f>IFERROR(__xludf.DUMMYFUNCTION("""COMPUTED_VALUE"""),0.13194444444444445)</f>
        <v>0.1319444444</v>
      </c>
      <c r="K157" s="8">
        <f>IFERROR(__xludf.DUMMYFUNCTION("""COMPUTED_VALUE"""),0.14305555555555555)</f>
        <v>0.1430555556</v>
      </c>
      <c r="L157" s="8">
        <f>IFERROR(__xludf.DUMMYFUNCTION("""COMPUTED_VALUE"""),0.2916666666666667)</f>
        <v>0.2916666667</v>
      </c>
      <c r="M157" s="8">
        <f>IFERROR(__xludf.DUMMYFUNCTION("""COMPUTED_VALUE"""),0.2951388888888889)</f>
        <v>0.2951388889</v>
      </c>
      <c r="N157" s="10">
        <f>IFERROR(__xludf.DUMMYFUNCTION("""COMPUTED_VALUE"""),29.0)</f>
        <v>29</v>
      </c>
      <c r="O157" s="27" t="str">
        <f t="shared" si="1"/>
        <v>indoreace4</v>
      </c>
      <c r="P157" s="27">
        <f>vlookup(O157,'Terms and condition'!$F:$H,3,0)/day(eomonth(B157,0))</f>
        <v>806.4516129</v>
      </c>
      <c r="Q157" s="27">
        <f t="shared" si="8"/>
        <v>31</v>
      </c>
      <c r="R157" s="27">
        <f t="shared" si="2"/>
        <v>1063</v>
      </c>
      <c r="S157" s="27">
        <f t="shared" si="3"/>
        <v>16.25806452</v>
      </c>
      <c r="T157" s="27">
        <f t="shared" si="4"/>
        <v>32.25806452</v>
      </c>
      <c r="U157" s="28">
        <v>0.0</v>
      </c>
      <c r="V157" s="27">
        <f t="shared" si="5"/>
        <v>0</v>
      </c>
      <c r="W157" s="29">
        <f t="shared" si="6"/>
        <v>0</v>
      </c>
      <c r="X157" s="30">
        <f t="shared" si="7"/>
        <v>854.9677419</v>
      </c>
    </row>
    <row r="158">
      <c r="A158" s="3">
        <f>IFERROR(__xludf.DUMMYFUNCTION("""COMPUTED_VALUE"""),151.0)</f>
        <v>151</v>
      </c>
      <c r="B158" s="4">
        <f>IFERROR(__xludf.DUMMYFUNCTION("""COMPUTED_VALUE"""),45592.0)</f>
        <v>45592</v>
      </c>
      <c r="C158" s="3" t="str">
        <f>IFERROR(__xludf.DUMMYFUNCTION("""COMPUTED_VALUE"""),"INDORE")</f>
        <v>INDORE</v>
      </c>
      <c r="D158" s="5" t="str">
        <f>IFERROR(__xludf.DUMMYFUNCTION("""COMPUTED_VALUE"""),"SLK8")</f>
        <v>SLK8</v>
      </c>
      <c r="E158" s="6" t="str">
        <f>IFERROR(__xludf.DUMMYFUNCTION("""COMPUTED_VALUE"""),"ALPHABETZ SERVICES")</f>
        <v>ALPHABETZ SERVICES</v>
      </c>
      <c r="F158" s="6" t="str">
        <f>IFERROR(__xludf.DUMMYFUNCTION("""COMPUTED_VALUE"""),"MP09LR7355")</f>
        <v>MP09LR7355</v>
      </c>
      <c r="G158" s="6" t="str">
        <f>IFERROR(__xludf.DUMMYFUNCTION("""COMPUTED_VALUE"""),"ACE")</f>
        <v>ACE</v>
      </c>
      <c r="H158" s="6" t="str">
        <f>IFERROR(__xludf.DUMMYFUNCTION("""COMPUTED_VALUE"""),"DIESEL")</f>
        <v>DIESEL</v>
      </c>
      <c r="I158" s="6">
        <f>IFERROR(__xludf.DUMMYFUNCTION("""COMPUTED_VALUE"""),4.0)</f>
        <v>4</v>
      </c>
      <c r="J158" s="8">
        <f>IFERROR(__xludf.DUMMYFUNCTION("""COMPUTED_VALUE"""),0.125)</f>
        <v>0.125</v>
      </c>
      <c r="K158" s="8">
        <f>IFERROR(__xludf.DUMMYFUNCTION("""COMPUTED_VALUE"""),0.1388888888888889)</f>
        <v>0.1388888889</v>
      </c>
      <c r="L158" s="8">
        <f>IFERROR(__xludf.DUMMYFUNCTION("""COMPUTED_VALUE"""),0.2951388888888889)</f>
        <v>0.2951388889</v>
      </c>
      <c r="M158" s="8">
        <f>IFERROR(__xludf.DUMMYFUNCTION("""COMPUTED_VALUE"""),0.2986111111111111)</f>
        <v>0.2986111111</v>
      </c>
      <c r="N158" s="10">
        <f>IFERROR(__xludf.DUMMYFUNCTION("""COMPUTED_VALUE"""),46.0)</f>
        <v>46</v>
      </c>
      <c r="O158" s="27" t="str">
        <f t="shared" si="1"/>
        <v>indoreace4</v>
      </c>
      <c r="P158" s="27">
        <f>vlookup(O158,'Terms and condition'!$F:$H,3,0)/day(eomonth(B158,0))</f>
        <v>806.4516129</v>
      </c>
      <c r="Q158" s="27">
        <f t="shared" si="8"/>
        <v>30</v>
      </c>
      <c r="R158" s="27">
        <f t="shared" si="2"/>
        <v>1436</v>
      </c>
      <c r="S158" s="27">
        <f t="shared" si="3"/>
        <v>116.2666667</v>
      </c>
      <c r="T158" s="27">
        <f t="shared" si="4"/>
        <v>0</v>
      </c>
      <c r="U158" s="28">
        <v>0.0</v>
      </c>
      <c r="V158" s="27">
        <f t="shared" si="5"/>
        <v>0</v>
      </c>
      <c r="W158" s="29">
        <f t="shared" si="6"/>
        <v>0</v>
      </c>
      <c r="X158" s="30">
        <f t="shared" si="7"/>
        <v>922.7182796</v>
      </c>
    </row>
    <row r="159">
      <c r="A159" s="3">
        <f>IFERROR(__xludf.DUMMYFUNCTION("""COMPUTED_VALUE"""),152.0)</f>
        <v>152</v>
      </c>
      <c r="B159" s="4">
        <f>IFERROR(__xludf.DUMMYFUNCTION("""COMPUTED_VALUE"""),45592.0)</f>
        <v>45592</v>
      </c>
      <c r="C159" s="3" t="str">
        <f>IFERROR(__xludf.DUMMYFUNCTION("""COMPUTED_VALUE"""),"INDORE")</f>
        <v>INDORE</v>
      </c>
      <c r="D159" s="5" t="str">
        <f>IFERROR(__xludf.DUMMYFUNCTION("""COMPUTED_VALUE"""),"SLK8")</f>
        <v>SLK8</v>
      </c>
      <c r="E159" s="6" t="str">
        <f>IFERROR(__xludf.DUMMYFUNCTION("""COMPUTED_VALUE"""),"ALPHABETZ SERVICES")</f>
        <v>ALPHABETZ SERVICES</v>
      </c>
      <c r="F159" s="6" t="str">
        <f>IFERROR(__xludf.DUMMYFUNCTION("""COMPUTED_VALUE"""),"MP09LP8407")</f>
        <v>MP09LP8407</v>
      </c>
      <c r="G159" s="6" t="str">
        <f>IFERROR(__xludf.DUMMYFUNCTION("""COMPUTED_VALUE"""),"ACE")</f>
        <v>ACE</v>
      </c>
      <c r="H159" s="6" t="str">
        <f>IFERROR(__xludf.DUMMYFUNCTION("""COMPUTED_VALUE"""),"DIESEL")</f>
        <v>DIESEL</v>
      </c>
      <c r="I159" s="6">
        <f>IFERROR(__xludf.DUMMYFUNCTION("""COMPUTED_VALUE"""),4.0)</f>
        <v>4</v>
      </c>
      <c r="J159" s="8">
        <f>IFERROR(__xludf.DUMMYFUNCTION("""COMPUTED_VALUE"""),0.125)</f>
        <v>0.125</v>
      </c>
      <c r="K159" s="8">
        <f>IFERROR(__xludf.DUMMYFUNCTION("""COMPUTED_VALUE"""),0.1423611111111111)</f>
        <v>0.1423611111</v>
      </c>
      <c r="L159" s="8">
        <f>IFERROR(__xludf.DUMMYFUNCTION("""COMPUTED_VALUE"""),0.2916666666666667)</f>
        <v>0.2916666667</v>
      </c>
      <c r="M159" s="8">
        <f>IFERROR(__xludf.DUMMYFUNCTION("""COMPUTED_VALUE"""),0.29791666666666666)</f>
        <v>0.2979166667</v>
      </c>
      <c r="N159" s="10">
        <f>IFERROR(__xludf.DUMMYFUNCTION("""COMPUTED_VALUE"""),35.0)</f>
        <v>35</v>
      </c>
      <c r="O159" s="27" t="str">
        <f t="shared" si="1"/>
        <v>indoreace4</v>
      </c>
      <c r="P159" s="27">
        <f>vlookup(O159,'Terms and condition'!$F:$H,3,0)/day(eomonth(B159,0))</f>
        <v>806.4516129</v>
      </c>
      <c r="Q159" s="27">
        <f t="shared" si="8"/>
        <v>31</v>
      </c>
      <c r="R159" s="27">
        <f t="shared" si="2"/>
        <v>1063</v>
      </c>
      <c r="S159" s="27">
        <f t="shared" si="3"/>
        <v>16.25806452</v>
      </c>
      <c r="T159" s="27">
        <f t="shared" si="4"/>
        <v>32.25806452</v>
      </c>
      <c r="U159" s="28">
        <v>0.0</v>
      </c>
      <c r="V159" s="27">
        <f t="shared" si="5"/>
        <v>0</v>
      </c>
      <c r="W159" s="29">
        <f t="shared" si="6"/>
        <v>0</v>
      </c>
      <c r="X159" s="30">
        <f t="shared" si="7"/>
        <v>854.9677419</v>
      </c>
    </row>
    <row r="160">
      <c r="A160" s="3">
        <f>IFERROR(__xludf.DUMMYFUNCTION("""COMPUTED_VALUE"""),153.0)</f>
        <v>153</v>
      </c>
      <c r="B160" s="4">
        <f>IFERROR(__xludf.DUMMYFUNCTION("""COMPUTED_VALUE"""),45592.0)</f>
        <v>45592</v>
      </c>
      <c r="C160" s="3" t="str">
        <f>IFERROR(__xludf.DUMMYFUNCTION("""COMPUTED_VALUE"""),"INDORE")</f>
        <v>INDORE</v>
      </c>
      <c r="D160" s="5" t="str">
        <f>IFERROR(__xludf.DUMMYFUNCTION("""COMPUTED_VALUE"""),"SLK8")</f>
        <v>SLK8</v>
      </c>
      <c r="E160" s="6" t="str">
        <f>IFERROR(__xludf.DUMMYFUNCTION("""COMPUTED_VALUE"""),"ALPHABETZ SERVICES")</f>
        <v>ALPHABETZ SERVICES</v>
      </c>
      <c r="F160" s="6" t="str">
        <f>IFERROR(__xludf.DUMMYFUNCTION("""COMPUTED_VALUE"""),"MP04LD5601")</f>
        <v>MP04LD5601</v>
      </c>
      <c r="G160" s="6" t="str">
        <f>IFERROR(__xludf.DUMMYFUNCTION("""COMPUTED_VALUE"""),"ACE")</f>
        <v>ACE</v>
      </c>
      <c r="H160" s="6" t="str">
        <f>IFERROR(__xludf.DUMMYFUNCTION("""COMPUTED_VALUE"""),"DIESEL")</f>
        <v>DIESEL</v>
      </c>
      <c r="I160" s="6">
        <f>IFERROR(__xludf.DUMMYFUNCTION("""COMPUTED_VALUE"""),4.0)</f>
        <v>4</v>
      </c>
      <c r="J160" s="8">
        <f>IFERROR(__xludf.DUMMYFUNCTION("""COMPUTED_VALUE"""),0.125)</f>
        <v>0.125</v>
      </c>
      <c r="K160" s="8">
        <f>IFERROR(__xludf.DUMMYFUNCTION("""COMPUTED_VALUE"""),0.1375)</f>
        <v>0.1375</v>
      </c>
      <c r="L160" s="8">
        <f>IFERROR(__xludf.DUMMYFUNCTION("""COMPUTED_VALUE"""),0.29305555555555557)</f>
        <v>0.2930555556</v>
      </c>
      <c r="M160" s="8">
        <f>IFERROR(__xludf.DUMMYFUNCTION("""COMPUTED_VALUE"""),0.2986111111111111)</f>
        <v>0.2986111111</v>
      </c>
      <c r="N160" s="10">
        <f>IFERROR(__xludf.DUMMYFUNCTION("""COMPUTED_VALUE"""),49.0)</f>
        <v>49</v>
      </c>
      <c r="O160" s="27" t="str">
        <f t="shared" si="1"/>
        <v>indoreace4</v>
      </c>
      <c r="P160" s="27">
        <f>vlookup(O160,'Terms and condition'!$F:$H,3,0)/day(eomonth(B160,0))</f>
        <v>806.4516129</v>
      </c>
      <c r="Q160" s="27">
        <f t="shared" si="8"/>
        <v>12</v>
      </c>
      <c r="R160" s="27">
        <f t="shared" si="2"/>
        <v>580</v>
      </c>
      <c r="S160" s="27">
        <f t="shared" si="3"/>
        <v>0</v>
      </c>
      <c r="T160" s="27">
        <f t="shared" si="4"/>
        <v>0</v>
      </c>
      <c r="U160" s="28">
        <v>0.0</v>
      </c>
      <c r="V160" s="27">
        <f t="shared" si="5"/>
        <v>0</v>
      </c>
      <c r="W160" s="29">
        <f t="shared" si="6"/>
        <v>0</v>
      </c>
      <c r="X160" s="30">
        <f t="shared" si="7"/>
        <v>806.4516129</v>
      </c>
    </row>
    <row r="161">
      <c r="A161" s="3">
        <f>IFERROR(__xludf.DUMMYFUNCTION("""COMPUTED_VALUE"""),154.0)</f>
        <v>154</v>
      </c>
      <c r="B161" s="4">
        <f>IFERROR(__xludf.DUMMYFUNCTION("""COMPUTED_VALUE"""),45592.0)</f>
        <v>45592</v>
      </c>
      <c r="C161" s="3" t="str">
        <f>IFERROR(__xludf.DUMMYFUNCTION("""COMPUTED_VALUE"""),"INDORE")</f>
        <v>INDORE</v>
      </c>
      <c r="D161" s="5" t="str">
        <f>IFERROR(__xludf.DUMMYFUNCTION("""COMPUTED_VALUE"""),"SLK8")</f>
        <v>SLK8</v>
      </c>
      <c r="E161" s="6" t="str">
        <f>IFERROR(__xludf.DUMMYFUNCTION("""COMPUTED_VALUE"""),"ALPHABETZ SERVICES")</f>
        <v>ALPHABETZ SERVICES</v>
      </c>
      <c r="F161" s="6" t="str">
        <f>IFERROR(__xludf.DUMMYFUNCTION("""COMPUTED_VALUE"""),"MP54L0316")</f>
        <v>MP54L0316</v>
      </c>
      <c r="G161" s="6" t="str">
        <f>IFERROR(__xludf.DUMMYFUNCTION("""COMPUTED_VALUE"""),"ACE")</f>
        <v>ACE</v>
      </c>
      <c r="H161" s="6" t="str">
        <f>IFERROR(__xludf.DUMMYFUNCTION("""COMPUTED_VALUE"""),"DIESEL")</f>
        <v>DIESEL</v>
      </c>
      <c r="I161" s="6">
        <f>IFERROR(__xludf.DUMMYFUNCTION("""COMPUTED_VALUE"""),4.0)</f>
        <v>4</v>
      </c>
      <c r="J161" s="8">
        <f>IFERROR(__xludf.DUMMYFUNCTION("""COMPUTED_VALUE"""),0.125)</f>
        <v>0.125</v>
      </c>
      <c r="K161" s="8">
        <f>IFERROR(__xludf.DUMMYFUNCTION("""COMPUTED_VALUE"""),0.13958333333333334)</f>
        <v>0.1395833333</v>
      </c>
      <c r="L161" s="8">
        <f>IFERROR(__xludf.DUMMYFUNCTION("""COMPUTED_VALUE"""),0.2986111111111111)</f>
        <v>0.2986111111</v>
      </c>
      <c r="M161" s="8">
        <f>IFERROR(__xludf.DUMMYFUNCTION("""COMPUTED_VALUE"""),0.30277777777777776)</f>
        <v>0.3027777778</v>
      </c>
      <c r="N161" s="10">
        <f>IFERROR(__xludf.DUMMYFUNCTION("""COMPUTED_VALUE"""),44.0)</f>
        <v>44</v>
      </c>
      <c r="O161" s="27" t="str">
        <f t="shared" si="1"/>
        <v>indoreace4</v>
      </c>
      <c r="P161" s="27">
        <f>vlookup(O161,'Terms and condition'!$F:$H,3,0)/day(eomonth(B161,0))</f>
        <v>806.4516129</v>
      </c>
      <c r="Q161" s="27">
        <f t="shared" si="8"/>
        <v>31</v>
      </c>
      <c r="R161" s="27">
        <f t="shared" si="2"/>
        <v>1390</v>
      </c>
      <c r="S161" s="27">
        <f t="shared" si="3"/>
        <v>100.6451613</v>
      </c>
      <c r="T161" s="27">
        <f t="shared" si="4"/>
        <v>32.25806452</v>
      </c>
      <c r="U161" s="28">
        <v>0.0</v>
      </c>
      <c r="V161" s="27">
        <f t="shared" si="5"/>
        <v>0</v>
      </c>
      <c r="W161" s="29">
        <f t="shared" si="6"/>
        <v>0</v>
      </c>
      <c r="X161" s="30">
        <f t="shared" si="7"/>
        <v>939.3548387</v>
      </c>
    </row>
    <row r="162">
      <c r="A162" s="3">
        <f>IFERROR(__xludf.DUMMYFUNCTION("""COMPUTED_VALUE"""),155.0)</f>
        <v>155</v>
      </c>
      <c r="B162" s="4">
        <f>IFERROR(__xludf.DUMMYFUNCTION("""COMPUTED_VALUE"""),45592.0)</f>
        <v>45592</v>
      </c>
      <c r="C162" s="3" t="str">
        <f>IFERROR(__xludf.DUMMYFUNCTION("""COMPUTED_VALUE"""),"INDORE")</f>
        <v>INDORE</v>
      </c>
      <c r="D162" s="5" t="str">
        <f>IFERROR(__xludf.DUMMYFUNCTION("""COMPUTED_VALUE"""),"SLK8")</f>
        <v>SLK8</v>
      </c>
      <c r="E162" s="6" t="str">
        <f>IFERROR(__xludf.DUMMYFUNCTION("""COMPUTED_VALUE"""),"ALPHABETZ SERVICES")</f>
        <v>ALPHABETZ SERVICES</v>
      </c>
      <c r="F162" s="6" t="str">
        <f>IFERROR(__xludf.DUMMYFUNCTION("""COMPUTED_VALUE"""),"MP09ZY2923")</f>
        <v>MP09ZY2923</v>
      </c>
      <c r="G162" s="6" t="str">
        <f>IFERROR(__xludf.DUMMYFUNCTION("""COMPUTED_VALUE"""),"ACE")</f>
        <v>ACE</v>
      </c>
      <c r="H162" s="6" t="str">
        <f>IFERROR(__xludf.DUMMYFUNCTION("""COMPUTED_VALUE"""),"DIESEL")</f>
        <v>DIESEL</v>
      </c>
      <c r="I162" s="6">
        <f>IFERROR(__xludf.DUMMYFUNCTION("""COMPUTED_VALUE"""),4.0)</f>
        <v>4</v>
      </c>
      <c r="J162" s="8">
        <f>IFERROR(__xludf.DUMMYFUNCTION("""COMPUTED_VALUE"""),0.125)</f>
        <v>0.125</v>
      </c>
      <c r="K162" s="8">
        <f>IFERROR(__xludf.DUMMYFUNCTION("""COMPUTED_VALUE"""),0.1423611111111111)</f>
        <v>0.1423611111</v>
      </c>
      <c r="L162" s="8">
        <f>IFERROR(__xludf.DUMMYFUNCTION("""COMPUTED_VALUE"""),0.29930555555555555)</f>
        <v>0.2993055556</v>
      </c>
      <c r="M162" s="8">
        <f>IFERROR(__xludf.DUMMYFUNCTION("""COMPUTED_VALUE"""),0.3055555555555556)</f>
        <v>0.3055555556</v>
      </c>
      <c r="N162" s="10">
        <f>IFERROR(__xludf.DUMMYFUNCTION("""COMPUTED_VALUE"""),31.0)</f>
        <v>31</v>
      </c>
      <c r="O162" s="27" t="str">
        <f t="shared" si="1"/>
        <v>indoreace4</v>
      </c>
      <c r="P162" s="27">
        <f>vlookup(O162,'Terms and condition'!$F:$H,3,0)/day(eomonth(B162,0))</f>
        <v>806.4516129</v>
      </c>
      <c r="Q162" s="27">
        <f t="shared" si="8"/>
        <v>31</v>
      </c>
      <c r="R162" s="27">
        <f t="shared" si="2"/>
        <v>988</v>
      </c>
      <c r="S162" s="27">
        <f t="shared" si="3"/>
        <v>0</v>
      </c>
      <c r="T162" s="27">
        <f t="shared" si="4"/>
        <v>32.25806452</v>
      </c>
      <c r="U162" s="28">
        <v>0.0</v>
      </c>
      <c r="V162" s="27">
        <f t="shared" si="5"/>
        <v>0</v>
      </c>
      <c r="W162" s="29">
        <f t="shared" si="6"/>
        <v>0</v>
      </c>
      <c r="X162" s="30">
        <f t="shared" si="7"/>
        <v>838.7096774</v>
      </c>
    </row>
    <row r="163">
      <c r="A163" s="3">
        <f>IFERROR(__xludf.DUMMYFUNCTION("""COMPUTED_VALUE"""),156.0)</f>
        <v>156</v>
      </c>
      <c r="B163" s="4">
        <f>IFERROR(__xludf.DUMMYFUNCTION("""COMPUTED_VALUE"""),45592.0)</f>
        <v>45592</v>
      </c>
      <c r="C163" s="3" t="str">
        <f>IFERROR(__xludf.DUMMYFUNCTION("""COMPUTED_VALUE"""),"INDORE")</f>
        <v>INDORE</v>
      </c>
      <c r="D163" s="5" t="str">
        <f>IFERROR(__xludf.DUMMYFUNCTION("""COMPUTED_VALUE"""),"SLK8")</f>
        <v>SLK8</v>
      </c>
      <c r="E163" s="6" t="str">
        <f>IFERROR(__xludf.DUMMYFUNCTION("""COMPUTED_VALUE"""),"ALPHABETZ SERVICES")</f>
        <v>ALPHABETZ SERVICES</v>
      </c>
      <c r="F163" s="6" t="str">
        <f>IFERROR(__xludf.DUMMYFUNCTION("""COMPUTED_VALUE"""),"MP09ZV0375")</f>
        <v>MP09ZV0375</v>
      </c>
      <c r="G163" s="6" t="str">
        <f>IFERROR(__xludf.DUMMYFUNCTION("""COMPUTED_VALUE"""),"ACE")</f>
        <v>ACE</v>
      </c>
      <c r="H163" s="6" t="str">
        <f>IFERROR(__xludf.DUMMYFUNCTION("""COMPUTED_VALUE"""),"DIESEL")</f>
        <v>DIESEL</v>
      </c>
      <c r="I163" s="6">
        <f>IFERROR(__xludf.DUMMYFUNCTION("""COMPUTED_VALUE"""),4.0)</f>
        <v>4</v>
      </c>
      <c r="J163" s="8">
        <f>IFERROR(__xludf.DUMMYFUNCTION("""COMPUTED_VALUE"""),0.13680555555555557)</f>
        <v>0.1368055556</v>
      </c>
      <c r="K163" s="8">
        <f>IFERROR(__xludf.DUMMYFUNCTION("""COMPUTED_VALUE"""),0.14305555555555555)</f>
        <v>0.1430555556</v>
      </c>
      <c r="L163" s="8">
        <f>IFERROR(__xludf.DUMMYFUNCTION("""COMPUTED_VALUE"""),0.29791666666666666)</f>
        <v>0.2979166667</v>
      </c>
      <c r="M163" s="8">
        <f>IFERROR(__xludf.DUMMYFUNCTION("""COMPUTED_VALUE"""),0.3055555555555556)</f>
        <v>0.3055555556</v>
      </c>
      <c r="N163" s="10">
        <f>IFERROR(__xludf.DUMMYFUNCTION("""COMPUTED_VALUE"""),31.0)</f>
        <v>31</v>
      </c>
      <c r="O163" s="27" t="str">
        <f t="shared" si="1"/>
        <v>indoreace4</v>
      </c>
      <c r="P163" s="27">
        <f>vlookup(O163,'Terms and condition'!$F:$H,3,0)/day(eomonth(B163,0))</f>
        <v>806.4516129</v>
      </c>
      <c r="Q163" s="27">
        <f t="shared" si="8"/>
        <v>26</v>
      </c>
      <c r="R163" s="27">
        <f t="shared" si="2"/>
        <v>802</v>
      </c>
      <c r="S163" s="27">
        <f t="shared" si="3"/>
        <v>0</v>
      </c>
      <c r="T163" s="27">
        <f t="shared" si="4"/>
        <v>0</v>
      </c>
      <c r="U163" s="28">
        <v>0.0</v>
      </c>
      <c r="V163" s="27">
        <f t="shared" si="5"/>
        <v>0</v>
      </c>
      <c r="W163" s="29">
        <f t="shared" si="6"/>
        <v>0</v>
      </c>
      <c r="X163" s="30">
        <f t="shared" si="7"/>
        <v>806.4516129</v>
      </c>
    </row>
    <row r="164">
      <c r="A164" s="3">
        <f>IFERROR(__xludf.DUMMYFUNCTION("""COMPUTED_VALUE"""),157.0)</f>
        <v>157</v>
      </c>
      <c r="B164" s="4">
        <f>IFERROR(__xludf.DUMMYFUNCTION("""COMPUTED_VALUE"""),45593.0)</f>
        <v>45593</v>
      </c>
      <c r="C164" s="3" t="str">
        <f>IFERROR(__xludf.DUMMYFUNCTION("""COMPUTED_VALUE"""),"INDORE")</f>
        <v>INDORE</v>
      </c>
      <c r="D164" s="5" t="str">
        <f>IFERROR(__xludf.DUMMYFUNCTION("""COMPUTED_VALUE"""),"SLK8")</f>
        <v>SLK8</v>
      </c>
      <c r="E164" s="6" t="str">
        <f>IFERROR(__xludf.DUMMYFUNCTION("""COMPUTED_VALUE"""),"ALPHABETZ SERVICES")</f>
        <v>ALPHABETZ SERVICES</v>
      </c>
      <c r="F164" s="6" t="str">
        <f>IFERROR(__xludf.DUMMYFUNCTION("""COMPUTED_VALUE"""),"MP09LR7355")</f>
        <v>MP09LR7355</v>
      </c>
      <c r="G164" s="6" t="str">
        <f>IFERROR(__xludf.DUMMYFUNCTION("""COMPUTED_VALUE"""),"ACE")</f>
        <v>ACE</v>
      </c>
      <c r="H164" s="6" t="str">
        <f>IFERROR(__xludf.DUMMYFUNCTION("""COMPUTED_VALUE"""),"DIESEL")</f>
        <v>DIESEL</v>
      </c>
      <c r="I164" s="6">
        <f>IFERROR(__xludf.DUMMYFUNCTION("""COMPUTED_VALUE"""),4.0)</f>
        <v>4</v>
      </c>
      <c r="J164" s="8">
        <f>IFERROR(__xludf.DUMMYFUNCTION("""COMPUTED_VALUE"""),0.125)</f>
        <v>0.125</v>
      </c>
      <c r="K164" s="8">
        <f>IFERROR(__xludf.DUMMYFUNCTION("""COMPUTED_VALUE"""),0.13125)</f>
        <v>0.13125</v>
      </c>
      <c r="L164" s="8">
        <f>IFERROR(__xludf.DUMMYFUNCTION("""COMPUTED_VALUE"""),0.2916666666666667)</f>
        <v>0.2916666667</v>
      </c>
      <c r="M164" s="8">
        <f>IFERROR(__xludf.DUMMYFUNCTION("""COMPUTED_VALUE"""),0.2951388888888889)</f>
        <v>0.2951388889</v>
      </c>
      <c r="N164" s="10">
        <f>IFERROR(__xludf.DUMMYFUNCTION("""COMPUTED_VALUE"""),46.0)</f>
        <v>46</v>
      </c>
      <c r="O164" s="27" t="str">
        <f t="shared" si="1"/>
        <v>indoreace4</v>
      </c>
      <c r="P164" s="27">
        <f>vlookup(O164,'Terms and condition'!$F:$H,3,0)/day(eomonth(B164,0))</f>
        <v>806.4516129</v>
      </c>
      <c r="Q164" s="27">
        <f t="shared" si="8"/>
        <v>30</v>
      </c>
      <c r="R164" s="27">
        <f t="shared" si="2"/>
        <v>1436</v>
      </c>
      <c r="S164" s="27">
        <f t="shared" si="3"/>
        <v>116.2666667</v>
      </c>
      <c r="T164" s="27">
        <f t="shared" si="4"/>
        <v>0</v>
      </c>
      <c r="U164" s="28">
        <v>0.0</v>
      </c>
      <c r="V164" s="27">
        <f t="shared" si="5"/>
        <v>0</v>
      </c>
      <c r="W164" s="29">
        <f t="shared" si="6"/>
        <v>0</v>
      </c>
      <c r="X164" s="30">
        <f t="shared" si="7"/>
        <v>922.7182796</v>
      </c>
    </row>
    <row r="165">
      <c r="A165" s="3">
        <f>IFERROR(__xludf.DUMMYFUNCTION("""COMPUTED_VALUE"""),158.0)</f>
        <v>158</v>
      </c>
      <c r="B165" s="4">
        <f>IFERROR(__xludf.DUMMYFUNCTION("""COMPUTED_VALUE"""),45593.0)</f>
        <v>45593</v>
      </c>
      <c r="C165" s="3" t="str">
        <f>IFERROR(__xludf.DUMMYFUNCTION("""COMPUTED_VALUE"""),"INDORE")</f>
        <v>INDORE</v>
      </c>
      <c r="D165" s="5" t="str">
        <f>IFERROR(__xludf.DUMMYFUNCTION("""COMPUTED_VALUE"""),"SLK8")</f>
        <v>SLK8</v>
      </c>
      <c r="E165" s="6" t="str">
        <f>IFERROR(__xludf.DUMMYFUNCTION("""COMPUTED_VALUE"""),"ALPHABETZ SERVICES")</f>
        <v>ALPHABETZ SERVICES</v>
      </c>
      <c r="F165" s="6" t="str">
        <f>IFERROR(__xludf.DUMMYFUNCTION("""COMPUTED_VALUE"""),"MP54L0316")</f>
        <v>MP54L0316</v>
      </c>
      <c r="G165" s="6" t="str">
        <f>IFERROR(__xludf.DUMMYFUNCTION("""COMPUTED_VALUE"""),"ACE")</f>
        <v>ACE</v>
      </c>
      <c r="H165" s="6" t="str">
        <f>IFERROR(__xludf.DUMMYFUNCTION("""COMPUTED_VALUE"""),"DIESEL")</f>
        <v>DIESEL</v>
      </c>
      <c r="I165" s="6">
        <f>IFERROR(__xludf.DUMMYFUNCTION("""COMPUTED_VALUE"""),4.0)</f>
        <v>4</v>
      </c>
      <c r="J165" s="8">
        <f>IFERROR(__xludf.DUMMYFUNCTION("""COMPUTED_VALUE"""),0.125)</f>
        <v>0.125</v>
      </c>
      <c r="K165" s="8">
        <f>IFERROR(__xludf.DUMMYFUNCTION("""COMPUTED_VALUE"""),0.13541666666666666)</f>
        <v>0.1354166667</v>
      </c>
      <c r="L165" s="8">
        <f>IFERROR(__xludf.DUMMYFUNCTION("""COMPUTED_VALUE"""),0.3020833333333333)</f>
        <v>0.3020833333</v>
      </c>
      <c r="M165" s="8">
        <f>IFERROR(__xludf.DUMMYFUNCTION("""COMPUTED_VALUE"""),0.3055555555555556)</f>
        <v>0.3055555556</v>
      </c>
      <c r="N165" s="10">
        <f>IFERROR(__xludf.DUMMYFUNCTION("""COMPUTED_VALUE"""),45.0)</f>
        <v>45</v>
      </c>
      <c r="O165" s="27" t="str">
        <f t="shared" si="1"/>
        <v>indoreace4</v>
      </c>
      <c r="P165" s="27">
        <f>vlookup(O165,'Terms and condition'!$F:$H,3,0)/day(eomonth(B165,0))</f>
        <v>806.4516129</v>
      </c>
      <c r="Q165" s="27">
        <f t="shared" si="8"/>
        <v>31</v>
      </c>
      <c r="R165" s="27">
        <f t="shared" si="2"/>
        <v>1390</v>
      </c>
      <c r="S165" s="27">
        <f t="shared" si="3"/>
        <v>100.6451613</v>
      </c>
      <c r="T165" s="27">
        <f t="shared" si="4"/>
        <v>32.25806452</v>
      </c>
      <c r="U165" s="28">
        <v>0.0</v>
      </c>
      <c r="V165" s="27">
        <f t="shared" si="5"/>
        <v>0</v>
      </c>
      <c r="W165" s="29">
        <f t="shared" si="6"/>
        <v>0</v>
      </c>
      <c r="X165" s="30">
        <f t="shared" si="7"/>
        <v>939.3548387</v>
      </c>
    </row>
    <row r="166">
      <c r="A166" s="3">
        <f>IFERROR(__xludf.DUMMYFUNCTION("""COMPUTED_VALUE"""),159.0)</f>
        <v>159</v>
      </c>
      <c r="B166" s="4">
        <f>IFERROR(__xludf.DUMMYFUNCTION("""COMPUTED_VALUE"""),45593.0)</f>
        <v>45593</v>
      </c>
      <c r="C166" s="3" t="str">
        <f>IFERROR(__xludf.DUMMYFUNCTION("""COMPUTED_VALUE"""),"INDORE")</f>
        <v>INDORE</v>
      </c>
      <c r="D166" s="5" t="str">
        <f>IFERROR(__xludf.DUMMYFUNCTION("""COMPUTED_VALUE"""),"SLK8")</f>
        <v>SLK8</v>
      </c>
      <c r="E166" s="6" t="str">
        <f>IFERROR(__xludf.DUMMYFUNCTION("""COMPUTED_VALUE"""),"ALPHABETZ SERVICES")</f>
        <v>ALPHABETZ SERVICES</v>
      </c>
      <c r="F166" s="6" t="str">
        <f>IFERROR(__xludf.DUMMYFUNCTION("""COMPUTED_VALUE"""),"MP09ZY2923")</f>
        <v>MP09ZY2923</v>
      </c>
      <c r="G166" s="6" t="str">
        <f>IFERROR(__xludf.DUMMYFUNCTION("""COMPUTED_VALUE"""),"ACE")</f>
        <v>ACE</v>
      </c>
      <c r="H166" s="6" t="str">
        <f>IFERROR(__xludf.DUMMYFUNCTION("""COMPUTED_VALUE"""),"DIESEL")</f>
        <v>DIESEL</v>
      </c>
      <c r="I166" s="6">
        <f>IFERROR(__xludf.DUMMYFUNCTION("""COMPUTED_VALUE"""),4.0)</f>
        <v>4</v>
      </c>
      <c r="J166" s="8">
        <f>IFERROR(__xludf.DUMMYFUNCTION("""COMPUTED_VALUE"""),0.125)</f>
        <v>0.125</v>
      </c>
      <c r="K166" s="8">
        <f>IFERROR(__xludf.DUMMYFUNCTION("""COMPUTED_VALUE"""),0.1388888888888889)</f>
        <v>0.1388888889</v>
      </c>
      <c r="L166" s="8">
        <f>IFERROR(__xludf.DUMMYFUNCTION("""COMPUTED_VALUE"""),0.3055555555555556)</f>
        <v>0.3055555556</v>
      </c>
      <c r="M166" s="8">
        <f>IFERROR(__xludf.DUMMYFUNCTION("""COMPUTED_VALUE"""),0.30833333333333335)</f>
        <v>0.3083333333</v>
      </c>
      <c r="N166" s="10">
        <f>IFERROR(__xludf.DUMMYFUNCTION("""COMPUTED_VALUE"""),31.0)</f>
        <v>31</v>
      </c>
      <c r="O166" s="27" t="str">
        <f t="shared" si="1"/>
        <v>indoreace4</v>
      </c>
      <c r="P166" s="27">
        <f>vlookup(O166,'Terms and condition'!$F:$H,3,0)/day(eomonth(B166,0))</f>
        <v>806.4516129</v>
      </c>
      <c r="Q166" s="27">
        <f t="shared" si="8"/>
        <v>31</v>
      </c>
      <c r="R166" s="27">
        <f t="shared" si="2"/>
        <v>988</v>
      </c>
      <c r="S166" s="27">
        <f t="shared" si="3"/>
        <v>0</v>
      </c>
      <c r="T166" s="27">
        <f t="shared" si="4"/>
        <v>32.25806452</v>
      </c>
      <c r="U166" s="28">
        <v>0.0</v>
      </c>
      <c r="V166" s="27">
        <f t="shared" si="5"/>
        <v>0</v>
      </c>
      <c r="W166" s="29">
        <f t="shared" si="6"/>
        <v>0</v>
      </c>
      <c r="X166" s="30">
        <f t="shared" si="7"/>
        <v>838.7096774</v>
      </c>
    </row>
    <row r="167">
      <c r="A167" s="3">
        <f>IFERROR(__xludf.DUMMYFUNCTION("""COMPUTED_VALUE"""),160.0)</f>
        <v>160</v>
      </c>
      <c r="B167" s="4">
        <f>IFERROR(__xludf.DUMMYFUNCTION("""COMPUTED_VALUE"""),45593.0)</f>
        <v>45593</v>
      </c>
      <c r="C167" s="3" t="str">
        <f>IFERROR(__xludf.DUMMYFUNCTION("""COMPUTED_VALUE"""),"INDORE")</f>
        <v>INDORE</v>
      </c>
      <c r="D167" s="5" t="str">
        <f>IFERROR(__xludf.DUMMYFUNCTION("""COMPUTED_VALUE"""),"SLK8")</f>
        <v>SLK8</v>
      </c>
      <c r="E167" s="6" t="str">
        <f>IFERROR(__xludf.DUMMYFUNCTION("""COMPUTED_VALUE"""),"ALPHABETZ SERVICES")</f>
        <v>ALPHABETZ SERVICES</v>
      </c>
      <c r="F167" s="6" t="str">
        <f>IFERROR(__xludf.DUMMYFUNCTION("""COMPUTED_VALUE"""),"MP04LD5601")</f>
        <v>MP04LD5601</v>
      </c>
      <c r="G167" s="6" t="str">
        <f>IFERROR(__xludf.DUMMYFUNCTION("""COMPUTED_VALUE"""),"ACE")</f>
        <v>ACE</v>
      </c>
      <c r="H167" s="6" t="str">
        <f>IFERROR(__xludf.DUMMYFUNCTION("""COMPUTED_VALUE"""),"DIESEL")</f>
        <v>DIESEL</v>
      </c>
      <c r="I167" s="6">
        <f>IFERROR(__xludf.DUMMYFUNCTION("""COMPUTED_VALUE"""),4.0)</f>
        <v>4</v>
      </c>
      <c r="J167" s="8">
        <f>IFERROR(__xludf.DUMMYFUNCTION("""COMPUTED_VALUE"""),0.12569444444444444)</f>
        <v>0.1256944444</v>
      </c>
      <c r="K167" s="8">
        <f>IFERROR(__xludf.DUMMYFUNCTION("""COMPUTED_VALUE"""),0.14027777777777778)</f>
        <v>0.1402777778</v>
      </c>
      <c r="L167" s="8">
        <f>IFERROR(__xludf.DUMMYFUNCTION("""COMPUTED_VALUE"""),0.2986111111111111)</f>
        <v>0.2986111111</v>
      </c>
      <c r="M167" s="8">
        <f>IFERROR(__xludf.DUMMYFUNCTION("""COMPUTED_VALUE"""),0.3020833333333333)</f>
        <v>0.3020833333</v>
      </c>
      <c r="N167" s="10">
        <f>IFERROR(__xludf.DUMMYFUNCTION("""COMPUTED_VALUE"""),51.0)</f>
        <v>51</v>
      </c>
      <c r="O167" s="27" t="str">
        <f t="shared" si="1"/>
        <v>indoreace4</v>
      </c>
      <c r="P167" s="27">
        <f>vlookup(O167,'Terms and condition'!$F:$H,3,0)/day(eomonth(B167,0))</f>
        <v>806.4516129</v>
      </c>
      <c r="Q167" s="27">
        <f t="shared" si="8"/>
        <v>12</v>
      </c>
      <c r="R167" s="27">
        <f t="shared" si="2"/>
        <v>580</v>
      </c>
      <c r="S167" s="27">
        <f t="shared" si="3"/>
        <v>0</v>
      </c>
      <c r="T167" s="27">
        <f t="shared" si="4"/>
        <v>0</v>
      </c>
      <c r="U167" s="28">
        <v>0.0</v>
      </c>
      <c r="V167" s="27">
        <f t="shared" si="5"/>
        <v>0</v>
      </c>
      <c r="W167" s="29">
        <f t="shared" si="6"/>
        <v>0</v>
      </c>
      <c r="X167" s="30">
        <f t="shared" si="7"/>
        <v>806.4516129</v>
      </c>
    </row>
    <row r="168">
      <c r="A168" s="3">
        <f>IFERROR(__xludf.DUMMYFUNCTION("""COMPUTED_VALUE"""),161.0)</f>
        <v>161</v>
      </c>
      <c r="B168" s="4">
        <f>IFERROR(__xludf.DUMMYFUNCTION("""COMPUTED_VALUE"""),45593.0)</f>
        <v>45593</v>
      </c>
      <c r="C168" s="3" t="str">
        <f>IFERROR(__xludf.DUMMYFUNCTION("""COMPUTED_VALUE"""),"INDORE")</f>
        <v>INDORE</v>
      </c>
      <c r="D168" s="5" t="str">
        <f>IFERROR(__xludf.DUMMYFUNCTION("""COMPUTED_VALUE"""),"SLK8")</f>
        <v>SLK8</v>
      </c>
      <c r="E168" s="6" t="str">
        <f>IFERROR(__xludf.DUMMYFUNCTION("""COMPUTED_VALUE"""),"ALPHABETZ SERVICES")</f>
        <v>ALPHABETZ SERVICES</v>
      </c>
      <c r="F168" s="6" t="str">
        <f>IFERROR(__xludf.DUMMYFUNCTION("""COMPUTED_VALUE"""),"MP09LP8407")</f>
        <v>MP09LP8407</v>
      </c>
      <c r="G168" s="6" t="str">
        <f>IFERROR(__xludf.DUMMYFUNCTION("""COMPUTED_VALUE"""),"ACE")</f>
        <v>ACE</v>
      </c>
      <c r="H168" s="6" t="str">
        <f>IFERROR(__xludf.DUMMYFUNCTION("""COMPUTED_VALUE"""),"DIESEL")</f>
        <v>DIESEL</v>
      </c>
      <c r="I168" s="6">
        <f>IFERROR(__xludf.DUMMYFUNCTION("""COMPUTED_VALUE"""),4.0)</f>
        <v>4</v>
      </c>
      <c r="J168" s="8">
        <f>IFERROR(__xludf.DUMMYFUNCTION("""COMPUTED_VALUE"""),0.12638888888888888)</f>
        <v>0.1263888889</v>
      </c>
      <c r="K168" s="8">
        <f>IFERROR(__xludf.DUMMYFUNCTION("""COMPUTED_VALUE"""),0.1375)</f>
        <v>0.1375</v>
      </c>
      <c r="L168" s="8">
        <f>IFERROR(__xludf.DUMMYFUNCTION("""COMPUTED_VALUE"""),0.2951388888888889)</f>
        <v>0.2951388889</v>
      </c>
      <c r="M168" s="8">
        <f>IFERROR(__xludf.DUMMYFUNCTION("""COMPUTED_VALUE"""),0.2986111111111111)</f>
        <v>0.2986111111</v>
      </c>
      <c r="N168" s="10">
        <f>IFERROR(__xludf.DUMMYFUNCTION("""COMPUTED_VALUE"""),36.0)</f>
        <v>36</v>
      </c>
      <c r="O168" s="27" t="str">
        <f t="shared" si="1"/>
        <v>indoreace4</v>
      </c>
      <c r="P168" s="27">
        <f>vlookup(O168,'Terms and condition'!$F:$H,3,0)/day(eomonth(B168,0))</f>
        <v>806.4516129</v>
      </c>
      <c r="Q168" s="27">
        <f t="shared" si="8"/>
        <v>31</v>
      </c>
      <c r="R168" s="27">
        <f t="shared" si="2"/>
        <v>1063</v>
      </c>
      <c r="S168" s="27">
        <f t="shared" si="3"/>
        <v>16.25806452</v>
      </c>
      <c r="T168" s="27">
        <f t="shared" si="4"/>
        <v>32.25806452</v>
      </c>
      <c r="U168" s="28">
        <v>0.0</v>
      </c>
      <c r="V168" s="27">
        <f t="shared" si="5"/>
        <v>0</v>
      </c>
      <c r="W168" s="29">
        <f t="shared" si="6"/>
        <v>0</v>
      </c>
      <c r="X168" s="30">
        <f t="shared" si="7"/>
        <v>854.9677419</v>
      </c>
    </row>
    <row r="169">
      <c r="A169" s="3">
        <f>IFERROR(__xludf.DUMMYFUNCTION("""COMPUTED_VALUE"""),162.0)</f>
        <v>162</v>
      </c>
      <c r="B169" s="4">
        <f>IFERROR(__xludf.DUMMYFUNCTION("""COMPUTED_VALUE"""),45593.0)</f>
        <v>45593</v>
      </c>
      <c r="C169" s="3" t="str">
        <f>IFERROR(__xludf.DUMMYFUNCTION("""COMPUTED_VALUE"""),"INDORE")</f>
        <v>INDORE</v>
      </c>
      <c r="D169" s="5" t="str">
        <f>IFERROR(__xludf.DUMMYFUNCTION("""COMPUTED_VALUE"""),"SLK8")</f>
        <v>SLK8</v>
      </c>
      <c r="E169" s="6" t="str">
        <f>IFERROR(__xludf.DUMMYFUNCTION("""COMPUTED_VALUE"""),"ALPHABETZ SERVICES")</f>
        <v>ALPHABETZ SERVICES</v>
      </c>
      <c r="F169" s="6" t="str">
        <f>IFERROR(__xludf.DUMMYFUNCTION("""COMPUTED_VALUE"""),"MP07L8679")</f>
        <v>MP07L8679</v>
      </c>
      <c r="G169" s="6" t="str">
        <f>IFERROR(__xludf.DUMMYFUNCTION("""COMPUTED_VALUE"""),"ACE")</f>
        <v>ACE</v>
      </c>
      <c r="H169" s="6" t="str">
        <f>IFERROR(__xludf.DUMMYFUNCTION("""COMPUTED_VALUE"""),"DIESEL")</f>
        <v>DIESEL</v>
      </c>
      <c r="I169" s="6">
        <f>IFERROR(__xludf.DUMMYFUNCTION("""COMPUTED_VALUE"""),4.0)</f>
        <v>4</v>
      </c>
      <c r="J169" s="8">
        <f>IFERROR(__xludf.DUMMYFUNCTION("""COMPUTED_VALUE"""),0.14791666666666667)</f>
        <v>0.1479166667</v>
      </c>
      <c r="K169" s="8">
        <f>IFERROR(__xludf.DUMMYFUNCTION("""COMPUTED_VALUE"""),0.15625)</f>
        <v>0.15625</v>
      </c>
      <c r="L169" s="8">
        <f>IFERROR(__xludf.DUMMYFUNCTION("""COMPUTED_VALUE"""),0.3194444444444444)</f>
        <v>0.3194444444</v>
      </c>
      <c r="M169" s="8">
        <f>IFERROR(__xludf.DUMMYFUNCTION("""COMPUTED_VALUE"""),0.325)</f>
        <v>0.325</v>
      </c>
      <c r="N169" s="10">
        <f>IFERROR(__xludf.DUMMYFUNCTION("""COMPUTED_VALUE"""),31.0)</f>
        <v>31</v>
      </c>
      <c r="O169" s="27" t="str">
        <f t="shared" si="1"/>
        <v>indoreace4</v>
      </c>
      <c r="P169" s="27">
        <f>vlookup(O169,'Terms and condition'!$F:$H,3,0)/day(eomonth(B169,0))</f>
        <v>806.4516129</v>
      </c>
      <c r="Q169" s="27">
        <f t="shared" si="8"/>
        <v>4</v>
      </c>
      <c r="R169" s="27">
        <f t="shared" si="2"/>
        <v>126</v>
      </c>
      <c r="S169" s="27">
        <f t="shared" si="3"/>
        <v>0</v>
      </c>
      <c r="T169" s="27">
        <f t="shared" si="4"/>
        <v>0</v>
      </c>
      <c r="U169" s="28">
        <v>0.0</v>
      </c>
      <c r="V169" s="27">
        <f t="shared" si="5"/>
        <v>0</v>
      </c>
      <c r="W169" s="29">
        <f t="shared" si="6"/>
        <v>0</v>
      </c>
      <c r="X169" s="30">
        <f t="shared" si="7"/>
        <v>806.4516129</v>
      </c>
    </row>
    <row r="170">
      <c r="A170" s="3">
        <f>IFERROR(__xludf.DUMMYFUNCTION("""COMPUTED_VALUE"""),163.0)</f>
        <v>163</v>
      </c>
      <c r="B170" s="4">
        <f>IFERROR(__xludf.DUMMYFUNCTION("""COMPUTED_VALUE"""),45594.0)</f>
        <v>45594</v>
      </c>
      <c r="C170" s="3" t="str">
        <f>IFERROR(__xludf.DUMMYFUNCTION("""COMPUTED_VALUE"""),"INDORE")</f>
        <v>INDORE</v>
      </c>
      <c r="D170" s="5" t="str">
        <f>IFERROR(__xludf.DUMMYFUNCTION("""COMPUTED_VALUE"""),"SLK8")</f>
        <v>SLK8</v>
      </c>
      <c r="E170" s="6" t="str">
        <f>IFERROR(__xludf.DUMMYFUNCTION("""COMPUTED_VALUE"""),"ALPHABETZ SERVICES")</f>
        <v>ALPHABETZ SERVICES</v>
      </c>
      <c r="F170" s="6" t="str">
        <f>IFERROR(__xludf.DUMMYFUNCTION("""COMPUTED_VALUE"""),"MP09LR7355")</f>
        <v>MP09LR7355</v>
      </c>
      <c r="G170" s="6" t="str">
        <f>IFERROR(__xludf.DUMMYFUNCTION("""COMPUTED_VALUE"""),"ACE")</f>
        <v>ACE</v>
      </c>
      <c r="H170" s="6" t="str">
        <f>IFERROR(__xludf.DUMMYFUNCTION("""COMPUTED_VALUE"""),"DIESEL")</f>
        <v>DIESEL</v>
      </c>
      <c r="I170" s="6">
        <f>IFERROR(__xludf.DUMMYFUNCTION("""COMPUTED_VALUE"""),4.0)</f>
        <v>4</v>
      </c>
      <c r="J170" s="8">
        <f>IFERROR(__xludf.DUMMYFUNCTION("""COMPUTED_VALUE"""),0.125)</f>
        <v>0.125</v>
      </c>
      <c r="K170" s="8">
        <f>IFERROR(__xludf.DUMMYFUNCTION("""COMPUTED_VALUE"""),0.13194444444444445)</f>
        <v>0.1319444444</v>
      </c>
      <c r="L170" s="8">
        <f>IFERROR(__xludf.DUMMYFUNCTION("""COMPUTED_VALUE"""),0.28055555555555556)</f>
        <v>0.2805555556</v>
      </c>
      <c r="M170" s="8">
        <f>IFERROR(__xludf.DUMMYFUNCTION("""COMPUTED_VALUE"""),0.2916666666666667)</f>
        <v>0.2916666667</v>
      </c>
      <c r="N170" s="10">
        <f>IFERROR(__xludf.DUMMYFUNCTION("""COMPUTED_VALUE"""),46.0)</f>
        <v>46</v>
      </c>
      <c r="O170" s="27" t="str">
        <f t="shared" si="1"/>
        <v>indoreace4</v>
      </c>
      <c r="P170" s="27">
        <f>vlookup(O170,'Terms and condition'!$F:$H,3,0)/day(eomonth(B170,0))</f>
        <v>806.4516129</v>
      </c>
      <c r="Q170" s="27">
        <f t="shared" si="8"/>
        <v>30</v>
      </c>
      <c r="R170" s="27">
        <f t="shared" si="2"/>
        <v>1436</v>
      </c>
      <c r="S170" s="27">
        <f t="shared" si="3"/>
        <v>116.2666667</v>
      </c>
      <c r="T170" s="27">
        <f t="shared" si="4"/>
        <v>0</v>
      </c>
      <c r="U170" s="28">
        <v>0.0</v>
      </c>
      <c r="V170" s="27">
        <f t="shared" si="5"/>
        <v>0</v>
      </c>
      <c r="W170" s="29">
        <f t="shared" si="6"/>
        <v>0</v>
      </c>
      <c r="X170" s="30">
        <f t="shared" si="7"/>
        <v>922.7182796</v>
      </c>
    </row>
    <row r="171">
      <c r="A171" s="3">
        <f>IFERROR(__xludf.DUMMYFUNCTION("""COMPUTED_VALUE"""),164.0)</f>
        <v>164</v>
      </c>
      <c r="B171" s="4">
        <f>IFERROR(__xludf.DUMMYFUNCTION("""COMPUTED_VALUE"""),45594.0)</f>
        <v>45594</v>
      </c>
      <c r="C171" s="3" t="str">
        <f>IFERROR(__xludf.DUMMYFUNCTION("""COMPUTED_VALUE"""),"INDORE")</f>
        <v>INDORE</v>
      </c>
      <c r="D171" s="5" t="str">
        <f>IFERROR(__xludf.DUMMYFUNCTION("""COMPUTED_VALUE"""),"SLK8")</f>
        <v>SLK8</v>
      </c>
      <c r="E171" s="6" t="str">
        <f>IFERROR(__xludf.DUMMYFUNCTION("""COMPUTED_VALUE"""),"ALPHABETZ SERVICES")</f>
        <v>ALPHABETZ SERVICES</v>
      </c>
      <c r="F171" s="6" t="str">
        <f>IFERROR(__xludf.DUMMYFUNCTION("""COMPUTED_VALUE"""),"MP54L0316")</f>
        <v>MP54L0316</v>
      </c>
      <c r="G171" s="6" t="str">
        <f>IFERROR(__xludf.DUMMYFUNCTION("""COMPUTED_VALUE"""),"ACE")</f>
        <v>ACE</v>
      </c>
      <c r="H171" s="6" t="str">
        <f>IFERROR(__xludf.DUMMYFUNCTION("""COMPUTED_VALUE"""),"DIESEL")</f>
        <v>DIESEL</v>
      </c>
      <c r="I171" s="6">
        <f>IFERROR(__xludf.DUMMYFUNCTION("""COMPUTED_VALUE"""),4.0)</f>
        <v>4</v>
      </c>
      <c r="J171" s="8">
        <f>IFERROR(__xludf.DUMMYFUNCTION("""COMPUTED_VALUE"""),0.12569444444444444)</f>
        <v>0.1256944444</v>
      </c>
      <c r="K171" s="8">
        <f>IFERROR(__xludf.DUMMYFUNCTION("""COMPUTED_VALUE"""),0.13333333333333333)</f>
        <v>0.1333333333</v>
      </c>
      <c r="L171" s="8">
        <f>IFERROR(__xludf.DUMMYFUNCTION("""COMPUTED_VALUE"""),0.2916666666666667)</f>
        <v>0.2916666667</v>
      </c>
      <c r="M171" s="8">
        <f>IFERROR(__xludf.DUMMYFUNCTION("""COMPUTED_VALUE"""),0.3020833333333333)</f>
        <v>0.3020833333</v>
      </c>
      <c r="N171" s="10">
        <f>IFERROR(__xludf.DUMMYFUNCTION("""COMPUTED_VALUE"""),44.0)</f>
        <v>44</v>
      </c>
      <c r="O171" s="27" t="str">
        <f t="shared" si="1"/>
        <v>indoreace4</v>
      </c>
      <c r="P171" s="27">
        <f>vlookup(O171,'Terms and condition'!$F:$H,3,0)/day(eomonth(B171,0))</f>
        <v>806.4516129</v>
      </c>
      <c r="Q171" s="27">
        <f t="shared" si="8"/>
        <v>31</v>
      </c>
      <c r="R171" s="27">
        <f t="shared" si="2"/>
        <v>1390</v>
      </c>
      <c r="S171" s="27">
        <f t="shared" si="3"/>
        <v>100.6451613</v>
      </c>
      <c r="T171" s="27">
        <f t="shared" si="4"/>
        <v>32.25806452</v>
      </c>
      <c r="U171" s="28">
        <v>0.0</v>
      </c>
      <c r="V171" s="27">
        <f t="shared" si="5"/>
        <v>0</v>
      </c>
      <c r="W171" s="29">
        <f t="shared" si="6"/>
        <v>0</v>
      </c>
      <c r="X171" s="30">
        <f t="shared" si="7"/>
        <v>939.3548387</v>
      </c>
    </row>
    <row r="172">
      <c r="A172" s="3">
        <f>IFERROR(__xludf.DUMMYFUNCTION("""COMPUTED_VALUE"""),165.0)</f>
        <v>165</v>
      </c>
      <c r="B172" s="4">
        <f>IFERROR(__xludf.DUMMYFUNCTION("""COMPUTED_VALUE"""),45594.0)</f>
        <v>45594</v>
      </c>
      <c r="C172" s="3" t="str">
        <f>IFERROR(__xludf.DUMMYFUNCTION("""COMPUTED_VALUE"""),"INDORE")</f>
        <v>INDORE</v>
      </c>
      <c r="D172" s="5" t="str">
        <f>IFERROR(__xludf.DUMMYFUNCTION("""COMPUTED_VALUE"""),"SLK8")</f>
        <v>SLK8</v>
      </c>
      <c r="E172" s="6" t="str">
        <f>IFERROR(__xludf.DUMMYFUNCTION("""COMPUTED_VALUE"""),"ALPHABETZ SERVICES")</f>
        <v>ALPHABETZ SERVICES</v>
      </c>
      <c r="F172" s="6" t="str">
        <f>IFERROR(__xludf.DUMMYFUNCTION("""COMPUTED_VALUE"""),"MP09ZV0375")</f>
        <v>MP09ZV0375</v>
      </c>
      <c r="G172" s="6" t="str">
        <f>IFERROR(__xludf.DUMMYFUNCTION("""COMPUTED_VALUE"""),"ACE")</f>
        <v>ACE</v>
      </c>
      <c r="H172" s="6" t="str">
        <f>IFERROR(__xludf.DUMMYFUNCTION("""COMPUTED_VALUE"""),"DIESEL")</f>
        <v>DIESEL</v>
      </c>
      <c r="I172" s="6">
        <f>IFERROR(__xludf.DUMMYFUNCTION("""COMPUTED_VALUE"""),4.0)</f>
        <v>4</v>
      </c>
      <c r="J172" s="8">
        <f>IFERROR(__xludf.DUMMYFUNCTION("""COMPUTED_VALUE"""),0.12777777777777777)</f>
        <v>0.1277777778</v>
      </c>
      <c r="K172" s="8">
        <f>IFERROR(__xludf.DUMMYFUNCTION("""COMPUTED_VALUE"""),0.13472222222222222)</f>
        <v>0.1347222222</v>
      </c>
      <c r="L172" s="8">
        <f>IFERROR(__xludf.DUMMYFUNCTION("""COMPUTED_VALUE"""),0.2986111111111111)</f>
        <v>0.2986111111</v>
      </c>
      <c r="M172" s="8">
        <f>IFERROR(__xludf.DUMMYFUNCTION("""COMPUTED_VALUE"""),0.3055555555555556)</f>
        <v>0.3055555556</v>
      </c>
      <c r="N172" s="10">
        <f>IFERROR(__xludf.DUMMYFUNCTION("""COMPUTED_VALUE"""),31.0)</f>
        <v>31</v>
      </c>
      <c r="O172" s="27" t="str">
        <f t="shared" si="1"/>
        <v>indoreace4</v>
      </c>
      <c r="P172" s="27">
        <f>vlookup(O172,'Terms and condition'!$F:$H,3,0)/day(eomonth(B172,0))</f>
        <v>806.4516129</v>
      </c>
      <c r="Q172" s="27">
        <f t="shared" si="8"/>
        <v>26</v>
      </c>
      <c r="R172" s="27">
        <f t="shared" si="2"/>
        <v>802</v>
      </c>
      <c r="S172" s="27">
        <f t="shared" si="3"/>
        <v>0</v>
      </c>
      <c r="T172" s="27">
        <f t="shared" si="4"/>
        <v>0</v>
      </c>
      <c r="U172" s="28">
        <v>0.0</v>
      </c>
      <c r="V172" s="27">
        <f t="shared" si="5"/>
        <v>0</v>
      </c>
      <c r="W172" s="29">
        <f t="shared" si="6"/>
        <v>0</v>
      </c>
      <c r="X172" s="30">
        <f t="shared" si="7"/>
        <v>806.4516129</v>
      </c>
    </row>
    <row r="173">
      <c r="A173" s="3">
        <f>IFERROR(__xludf.DUMMYFUNCTION("""COMPUTED_VALUE"""),166.0)</f>
        <v>166</v>
      </c>
      <c r="B173" s="4">
        <f>IFERROR(__xludf.DUMMYFUNCTION("""COMPUTED_VALUE"""),45594.0)</f>
        <v>45594</v>
      </c>
      <c r="C173" s="3" t="str">
        <f>IFERROR(__xludf.DUMMYFUNCTION("""COMPUTED_VALUE"""),"INDORE")</f>
        <v>INDORE</v>
      </c>
      <c r="D173" s="5" t="str">
        <f>IFERROR(__xludf.DUMMYFUNCTION("""COMPUTED_VALUE"""),"SLK8")</f>
        <v>SLK8</v>
      </c>
      <c r="E173" s="6" t="str">
        <f>IFERROR(__xludf.DUMMYFUNCTION("""COMPUTED_VALUE"""),"ALPHABETZ SERVICES")</f>
        <v>ALPHABETZ SERVICES</v>
      </c>
      <c r="F173" s="6" t="str">
        <f>IFERROR(__xludf.DUMMYFUNCTION("""COMPUTED_VALUE"""),"MP09LP8407")</f>
        <v>MP09LP8407</v>
      </c>
      <c r="G173" s="6" t="str">
        <f>IFERROR(__xludf.DUMMYFUNCTION("""COMPUTED_VALUE"""),"ACE")</f>
        <v>ACE</v>
      </c>
      <c r="H173" s="6" t="str">
        <f>IFERROR(__xludf.DUMMYFUNCTION("""COMPUTED_VALUE"""),"DIESEL")</f>
        <v>DIESEL</v>
      </c>
      <c r="I173" s="6">
        <f>IFERROR(__xludf.DUMMYFUNCTION("""COMPUTED_VALUE"""),4.0)</f>
        <v>4</v>
      </c>
      <c r="J173" s="8">
        <f>IFERROR(__xludf.DUMMYFUNCTION("""COMPUTED_VALUE"""),0.12777777777777777)</f>
        <v>0.1277777778</v>
      </c>
      <c r="K173" s="8">
        <f>IFERROR(__xludf.DUMMYFUNCTION("""COMPUTED_VALUE"""),0.13541666666666666)</f>
        <v>0.1354166667</v>
      </c>
      <c r="L173" s="8">
        <f>IFERROR(__xludf.DUMMYFUNCTION("""COMPUTED_VALUE"""),0.3055555555555556)</f>
        <v>0.3055555556</v>
      </c>
      <c r="M173" s="8">
        <f>IFERROR(__xludf.DUMMYFUNCTION("""COMPUTED_VALUE"""),0.3090277777777778)</f>
        <v>0.3090277778</v>
      </c>
      <c r="N173" s="10">
        <f>IFERROR(__xludf.DUMMYFUNCTION("""COMPUTED_VALUE"""),36.0)</f>
        <v>36</v>
      </c>
      <c r="O173" s="27" t="str">
        <f t="shared" si="1"/>
        <v>indoreace4</v>
      </c>
      <c r="P173" s="27">
        <f>vlookup(O173,'Terms and condition'!$F:$H,3,0)/day(eomonth(B173,0))</f>
        <v>806.4516129</v>
      </c>
      <c r="Q173" s="27">
        <f t="shared" si="8"/>
        <v>31</v>
      </c>
      <c r="R173" s="27">
        <f t="shared" si="2"/>
        <v>1063</v>
      </c>
      <c r="S173" s="27">
        <f t="shared" si="3"/>
        <v>16.25806452</v>
      </c>
      <c r="T173" s="27">
        <f t="shared" si="4"/>
        <v>32.25806452</v>
      </c>
      <c r="U173" s="28">
        <v>0.0</v>
      </c>
      <c r="V173" s="27">
        <f t="shared" si="5"/>
        <v>0</v>
      </c>
      <c r="W173" s="29">
        <f t="shared" si="6"/>
        <v>0</v>
      </c>
      <c r="X173" s="30">
        <f t="shared" si="7"/>
        <v>854.9677419</v>
      </c>
    </row>
    <row r="174">
      <c r="A174" s="3">
        <f>IFERROR(__xludf.DUMMYFUNCTION("""COMPUTED_VALUE"""),167.0)</f>
        <v>167</v>
      </c>
      <c r="B174" s="4">
        <f>IFERROR(__xludf.DUMMYFUNCTION("""COMPUTED_VALUE"""),45594.0)</f>
        <v>45594</v>
      </c>
      <c r="C174" s="3" t="str">
        <f>IFERROR(__xludf.DUMMYFUNCTION("""COMPUTED_VALUE"""),"INDORE")</f>
        <v>INDORE</v>
      </c>
      <c r="D174" s="5" t="str">
        <f>IFERROR(__xludf.DUMMYFUNCTION("""COMPUTED_VALUE"""),"SLK8")</f>
        <v>SLK8</v>
      </c>
      <c r="E174" s="6" t="str">
        <f>IFERROR(__xludf.DUMMYFUNCTION("""COMPUTED_VALUE"""),"ALPHABETZ SERVICES")</f>
        <v>ALPHABETZ SERVICES</v>
      </c>
      <c r="F174" s="6" t="str">
        <f>IFERROR(__xludf.DUMMYFUNCTION("""COMPUTED_VALUE"""),"MP04LD5601")</f>
        <v>MP04LD5601</v>
      </c>
      <c r="G174" s="6" t="str">
        <f>IFERROR(__xludf.DUMMYFUNCTION("""COMPUTED_VALUE"""),"ACE")</f>
        <v>ACE</v>
      </c>
      <c r="H174" s="6" t="str">
        <f>IFERROR(__xludf.DUMMYFUNCTION("""COMPUTED_VALUE"""),"DIESEL")</f>
        <v>DIESEL</v>
      </c>
      <c r="I174" s="6">
        <f>IFERROR(__xludf.DUMMYFUNCTION("""COMPUTED_VALUE"""),4.0)</f>
        <v>4</v>
      </c>
      <c r="J174" s="8">
        <f>IFERROR(__xludf.DUMMYFUNCTION("""COMPUTED_VALUE"""),0.1284722222222222)</f>
        <v>0.1284722222</v>
      </c>
      <c r="K174" s="8">
        <f>IFERROR(__xludf.DUMMYFUNCTION("""COMPUTED_VALUE"""),0.13819444444444445)</f>
        <v>0.1381944444</v>
      </c>
      <c r="L174" s="8">
        <f>IFERROR(__xludf.DUMMYFUNCTION("""COMPUTED_VALUE"""),0.3125)</f>
        <v>0.3125</v>
      </c>
      <c r="M174" s="8">
        <f>IFERROR(__xludf.DUMMYFUNCTION("""COMPUTED_VALUE"""),0.3159722222222222)</f>
        <v>0.3159722222</v>
      </c>
      <c r="N174" s="10">
        <f>IFERROR(__xludf.DUMMYFUNCTION("""COMPUTED_VALUE"""),49.0)</f>
        <v>49</v>
      </c>
      <c r="O174" s="27" t="str">
        <f t="shared" si="1"/>
        <v>indoreace4</v>
      </c>
      <c r="P174" s="27">
        <f>vlookup(O174,'Terms and condition'!$F:$H,3,0)/day(eomonth(B174,0))</f>
        <v>806.4516129</v>
      </c>
      <c r="Q174" s="27">
        <f t="shared" si="8"/>
        <v>12</v>
      </c>
      <c r="R174" s="27">
        <f t="shared" si="2"/>
        <v>580</v>
      </c>
      <c r="S174" s="27">
        <f t="shared" si="3"/>
        <v>0</v>
      </c>
      <c r="T174" s="27">
        <f t="shared" si="4"/>
        <v>0</v>
      </c>
      <c r="U174" s="28">
        <v>0.0</v>
      </c>
      <c r="V174" s="27">
        <f t="shared" si="5"/>
        <v>0</v>
      </c>
      <c r="W174" s="29">
        <f t="shared" si="6"/>
        <v>0</v>
      </c>
      <c r="X174" s="30">
        <f t="shared" si="7"/>
        <v>806.4516129</v>
      </c>
    </row>
    <row r="175">
      <c r="A175" s="3">
        <f>IFERROR(__xludf.DUMMYFUNCTION("""COMPUTED_VALUE"""),168.0)</f>
        <v>168</v>
      </c>
      <c r="B175" s="4">
        <f>IFERROR(__xludf.DUMMYFUNCTION("""COMPUTED_VALUE"""),45594.0)</f>
        <v>45594</v>
      </c>
      <c r="C175" s="3" t="str">
        <f>IFERROR(__xludf.DUMMYFUNCTION("""COMPUTED_VALUE"""),"INDORE")</f>
        <v>INDORE</v>
      </c>
      <c r="D175" s="5" t="str">
        <f>IFERROR(__xludf.DUMMYFUNCTION("""COMPUTED_VALUE"""),"SLK8")</f>
        <v>SLK8</v>
      </c>
      <c r="E175" s="6" t="str">
        <f>IFERROR(__xludf.DUMMYFUNCTION("""COMPUTED_VALUE"""),"ALPHABETZ SERVICES")</f>
        <v>ALPHABETZ SERVICES</v>
      </c>
      <c r="F175" s="6" t="str">
        <f>IFERROR(__xludf.DUMMYFUNCTION("""COMPUTED_VALUE"""),"MP09ZY2923")</f>
        <v>MP09ZY2923</v>
      </c>
      <c r="G175" s="6" t="str">
        <f>IFERROR(__xludf.DUMMYFUNCTION("""COMPUTED_VALUE"""),"ACE")</f>
        <v>ACE</v>
      </c>
      <c r="H175" s="6" t="str">
        <f>IFERROR(__xludf.DUMMYFUNCTION("""COMPUTED_VALUE"""),"DIESEL")</f>
        <v>DIESEL</v>
      </c>
      <c r="I175" s="6">
        <f>IFERROR(__xludf.DUMMYFUNCTION("""COMPUTED_VALUE"""),4.0)</f>
        <v>4</v>
      </c>
      <c r="J175" s="8">
        <f>IFERROR(__xludf.DUMMYFUNCTION("""COMPUTED_VALUE"""),0.1284722222222222)</f>
        <v>0.1284722222</v>
      </c>
      <c r="K175" s="8">
        <f>IFERROR(__xludf.DUMMYFUNCTION("""COMPUTED_VALUE"""),0.1423611111111111)</f>
        <v>0.1423611111</v>
      </c>
      <c r="L175" s="8">
        <f>IFERROR(__xludf.DUMMYFUNCTION("""COMPUTED_VALUE"""),0.3055555555555556)</f>
        <v>0.3055555556</v>
      </c>
      <c r="M175" s="8">
        <f>IFERROR(__xludf.DUMMYFUNCTION("""COMPUTED_VALUE"""),0.3090277777777778)</f>
        <v>0.3090277778</v>
      </c>
      <c r="N175" s="10">
        <f>IFERROR(__xludf.DUMMYFUNCTION("""COMPUTED_VALUE"""),31.0)</f>
        <v>31</v>
      </c>
      <c r="O175" s="27" t="str">
        <f t="shared" si="1"/>
        <v>indoreace4</v>
      </c>
      <c r="P175" s="27">
        <f>vlookup(O175,'Terms and condition'!$F:$H,3,0)/day(eomonth(B175,0))</f>
        <v>806.4516129</v>
      </c>
      <c r="Q175" s="27">
        <f t="shared" si="8"/>
        <v>31</v>
      </c>
      <c r="R175" s="27">
        <f t="shared" si="2"/>
        <v>988</v>
      </c>
      <c r="S175" s="27">
        <f t="shared" si="3"/>
        <v>0</v>
      </c>
      <c r="T175" s="27">
        <f t="shared" si="4"/>
        <v>32.25806452</v>
      </c>
      <c r="U175" s="28">
        <v>0.0</v>
      </c>
      <c r="V175" s="27">
        <f t="shared" si="5"/>
        <v>0</v>
      </c>
      <c r="W175" s="29">
        <f t="shared" si="6"/>
        <v>0</v>
      </c>
      <c r="X175" s="30">
        <f t="shared" si="7"/>
        <v>838.7096774</v>
      </c>
    </row>
    <row r="176">
      <c r="A176" s="3">
        <f>IFERROR(__xludf.DUMMYFUNCTION("""COMPUTED_VALUE"""),169.0)</f>
        <v>169</v>
      </c>
      <c r="B176" s="4">
        <f>IFERROR(__xludf.DUMMYFUNCTION("""COMPUTED_VALUE"""),45595.0)</f>
        <v>45595</v>
      </c>
      <c r="C176" s="3" t="str">
        <f>IFERROR(__xludf.DUMMYFUNCTION("""COMPUTED_VALUE"""),"INDORE")</f>
        <v>INDORE</v>
      </c>
      <c r="D176" s="5" t="str">
        <f>IFERROR(__xludf.DUMMYFUNCTION("""COMPUTED_VALUE"""),"SLK8")</f>
        <v>SLK8</v>
      </c>
      <c r="E176" s="6" t="str">
        <f>IFERROR(__xludf.DUMMYFUNCTION("""COMPUTED_VALUE"""),"ALPHABETZ SERVICES")</f>
        <v>ALPHABETZ SERVICES</v>
      </c>
      <c r="F176" s="6" t="str">
        <f>IFERROR(__xludf.DUMMYFUNCTION("""COMPUTED_VALUE"""),"MP54L0316")</f>
        <v>MP54L0316</v>
      </c>
      <c r="G176" s="6" t="str">
        <f>IFERROR(__xludf.DUMMYFUNCTION("""COMPUTED_VALUE"""),"ACE")</f>
        <v>ACE</v>
      </c>
      <c r="H176" s="6" t="str">
        <f>IFERROR(__xludf.DUMMYFUNCTION("""COMPUTED_VALUE"""),"DIESEL")</f>
        <v>DIESEL</v>
      </c>
      <c r="I176" s="6">
        <f>IFERROR(__xludf.DUMMYFUNCTION("""COMPUTED_VALUE"""),4.0)</f>
        <v>4</v>
      </c>
      <c r="J176" s="8">
        <f>IFERROR(__xludf.DUMMYFUNCTION("""COMPUTED_VALUE"""),0.125)</f>
        <v>0.125</v>
      </c>
      <c r="K176" s="8">
        <f>IFERROR(__xludf.DUMMYFUNCTION("""COMPUTED_VALUE"""),0.13333333333333333)</f>
        <v>0.1333333333</v>
      </c>
      <c r="L176" s="8">
        <f>IFERROR(__xludf.DUMMYFUNCTION("""COMPUTED_VALUE"""),0.30416666666666664)</f>
        <v>0.3041666667</v>
      </c>
      <c r="M176" s="8">
        <f>IFERROR(__xludf.DUMMYFUNCTION("""COMPUTED_VALUE"""),0.30972222222222223)</f>
        <v>0.3097222222</v>
      </c>
      <c r="N176" s="10">
        <f>IFERROR(__xludf.DUMMYFUNCTION("""COMPUTED_VALUE"""),44.0)</f>
        <v>44</v>
      </c>
      <c r="O176" s="27" t="str">
        <f t="shared" si="1"/>
        <v>indoreace4</v>
      </c>
      <c r="P176" s="27">
        <f>vlookup(O176,'Terms and condition'!$F:$H,3,0)/day(eomonth(B176,0))</f>
        <v>806.4516129</v>
      </c>
      <c r="Q176" s="27">
        <f t="shared" si="8"/>
        <v>31</v>
      </c>
      <c r="R176" s="27">
        <f t="shared" si="2"/>
        <v>1390</v>
      </c>
      <c r="S176" s="27">
        <f t="shared" si="3"/>
        <v>100.6451613</v>
      </c>
      <c r="T176" s="27">
        <f t="shared" si="4"/>
        <v>32.25806452</v>
      </c>
      <c r="U176" s="28">
        <v>0.0</v>
      </c>
      <c r="V176" s="27">
        <f t="shared" si="5"/>
        <v>0</v>
      </c>
      <c r="W176" s="29">
        <f t="shared" si="6"/>
        <v>0</v>
      </c>
      <c r="X176" s="30">
        <f t="shared" si="7"/>
        <v>939.3548387</v>
      </c>
    </row>
    <row r="177">
      <c r="A177" s="3">
        <f>IFERROR(__xludf.DUMMYFUNCTION("""COMPUTED_VALUE"""),170.0)</f>
        <v>170</v>
      </c>
      <c r="B177" s="4">
        <f>IFERROR(__xludf.DUMMYFUNCTION("""COMPUTED_VALUE"""),45595.0)</f>
        <v>45595</v>
      </c>
      <c r="C177" s="3" t="str">
        <f>IFERROR(__xludf.DUMMYFUNCTION("""COMPUTED_VALUE"""),"INDORE")</f>
        <v>INDORE</v>
      </c>
      <c r="D177" s="5" t="str">
        <f>IFERROR(__xludf.DUMMYFUNCTION("""COMPUTED_VALUE"""),"SLK8")</f>
        <v>SLK8</v>
      </c>
      <c r="E177" s="6" t="str">
        <f>IFERROR(__xludf.DUMMYFUNCTION("""COMPUTED_VALUE"""),"ALPHABETZ SERVICES")</f>
        <v>ALPHABETZ SERVICES</v>
      </c>
      <c r="F177" s="6" t="str">
        <f>IFERROR(__xludf.DUMMYFUNCTION("""COMPUTED_VALUE"""),"MP09LP8407")</f>
        <v>MP09LP8407</v>
      </c>
      <c r="G177" s="6" t="str">
        <f>IFERROR(__xludf.DUMMYFUNCTION("""COMPUTED_VALUE"""),"ACE")</f>
        <v>ACE</v>
      </c>
      <c r="H177" s="6" t="str">
        <f>IFERROR(__xludf.DUMMYFUNCTION("""COMPUTED_VALUE"""),"DIESEL")</f>
        <v>DIESEL</v>
      </c>
      <c r="I177" s="6">
        <f>IFERROR(__xludf.DUMMYFUNCTION("""COMPUTED_VALUE"""),4.0)</f>
        <v>4</v>
      </c>
      <c r="J177" s="8">
        <f>IFERROR(__xludf.DUMMYFUNCTION("""COMPUTED_VALUE"""),0.12638888888888888)</f>
        <v>0.1263888889</v>
      </c>
      <c r="K177" s="8">
        <f>IFERROR(__xludf.DUMMYFUNCTION("""COMPUTED_VALUE"""),0.13541666666666666)</f>
        <v>0.1354166667</v>
      </c>
      <c r="L177" s="8">
        <f>IFERROR(__xludf.DUMMYFUNCTION("""COMPUTED_VALUE"""),0.2986111111111111)</f>
        <v>0.2986111111</v>
      </c>
      <c r="M177" s="8">
        <f>IFERROR(__xludf.DUMMYFUNCTION("""COMPUTED_VALUE"""),0.3055555555555556)</f>
        <v>0.3055555556</v>
      </c>
      <c r="N177" s="10">
        <f>IFERROR(__xludf.DUMMYFUNCTION("""COMPUTED_VALUE"""),35.0)</f>
        <v>35</v>
      </c>
      <c r="O177" s="27" t="str">
        <f t="shared" si="1"/>
        <v>indoreace4</v>
      </c>
      <c r="P177" s="27">
        <f>vlookup(O177,'Terms and condition'!$F:$H,3,0)/day(eomonth(B177,0))</f>
        <v>806.4516129</v>
      </c>
      <c r="Q177" s="27">
        <f t="shared" si="8"/>
        <v>31</v>
      </c>
      <c r="R177" s="27">
        <f t="shared" si="2"/>
        <v>1063</v>
      </c>
      <c r="S177" s="27">
        <f t="shared" si="3"/>
        <v>16.25806452</v>
      </c>
      <c r="T177" s="27">
        <f t="shared" si="4"/>
        <v>32.25806452</v>
      </c>
      <c r="U177" s="28">
        <v>0.0</v>
      </c>
      <c r="V177" s="27">
        <f t="shared" si="5"/>
        <v>0</v>
      </c>
      <c r="W177" s="29">
        <f t="shared" si="6"/>
        <v>0</v>
      </c>
      <c r="X177" s="30">
        <f t="shared" si="7"/>
        <v>854.9677419</v>
      </c>
    </row>
    <row r="178">
      <c r="A178" s="3">
        <f>IFERROR(__xludf.DUMMYFUNCTION("""COMPUTED_VALUE"""),171.0)</f>
        <v>171</v>
      </c>
      <c r="B178" s="4">
        <f>IFERROR(__xludf.DUMMYFUNCTION("""COMPUTED_VALUE"""),45595.0)</f>
        <v>45595</v>
      </c>
      <c r="C178" s="3" t="str">
        <f>IFERROR(__xludf.DUMMYFUNCTION("""COMPUTED_VALUE"""),"INDORE")</f>
        <v>INDORE</v>
      </c>
      <c r="D178" s="5" t="str">
        <f>IFERROR(__xludf.DUMMYFUNCTION("""COMPUTED_VALUE"""),"SLK8")</f>
        <v>SLK8</v>
      </c>
      <c r="E178" s="6" t="str">
        <f>IFERROR(__xludf.DUMMYFUNCTION("""COMPUTED_VALUE"""),"ALPHABETZ SERVICES")</f>
        <v>ALPHABETZ SERVICES</v>
      </c>
      <c r="F178" s="6" t="str">
        <f>IFERROR(__xludf.DUMMYFUNCTION("""COMPUTED_VALUE"""),"MP09LR7355")</f>
        <v>MP09LR7355</v>
      </c>
      <c r="G178" s="6" t="str">
        <f>IFERROR(__xludf.DUMMYFUNCTION("""COMPUTED_VALUE"""),"ACE")</f>
        <v>ACE</v>
      </c>
      <c r="H178" s="6" t="str">
        <f>IFERROR(__xludf.DUMMYFUNCTION("""COMPUTED_VALUE"""),"DIESEL")</f>
        <v>DIESEL</v>
      </c>
      <c r="I178" s="6">
        <f>IFERROR(__xludf.DUMMYFUNCTION("""COMPUTED_VALUE"""),4.0)</f>
        <v>4</v>
      </c>
      <c r="J178" s="8">
        <f>IFERROR(__xludf.DUMMYFUNCTION("""COMPUTED_VALUE"""),0.12777777777777777)</f>
        <v>0.1277777778</v>
      </c>
      <c r="K178" s="8">
        <f>IFERROR(__xludf.DUMMYFUNCTION("""COMPUTED_VALUE"""),0.1361111111111111)</f>
        <v>0.1361111111</v>
      </c>
      <c r="L178" s="8">
        <f>IFERROR(__xludf.DUMMYFUNCTION("""COMPUTED_VALUE"""),0.2916666666666667)</f>
        <v>0.2916666667</v>
      </c>
      <c r="M178" s="8">
        <f>IFERROR(__xludf.DUMMYFUNCTION("""COMPUTED_VALUE"""),0.2986111111111111)</f>
        <v>0.2986111111</v>
      </c>
      <c r="N178" s="10">
        <f>IFERROR(__xludf.DUMMYFUNCTION("""COMPUTED_VALUE"""),46.0)</f>
        <v>46</v>
      </c>
      <c r="O178" s="27" t="str">
        <f t="shared" si="1"/>
        <v>indoreace4</v>
      </c>
      <c r="P178" s="27">
        <f>vlookup(O178,'Terms and condition'!$F:$H,3,0)/day(eomonth(B178,0))</f>
        <v>806.4516129</v>
      </c>
      <c r="Q178" s="27">
        <f t="shared" si="8"/>
        <v>30</v>
      </c>
      <c r="R178" s="27">
        <f t="shared" si="2"/>
        <v>1436</v>
      </c>
      <c r="S178" s="27">
        <f t="shared" si="3"/>
        <v>116.2666667</v>
      </c>
      <c r="T178" s="27">
        <f t="shared" si="4"/>
        <v>0</v>
      </c>
      <c r="U178" s="28">
        <v>0.0</v>
      </c>
      <c r="V178" s="27">
        <f t="shared" si="5"/>
        <v>0</v>
      </c>
      <c r="W178" s="29">
        <f t="shared" si="6"/>
        <v>0</v>
      </c>
      <c r="X178" s="30">
        <f t="shared" si="7"/>
        <v>922.7182796</v>
      </c>
    </row>
    <row r="179">
      <c r="A179" s="3">
        <f>IFERROR(__xludf.DUMMYFUNCTION("""COMPUTED_VALUE"""),172.0)</f>
        <v>172</v>
      </c>
      <c r="B179" s="4">
        <f>IFERROR(__xludf.DUMMYFUNCTION("""COMPUTED_VALUE"""),45595.0)</f>
        <v>45595</v>
      </c>
      <c r="C179" s="3" t="str">
        <f>IFERROR(__xludf.DUMMYFUNCTION("""COMPUTED_VALUE"""),"INDORE")</f>
        <v>INDORE</v>
      </c>
      <c r="D179" s="5" t="str">
        <f>IFERROR(__xludf.DUMMYFUNCTION("""COMPUTED_VALUE"""),"SLK8")</f>
        <v>SLK8</v>
      </c>
      <c r="E179" s="6" t="str">
        <f>IFERROR(__xludf.DUMMYFUNCTION("""COMPUTED_VALUE"""),"ALPHABETZ SERVICES")</f>
        <v>ALPHABETZ SERVICES</v>
      </c>
      <c r="F179" s="6" t="str">
        <f>IFERROR(__xludf.DUMMYFUNCTION("""COMPUTED_VALUE"""),"MP09ZV0375")</f>
        <v>MP09ZV0375</v>
      </c>
      <c r="G179" s="6" t="str">
        <f>IFERROR(__xludf.DUMMYFUNCTION("""COMPUTED_VALUE"""),"ACE")</f>
        <v>ACE</v>
      </c>
      <c r="H179" s="6" t="str">
        <f>IFERROR(__xludf.DUMMYFUNCTION("""COMPUTED_VALUE"""),"DIESEL")</f>
        <v>DIESEL</v>
      </c>
      <c r="I179" s="6">
        <f>IFERROR(__xludf.DUMMYFUNCTION("""COMPUTED_VALUE"""),4.0)</f>
        <v>4</v>
      </c>
      <c r="J179" s="8">
        <f>IFERROR(__xludf.DUMMYFUNCTION("""COMPUTED_VALUE"""),0.1284722222222222)</f>
        <v>0.1284722222</v>
      </c>
      <c r="K179" s="8">
        <f>IFERROR(__xludf.DUMMYFUNCTION("""COMPUTED_VALUE"""),0.13680555555555557)</f>
        <v>0.1368055556</v>
      </c>
      <c r="L179" s="8">
        <f>IFERROR(__xludf.DUMMYFUNCTION("""COMPUTED_VALUE"""),0.3020833333333333)</f>
        <v>0.3020833333</v>
      </c>
      <c r="M179" s="8">
        <f>IFERROR(__xludf.DUMMYFUNCTION("""COMPUTED_VALUE"""),0.30972222222222223)</f>
        <v>0.3097222222</v>
      </c>
      <c r="N179" s="10">
        <f>IFERROR(__xludf.DUMMYFUNCTION("""COMPUTED_VALUE"""),31.0)</f>
        <v>31</v>
      </c>
      <c r="O179" s="27" t="str">
        <f t="shared" si="1"/>
        <v>indoreace4</v>
      </c>
      <c r="P179" s="27">
        <f>vlookup(O179,'Terms and condition'!$F:$H,3,0)/day(eomonth(B179,0))</f>
        <v>806.4516129</v>
      </c>
      <c r="Q179" s="27">
        <f t="shared" si="8"/>
        <v>26</v>
      </c>
      <c r="R179" s="27">
        <f t="shared" si="2"/>
        <v>802</v>
      </c>
      <c r="S179" s="27">
        <f t="shared" si="3"/>
        <v>0</v>
      </c>
      <c r="T179" s="27">
        <f t="shared" si="4"/>
        <v>0</v>
      </c>
      <c r="U179" s="28">
        <v>0.0</v>
      </c>
      <c r="V179" s="27">
        <f t="shared" si="5"/>
        <v>0</v>
      </c>
      <c r="W179" s="29">
        <f t="shared" si="6"/>
        <v>0</v>
      </c>
      <c r="X179" s="30">
        <f t="shared" si="7"/>
        <v>806.4516129</v>
      </c>
    </row>
    <row r="180">
      <c r="A180" s="3">
        <f>IFERROR(__xludf.DUMMYFUNCTION("""COMPUTED_VALUE"""),173.0)</f>
        <v>173</v>
      </c>
      <c r="B180" s="4">
        <f>IFERROR(__xludf.DUMMYFUNCTION("""COMPUTED_VALUE"""),45595.0)</f>
        <v>45595</v>
      </c>
      <c r="C180" s="3" t="str">
        <f>IFERROR(__xludf.DUMMYFUNCTION("""COMPUTED_VALUE"""),"INDORE")</f>
        <v>INDORE</v>
      </c>
      <c r="D180" s="5" t="str">
        <f>IFERROR(__xludf.DUMMYFUNCTION("""COMPUTED_VALUE"""),"SLK8")</f>
        <v>SLK8</v>
      </c>
      <c r="E180" s="6" t="str">
        <f>IFERROR(__xludf.DUMMYFUNCTION("""COMPUTED_VALUE"""),"ALPHABETZ SERVICES")</f>
        <v>ALPHABETZ SERVICES</v>
      </c>
      <c r="F180" s="6" t="str">
        <f>IFERROR(__xludf.DUMMYFUNCTION("""COMPUTED_VALUE"""),"MP04LD5601")</f>
        <v>MP04LD5601</v>
      </c>
      <c r="G180" s="6" t="str">
        <f>IFERROR(__xludf.DUMMYFUNCTION("""COMPUTED_VALUE"""),"ACE")</f>
        <v>ACE</v>
      </c>
      <c r="H180" s="6" t="str">
        <f>IFERROR(__xludf.DUMMYFUNCTION("""COMPUTED_VALUE"""),"DIESEL")</f>
        <v>DIESEL</v>
      </c>
      <c r="I180" s="6">
        <f>IFERROR(__xludf.DUMMYFUNCTION("""COMPUTED_VALUE"""),4.0)</f>
        <v>4</v>
      </c>
      <c r="J180" s="8">
        <f>IFERROR(__xludf.DUMMYFUNCTION("""COMPUTED_VALUE"""),0.1284722222222222)</f>
        <v>0.1284722222</v>
      </c>
      <c r="K180" s="8">
        <f>IFERROR(__xludf.DUMMYFUNCTION("""COMPUTED_VALUE"""),0.1388888888888889)</f>
        <v>0.1388888889</v>
      </c>
      <c r="L180" s="8">
        <f>IFERROR(__xludf.DUMMYFUNCTION("""COMPUTED_VALUE"""),0.2986111111111111)</f>
        <v>0.2986111111</v>
      </c>
      <c r="M180" s="8">
        <f>IFERROR(__xludf.DUMMYFUNCTION("""COMPUTED_VALUE"""),0.30416666666666664)</f>
        <v>0.3041666667</v>
      </c>
      <c r="N180" s="10">
        <f>IFERROR(__xludf.DUMMYFUNCTION("""COMPUTED_VALUE"""),52.0)</f>
        <v>52</v>
      </c>
      <c r="O180" s="27" t="str">
        <f t="shared" si="1"/>
        <v>indoreace4</v>
      </c>
      <c r="P180" s="27">
        <f>vlookup(O180,'Terms and condition'!$F:$H,3,0)/day(eomonth(B180,0))</f>
        <v>806.4516129</v>
      </c>
      <c r="Q180" s="27">
        <f t="shared" si="8"/>
        <v>12</v>
      </c>
      <c r="R180" s="27">
        <f t="shared" si="2"/>
        <v>580</v>
      </c>
      <c r="S180" s="27">
        <f t="shared" si="3"/>
        <v>0</v>
      </c>
      <c r="T180" s="27">
        <f t="shared" si="4"/>
        <v>0</v>
      </c>
      <c r="U180" s="28">
        <v>0.0</v>
      </c>
      <c r="V180" s="27">
        <f t="shared" si="5"/>
        <v>0</v>
      </c>
      <c r="W180" s="29">
        <f t="shared" si="6"/>
        <v>0</v>
      </c>
      <c r="X180" s="30">
        <f t="shared" si="7"/>
        <v>806.4516129</v>
      </c>
    </row>
    <row r="181">
      <c r="A181" s="3">
        <f>IFERROR(__xludf.DUMMYFUNCTION("""COMPUTED_VALUE"""),174.0)</f>
        <v>174</v>
      </c>
      <c r="B181" s="4">
        <f>IFERROR(__xludf.DUMMYFUNCTION("""COMPUTED_VALUE"""),45595.0)</f>
        <v>45595</v>
      </c>
      <c r="C181" s="3" t="str">
        <f>IFERROR(__xludf.DUMMYFUNCTION("""COMPUTED_VALUE"""),"INDORE")</f>
        <v>INDORE</v>
      </c>
      <c r="D181" s="5" t="str">
        <f>IFERROR(__xludf.DUMMYFUNCTION("""COMPUTED_VALUE"""),"SLK8")</f>
        <v>SLK8</v>
      </c>
      <c r="E181" s="6" t="str">
        <f>IFERROR(__xludf.DUMMYFUNCTION("""COMPUTED_VALUE"""),"ALPHABETZ SERVICES")</f>
        <v>ALPHABETZ SERVICES</v>
      </c>
      <c r="F181" s="6" t="str">
        <f>IFERROR(__xludf.DUMMYFUNCTION("""COMPUTED_VALUE"""),"MP09ZY2923")</f>
        <v>MP09ZY2923</v>
      </c>
      <c r="G181" s="6" t="str">
        <f>IFERROR(__xludf.DUMMYFUNCTION("""COMPUTED_VALUE"""),"ACE")</f>
        <v>ACE</v>
      </c>
      <c r="H181" s="6" t="str">
        <f>IFERROR(__xludf.DUMMYFUNCTION("""COMPUTED_VALUE"""),"DIESEL")</f>
        <v>DIESEL</v>
      </c>
      <c r="I181" s="6">
        <f>IFERROR(__xludf.DUMMYFUNCTION("""COMPUTED_VALUE"""),4.0)</f>
        <v>4</v>
      </c>
      <c r="J181" s="8">
        <f>IFERROR(__xludf.DUMMYFUNCTION("""COMPUTED_VALUE"""),0.13194444444444445)</f>
        <v>0.1319444444</v>
      </c>
      <c r="K181" s="8">
        <f>IFERROR(__xludf.DUMMYFUNCTION("""COMPUTED_VALUE"""),0.14305555555555555)</f>
        <v>0.1430555556</v>
      </c>
      <c r="L181" s="8">
        <f>IFERROR(__xludf.DUMMYFUNCTION("""COMPUTED_VALUE"""),0.3055555555555556)</f>
        <v>0.3055555556</v>
      </c>
      <c r="M181" s="8">
        <f>IFERROR(__xludf.DUMMYFUNCTION("""COMPUTED_VALUE"""),0.3090277777777778)</f>
        <v>0.3090277778</v>
      </c>
      <c r="N181" s="10">
        <f>IFERROR(__xludf.DUMMYFUNCTION("""COMPUTED_VALUE"""),31.0)</f>
        <v>31</v>
      </c>
      <c r="O181" s="27" t="str">
        <f t="shared" si="1"/>
        <v>indoreace4</v>
      </c>
      <c r="P181" s="27">
        <f>vlookup(O181,'Terms and condition'!$F:$H,3,0)/day(eomonth(B181,0))</f>
        <v>806.4516129</v>
      </c>
      <c r="Q181" s="27">
        <f t="shared" si="8"/>
        <v>31</v>
      </c>
      <c r="R181" s="27">
        <f t="shared" si="2"/>
        <v>988</v>
      </c>
      <c r="S181" s="27">
        <f t="shared" si="3"/>
        <v>0</v>
      </c>
      <c r="T181" s="27">
        <f t="shared" si="4"/>
        <v>32.25806452</v>
      </c>
      <c r="U181" s="28">
        <v>0.0</v>
      </c>
      <c r="V181" s="27">
        <f t="shared" si="5"/>
        <v>0</v>
      </c>
      <c r="W181" s="29">
        <f t="shared" si="6"/>
        <v>0</v>
      </c>
      <c r="X181" s="30">
        <f t="shared" si="7"/>
        <v>838.7096774</v>
      </c>
    </row>
    <row r="182">
      <c r="A182" s="3">
        <f>IFERROR(__xludf.DUMMYFUNCTION("""COMPUTED_VALUE"""),175.0)</f>
        <v>175</v>
      </c>
      <c r="B182" s="4">
        <f>IFERROR(__xludf.DUMMYFUNCTION("""COMPUTED_VALUE"""),45596.0)</f>
        <v>45596</v>
      </c>
      <c r="C182" s="3" t="str">
        <f>IFERROR(__xludf.DUMMYFUNCTION("""COMPUTED_VALUE"""),"INDORE")</f>
        <v>INDORE</v>
      </c>
      <c r="D182" s="5" t="str">
        <f>IFERROR(__xludf.DUMMYFUNCTION("""COMPUTED_VALUE"""),"SLK8")</f>
        <v>SLK8</v>
      </c>
      <c r="E182" s="6" t="str">
        <f>IFERROR(__xludf.DUMMYFUNCTION("""COMPUTED_VALUE"""),"ALPHABETZ SERVICES")</f>
        <v>ALPHABETZ SERVICES</v>
      </c>
      <c r="F182" s="6" t="str">
        <f>IFERROR(__xludf.DUMMYFUNCTION("""COMPUTED_VALUE"""),"MP54L0316")</f>
        <v>MP54L0316</v>
      </c>
      <c r="G182" s="6" t="str">
        <f>IFERROR(__xludf.DUMMYFUNCTION("""COMPUTED_VALUE"""),"ACE")</f>
        <v>ACE</v>
      </c>
      <c r="H182" s="6" t="str">
        <f>IFERROR(__xludf.DUMMYFUNCTION("""COMPUTED_VALUE"""),"DIESEL")</f>
        <v>DIESEL</v>
      </c>
      <c r="I182" s="6">
        <f>IFERROR(__xludf.DUMMYFUNCTION("""COMPUTED_VALUE"""),4.0)</f>
        <v>4</v>
      </c>
      <c r="J182" s="8">
        <f>IFERROR(__xludf.DUMMYFUNCTION("""COMPUTED_VALUE"""),0.125)</f>
        <v>0.125</v>
      </c>
      <c r="K182" s="8">
        <f>IFERROR(__xludf.DUMMYFUNCTION("""COMPUTED_VALUE"""),0.13402777777777777)</f>
        <v>0.1340277778</v>
      </c>
      <c r="L182" s="8">
        <f>IFERROR(__xludf.DUMMYFUNCTION("""COMPUTED_VALUE"""),0.2986111111111111)</f>
        <v>0.2986111111</v>
      </c>
      <c r="M182" s="8">
        <f>IFERROR(__xludf.DUMMYFUNCTION("""COMPUTED_VALUE"""),0.3020833333333333)</f>
        <v>0.3020833333</v>
      </c>
      <c r="N182" s="10">
        <f>IFERROR(__xludf.DUMMYFUNCTION("""COMPUTED_VALUE"""),44.0)</f>
        <v>44</v>
      </c>
      <c r="O182" s="27" t="str">
        <f t="shared" si="1"/>
        <v>indoreace4</v>
      </c>
      <c r="P182" s="27">
        <f>vlookup(O182,'Terms and condition'!$F:$H,3,0)/day(eomonth(B182,0))</f>
        <v>806.4516129</v>
      </c>
      <c r="Q182" s="27">
        <f t="shared" si="8"/>
        <v>31</v>
      </c>
      <c r="R182" s="27">
        <f t="shared" si="2"/>
        <v>1390</v>
      </c>
      <c r="S182" s="27">
        <f t="shared" si="3"/>
        <v>100.6451613</v>
      </c>
      <c r="T182" s="27">
        <f t="shared" si="4"/>
        <v>32.25806452</v>
      </c>
      <c r="U182" s="28">
        <v>0.0</v>
      </c>
      <c r="V182" s="27">
        <f t="shared" si="5"/>
        <v>0</v>
      </c>
      <c r="W182" s="29">
        <f t="shared" si="6"/>
        <v>0</v>
      </c>
      <c r="X182" s="30">
        <f t="shared" si="7"/>
        <v>939.3548387</v>
      </c>
    </row>
    <row r="183">
      <c r="A183" s="3">
        <f>IFERROR(__xludf.DUMMYFUNCTION("""COMPUTED_VALUE"""),176.0)</f>
        <v>176</v>
      </c>
      <c r="B183" s="4">
        <f>IFERROR(__xludf.DUMMYFUNCTION("""COMPUTED_VALUE"""),45596.0)</f>
        <v>45596</v>
      </c>
      <c r="C183" s="3" t="str">
        <f>IFERROR(__xludf.DUMMYFUNCTION("""COMPUTED_VALUE"""),"INDORE")</f>
        <v>INDORE</v>
      </c>
      <c r="D183" s="5" t="str">
        <f>IFERROR(__xludf.DUMMYFUNCTION("""COMPUTED_VALUE"""),"SLK8")</f>
        <v>SLK8</v>
      </c>
      <c r="E183" s="6" t="str">
        <f>IFERROR(__xludf.DUMMYFUNCTION("""COMPUTED_VALUE"""),"ALPHABETZ SERVICES")</f>
        <v>ALPHABETZ SERVICES</v>
      </c>
      <c r="F183" s="6" t="str">
        <f>IFERROR(__xludf.DUMMYFUNCTION("""COMPUTED_VALUE"""),"MP09LR7355")</f>
        <v>MP09LR7355</v>
      </c>
      <c r="G183" s="6" t="str">
        <f>IFERROR(__xludf.DUMMYFUNCTION("""COMPUTED_VALUE"""),"ACE")</f>
        <v>ACE</v>
      </c>
      <c r="H183" s="6" t="str">
        <f>IFERROR(__xludf.DUMMYFUNCTION("""COMPUTED_VALUE"""),"DIESEL")</f>
        <v>DIESEL</v>
      </c>
      <c r="I183" s="6">
        <f>IFERROR(__xludf.DUMMYFUNCTION("""COMPUTED_VALUE"""),4.0)</f>
        <v>4</v>
      </c>
      <c r="J183" s="8">
        <f>IFERROR(__xludf.DUMMYFUNCTION("""COMPUTED_VALUE"""),0.125)</f>
        <v>0.125</v>
      </c>
      <c r="K183" s="8">
        <f>IFERROR(__xludf.DUMMYFUNCTION("""COMPUTED_VALUE"""),0.13541666666666666)</f>
        <v>0.1354166667</v>
      </c>
      <c r="L183" s="8">
        <f>IFERROR(__xludf.DUMMYFUNCTION("""COMPUTED_VALUE"""),0.2916666666666667)</f>
        <v>0.2916666667</v>
      </c>
      <c r="M183" s="8">
        <f>IFERROR(__xludf.DUMMYFUNCTION("""COMPUTED_VALUE"""),0.2986111111111111)</f>
        <v>0.2986111111</v>
      </c>
      <c r="N183" s="10">
        <f>IFERROR(__xludf.DUMMYFUNCTION("""COMPUTED_VALUE"""),47.0)</f>
        <v>47</v>
      </c>
      <c r="O183" s="27" t="str">
        <f t="shared" si="1"/>
        <v>indoreace4</v>
      </c>
      <c r="P183" s="27">
        <f>vlookup(O183,'Terms and condition'!$F:$H,3,0)/day(eomonth(B183,0))</f>
        <v>806.4516129</v>
      </c>
      <c r="Q183" s="27">
        <f t="shared" si="8"/>
        <v>30</v>
      </c>
      <c r="R183" s="27">
        <f t="shared" si="2"/>
        <v>1436</v>
      </c>
      <c r="S183" s="27">
        <f t="shared" si="3"/>
        <v>116.2666667</v>
      </c>
      <c r="T183" s="27">
        <f t="shared" si="4"/>
        <v>0</v>
      </c>
      <c r="U183" s="28">
        <v>0.0</v>
      </c>
      <c r="V183" s="27">
        <f t="shared" si="5"/>
        <v>0</v>
      </c>
      <c r="W183" s="29">
        <f t="shared" si="6"/>
        <v>0</v>
      </c>
      <c r="X183" s="30">
        <f t="shared" si="7"/>
        <v>922.7182796</v>
      </c>
    </row>
    <row r="184">
      <c r="A184" s="3">
        <f>IFERROR(__xludf.DUMMYFUNCTION("""COMPUTED_VALUE"""),177.0)</f>
        <v>177</v>
      </c>
      <c r="B184" s="4">
        <f>IFERROR(__xludf.DUMMYFUNCTION("""COMPUTED_VALUE"""),45596.0)</f>
        <v>45596</v>
      </c>
      <c r="C184" s="3" t="str">
        <f>IFERROR(__xludf.DUMMYFUNCTION("""COMPUTED_VALUE"""),"INDORE")</f>
        <v>INDORE</v>
      </c>
      <c r="D184" s="5" t="str">
        <f>IFERROR(__xludf.DUMMYFUNCTION("""COMPUTED_VALUE"""),"SLK8")</f>
        <v>SLK8</v>
      </c>
      <c r="E184" s="6" t="str">
        <f>IFERROR(__xludf.DUMMYFUNCTION("""COMPUTED_VALUE"""),"ALPHABETZ SERVICES")</f>
        <v>ALPHABETZ SERVICES</v>
      </c>
      <c r="F184" s="6" t="str">
        <f>IFERROR(__xludf.DUMMYFUNCTION("""COMPUTED_VALUE"""),"MP04LD5601")</f>
        <v>MP04LD5601</v>
      </c>
      <c r="G184" s="6" t="str">
        <f>IFERROR(__xludf.DUMMYFUNCTION("""COMPUTED_VALUE"""),"ACE")</f>
        <v>ACE</v>
      </c>
      <c r="H184" s="6" t="str">
        <f>IFERROR(__xludf.DUMMYFUNCTION("""COMPUTED_VALUE"""),"DIESEL")</f>
        <v>DIESEL</v>
      </c>
      <c r="I184" s="6">
        <f>IFERROR(__xludf.DUMMYFUNCTION("""COMPUTED_VALUE"""),4.0)</f>
        <v>4</v>
      </c>
      <c r="J184" s="8">
        <f>IFERROR(__xludf.DUMMYFUNCTION("""COMPUTED_VALUE"""),0.125)</f>
        <v>0.125</v>
      </c>
      <c r="K184" s="8">
        <f>IFERROR(__xludf.DUMMYFUNCTION("""COMPUTED_VALUE"""),0.13680555555555557)</f>
        <v>0.1368055556</v>
      </c>
      <c r="L184" s="8">
        <f>IFERROR(__xludf.DUMMYFUNCTION("""COMPUTED_VALUE"""),0.3104166666666667)</f>
        <v>0.3104166667</v>
      </c>
      <c r="M184" s="8">
        <f>IFERROR(__xludf.DUMMYFUNCTION("""COMPUTED_VALUE"""),0.3138888888888889)</f>
        <v>0.3138888889</v>
      </c>
      <c r="N184" s="10">
        <f>IFERROR(__xludf.DUMMYFUNCTION("""COMPUTED_VALUE"""),50.0)</f>
        <v>50</v>
      </c>
      <c r="O184" s="27" t="str">
        <f t="shared" si="1"/>
        <v>indoreace4</v>
      </c>
      <c r="P184" s="27">
        <f>vlookup(O184,'Terms and condition'!$F:$H,3,0)/day(eomonth(B184,0))</f>
        <v>806.4516129</v>
      </c>
      <c r="Q184" s="27">
        <f t="shared" si="8"/>
        <v>12</v>
      </c>
      <c r="R184" s="27">
        <f t="shared" si="2"/>
        <v>580</v>
      </c>
      <c r="S184" s="27">
        <f t="shared" si="3"/>
        <v>0</v>
      </c>
      <c r="T184" s="27">
        <f t="shared" si="4"/>
        <v>0</v>
      </c>
      <c r="U184" s="28">
        <v>0.0</v>
      </c>
      <c r="V184" s="27">
        <f t="shared" si="5"/>
        <v>0</v>
      </c>
      <c r="W184" s="29">
        <f t="shared" si="6"/>
        <v>0</v>
      </c>
      <c r="X184" s="30">
        <f t="shared" si="7"/>
        <v>806.4516129</v>
      </c>
    </row>
    <row r="185">
      <c r="A185" s="3">
        <f>IFERROR(__xludf.DUMMYFUNCTION("""COMPUTED_VALUE"""),178.0)</f>
        <v>178</v>
      </c>
      <c r="B185" s="4">
        <f>IFERROR(__xludf.DUMMYFUNCTION("""COMPUTED_VALUE"""),45596.0)</f>
        <v>45596</v>
      </c>
      <c r="C185" s="3" t="str">
        <f>IFERROR(__xludf.DUMMYFUNCTION("""COMPUTED_VALUE"""),"INDORE")</f>
        <v>INDORE</v>
      </c>
      <c r="D185" s="5" t="str">
        <f>IFERROR(__xludf.DUMMYFUNCTION("""COMPUTED_VALUE"""),"SLK8")</f>
        <v>SLK8</v>
      </c>
      <c r="E185" s="6" t="str">
        <f>IFERROR(__xludf.DUMMYFUNCTION("""COMPUTED_VALUE"""),"ALPHABETZ SERVICES")</f>
        <v>ALPHABETZ SERVICES</v>
      </c>
      <c r="F185" s="6" t="str">
        <f>IFERROR(__xludf.DUMMYFUNCTION("""COMPUTED_VALUE"""),"MP09ZV0375")</f>
        <v>MP09ZV0375</v>
      </c>
      <c r="G185" s="6" t="str">
        <f>IFERROR(__xludf.DUMMYFUNCTION("""COMPUTED_VALUE"""),"ACE")</f>
        <v>ACE</v>
      </c>
      <c r="H185" s="6" t="str">
        <f>IFERROR(__xludf.DUMMYFUNCTION("""COMPUTED_VALUE"""),"DIESEL")</f>
        <v>DIESEL</v>
      </c>
      <c r="I185" s="6">
        <f>IFERROR(__xludf.DUMMYFUNCTION("""COMPUTED_VALUE"""),4.0)</f>
        <v>4</v>
      </c>
      <c r="J185" s="8">
        <f>IFERROR(__xludf.DUMMYFUNCTION("""COMPUTED_VALUE"""),0.1284722222222222)</f>
        <v>0.1284722222</v>
      </c>
      <c r="K185" s="8">
        <f>IFERROR(__xludf.DUMMYFUNCTION("""COMPUTED_VALUE"""),0.13819444444444445)</f>
        <v>0.1381944444</v>
      </c>
      <c r="L185" s="8">
        <f>IFERROR(__xludf.DUMMYFUNCTION("""COMPUTED_VALUE"""),0.3)</f>
        <v>0.3</v>
      </c>
      <c r="M185" s="8">
        <f>IFERROR(__xludf.DUMMYFUNCTION("""COMPUTED_VALUE"""),0.30416666666666664)</f>
        <v>0.3041666667</v>
      </c>
      <c r="N185" s="10">
        <f>IFERROR(__xludf.DUMMYFUNCTION("""COMPUTED_VALUE"""),31.0)</f>
        <v>31</v>
      </c>
      <c r="O185" s="27" t="str">
        <f t="shared" si="1"/>
        <v>indoreace4</v>
      </c>
      <c r="P185" s="27">
        <f>vlookup(O185,'Terms and condition'!$F:$H,3,0)/day(eomonth(B185,0))</f>
        <v>806.4516129</v>
      </c>
      <c r="Q185" s="27">
        <f t="shared" si="8"/>
        <v>26</v>
      </c>
      <c r="R185" s="27">
        <f t="shared" si="2"/>
        <v>802</v>
      </c>
      <c r="S185" s="27">
        <f t="shared" si="3"/>
        <v>0</v>
      </c>
      <c r="T185" s="27">
        <f t="shared" si="4"/>
        <v>0</v>
      </c>
      <c r="U185" s="28">
        <v>0.0</v>
      </c>
      <c r="V185" s="27">
        <f t="shared" si="5"/>
        <v>0</v>
      </c>
      <c r="W185" s="29">
        <f t="shared" si="6"/>
        <v>0</v>
      </c>
      <c r="X185" s="30">
        <f t="shared" si="7"/>
        <v>806.4516129</v>
      </c>
    </row>
    <row r="186">
      <c r="A186" s="3">
        <f>IFERROR(__xludf.DUMMYFUNCTION("""COMPUTED_VALUE"""),179.0)</f>
        <v>179</v>
      </c>
      <c r="B186" s="4">
        <f>IFERROR(__xludf.DUMMYFUNCTION("""COMPUTED_VALUE"""),45596.0)</f>
        <v>45596</v>
      </c>
      <c r="C186" s="3" t="str">
        <f>IFERROR(__xludf.DUMMYFUNCTION("""COMPUTED_VALUE"""),"INDORE")</f>
        <v>INDORE</v>
      </c>
      <c r="D186" s="5" t="str">
        <f>IFERROR(__xludf.DUMMYFUNCTION("""COMPUTED_VALUE"""),"SLK8")</f>
        <v>SLK8</v>
      </c>
      <c r="E186" s="6" t="str">
        <f>IFERROR(__xludf.DUMMYFUNCTION("""COMPUTED_VALUE"""),"ALPHABETZ SERVICES")</f>
        <v>ALPHABETZ SERVICES</v>
      </c>
      <c r="F186" s="6" t="str">
        <f>IFERROR(__xludf.DUMMYFUNCTION("""COMPUTED_VALUE"""),"MP09LP8407")</f>
        <v>MP09LP8407</v>
      </c>
      <c r="G186" s="6" t="str">
        <f>IFERROR(__xludf.DUMMYFUNCTION("""COMPUTED_VALUE"""),"ACE")</f>
        <v>ACE</v>
      </c>
      <c r="H186" s="6" t="str">
        <f>IFERROR(__xludf.DUMMYFUNCTION("""COMPUTED_VALUE"""),"DIESEL")</f>
        <v>DIESEL</v>
      </c>
      <c r="I186" s="6">
        <f>IFERROR(__xludf.DUMMYFUNCTION("""COMPUTED_VALUE"""),4.0)</f>
        <v>4</v>
      </c>
      <c r="J186" s="8">
        <f>IFERROR(__xludf.DUMMYFUNCTION("""COMPUTED_VALUE"""),0.12916666666666668)</f>
        <v>0.1291666667</v>
      </c>
      <c r="K186" s="8">
        <f>IFERROR(__xludf.DUMMYFUNCTION("""COMPUTED_VALUE"""),0.1388888888888889)</f>
        <v>0.1388888889</v>
      </c>
      <c r="L186" s="8">
        <f>IFERROR(__xludf.DUMMYFUNCTION("""COMPUTED_VALUE"""),0.2916666666666667)</f>
        <v>0.2916666667</v>
      </c>
      <c r="M186" s="8">
        <f>IFERROR(__xludf.DUMMYFUNCTION("""COMPUTED_VALUE"""),0.2951388888888889)</f>
        <v>0.2951388889</v>
      </c>
      <c r="N186" s="10">
        <f>IFERROR(__xludf.DUMMYFUNCTION("""COMPUTED_VALUE"""),35.0)</f>
        <v>35</v>
      </c>
      <c r="O186" s="27" t="str">
        <f t="shared" si="1"/>
        <v>indoreace4</v>
      </c>
      <c r="P186" s="27">
        <f>vlookup(O186,'Terms and condition'!$F:$H,3,0)/day(eomonth(B186,0))</f>
        <v>806.4516129</v>
      </c>
      <c r="Q186" s="27">
        <f t="shared" si="8"/>
        <v>31</v>
      </c>
      <c r="R186" s="27">
        <f t="shared" si="2"/>
        <v>1063</v>
      </c>
      <c r="S186" s="27">
        <f t="shared" si="3"/>
        <v>16.25806452</v>
      </c>
      <c r="T186" s="27">
        <f t="shared" si="4"/>
        <v>32.25806452</v>
      </c>
      <c r="U186" s="28">
        <v>0.0</v>
      </c>
      <c r="V186" s="27">
        <f t="shared" si="5"/>
        <v>0</v>
      </c>
      <c r="W186" s="29">
        <f t="shared" si="6"/>
        <v>0</v>
      </c>
      <c r="X186" s="30">
        <f t="shared" si="7"/>
        <v>854.9677419</v>
      </c>
    </row>
    <row r="187">
      <c r="A187" s="27">
        <f>IFERROR(__xludf.DUMMYFUNCTION("""COMPUTED_VALUE"""),180.0)</f>
        <v>180</v>
      </c>
      <c r="B187" s="31">
        <f>IFERROR(__xludf.DUMMYFUNCTION("""COMPUTED_VALUE"""),45596.0)</f>
        <v>45596</v>
      </c>
      <c r="C187" s="27" t="str">
        <f>IFERROR(__xludf.DUMMYFUNCTION("""COMPUTED_VALUE"""),"INDORE")</f>
        <v>INDORE</v>
      </c>
      <c r="D187" s="27" t="str">
        <f>IFERROR(__xludf.DUMMYFUNCTION("""COMPUTED_VALUE"""),"SLK8")</f>
        <v>SLK8</v>
      </c>
      <c r="E187" s="27" t="str">
        <f>IFERROR(__xludf.DUMMYFUNCTION("""COMPUTED_VALUE"""),"ALPHABETZ SERVICES")</f>
        <v>ALPHABETZ SERVICES</v>
      </c>
      <c r="F187" s="27" t="str">
        <f>IFERROR(__xludf.DUMMYFUNCTION("""COMPUTED_VALUE"""),"MP09ZY2923")</f>
        <v>MP09ZY2923</v>
      </c>
      <c r="G187" s="27" t="str">
        <f>IFERROR(__xludf.DUMMYFUNCTION("""COMPUTED_VALUE"""),"ACE")</f>
        <v>ACE</v>
      </c>
      <c r="H187" s="27" t="str">
        <f>IFERROR(__xludf.DUMMYFUNCTION("""COMPUTED_VALUE"""),"DIESEL")</f>
        <v>DIESEL</v>
      </c>
      <c r="I187" s="27">
        <f>IFERROR(__xludf.DUMMYFUNCTION("""COMPUTED_VALUE"""),4.0)</f>
        <v>4</v>
      </c>
      <c r="J187" s="32">
        <f>IFERROR(__xludf.DUMMYFUNCTION("""COMPUTED_VALUE"""),0.12986111111111112)</f>
        <v>0.1298611111</v>
      </c>
      <c r="K187" s="32">
        <f>IFERROR(__xludf.DUMMYFUNCTION("""COMPUTED_VALUE"""),0.14027777777777778)</f>
        <v>0.1402777778</v>
      </c>
      <c r="L187" s="32">
        <f>IFERROR(__xludf.DUMMYFUNCTION("""COMPUTED_VALUE"""),0.3194444444444444)</f>
        <v>0.3194444444</v>
      </c>
      <c r="M187" s="32">
        <f>IFERROR(__xludf.DUMMYFUNCTION("""COMPUTED_VALUE"""),0.3229166666666667)</f>
        <v>0.3229166667</v>
      </c>
      <c r="N187" s="27">
        <f>IFERROR(__xludf.DUMMYFUNCTION("""COMPUTED_VALUE"""),31.0)</f>
        <v>31</v>
      </c>
      <c r="O187" s="27" t="str">
        <f t="shared" si="1"/>
        <v>indoreace4</v>
      </c>
      <c r="P187" s="27">
        <f>vlookup(O187,'Terms and condition'!$F:$H,3,0)/day(eomonth(B187,0))</f>
        <v>806.4516129</v>
      </c>
      <c r="Q187" s="27">
        <f t="shared" si="8"/>
        <v>31</v>
      </c>
      <c r="R187" s="27">
        <f t="shared" si="2"/>
        <v>988</v>
      </c>
      <c r="S187" s="27">
        <f t="shared" si="3"/>
        <v>0</v>
      </c>
      <c r="T187" s="27">
        <f t="shared" si="4"/>
        <v>32.25806452</v>
      </c>
      <c r="U187" s="28">
        <v>0.0</v>
      </c>
      <c r="V187" s="27">
        <f t="shared" si="5"/>
        <v>0</v>
      </c>
      <c r="W187" s="29">
        <f t="shared" si="6"/>
        <v>0</v>
      </c>
      <c r="X187" s="30">
        <f t="shared" si="7"/>
        <v>838.7096774</v>
      </c>
    </row>
    <row r="188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W188" s="34"/>
    </row>
    <row r="189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W189" s="34"/>
    </row>
    <row r="190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W190" s="34"/>
    </row>
    <row r="19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W191" s="34"/>
    </row>
    <row r="192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W192" s="34"/>
    </row>
    <row r="193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W193" s="34"/>
    </row>
    <row r="194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W194" s="34"/>
    </row>
    <row r="195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W195" s="34"/>
    </row>
    <row r="196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W196" s="34"/>
    </row>
    <row r="197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W197" s="34"/>
    </row>
    <row r="198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W198" s="34"/>
    </row>
    <row r="199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W199" s="34"/>
    </row>
    <row r="200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W200" s="34"/>
    </row>
    <row r="20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W201" s="34"/>
    </row>
    <row r="202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W202" s="34"/>
    </row>
    <row r="203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W203" s="34"/>
    </row>
    <row r="204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W204" s="34"/>
    </row>
    <row r="20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W205" s="34"/>
    </row>
    <row r="206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W206" s="34"/>
    </row>
    <row r="207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W207" s="34"/>
    </row>
    <row r="208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W208" s="34"/>
    </row>
    <row r="209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W209" s="34"/>
    </row>
    <row r="210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W210" s="34"/>
    </row>
    <row r="21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W211" s="34"/>
    </row>
    <row r="212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W212" s="34"/>
    </row>
    <row r="213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W213" s="34"/>
    </row>
    <row r="214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W214" s="34"/>
    </row>
    <row r="215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W215" s="34"/>
    </row>
    <row r="216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W216" s="34"/>
    </row>
    <row r="217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W217" s="34"/>
    </row>
    <row r="218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W218" s="34"/>
    </row>
    <row r="219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W219" s="34"/>
    </row>
    <row r="220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W220" s="34"/>
    </row>
    <row r="22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W221" s="34"/>
    </row>
    <row r="222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W222" s="34"/>
    </row>
    <row r="223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W223" s="34"/>
    </row>
    <row r="224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W224" s="34"/>
    </row>
    <row r="225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W225" s="34"/>
    </row>
    <row r="226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W226" s="34"/>
    </row>
    <row r="227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W227" s="34"/>
    </row>
    <row r="228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W228" s="34"/>
    </row>
    <row r="229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W229" s="34"/>
    </row>
    <row r="230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W230" s="34"/>
    </row>
    <row r="23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W231" s="34"/>
    </row>
    <row r="232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W232" s="34"/>
    </row>
    <row r="233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W233" s="34"/>
    </row>
    <row r="234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W234" s="34"/>
    </row>
    <row r="235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W235" s="34"/>
    </row>
    <row r="236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W236" s="34"/>
    </row>
    <row r="237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W237" s="34"/>
    </row>
    <row r="238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W238" s="34"/>
    </row>
    <row r="239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W239" s="34"/>
    </row>
    <row r="240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W240" s="34"/>
    </row>
    <row r="24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W241" s="34"/>
    </row>
    <row r="242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W242" s="34"/>
    </row>
    <row r="243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W243" s="34"/>
    </row>
    <row r="244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W244" s="34"/>
    </row>
    <row r="245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W245" s="34"/>
    </row>
    <row r="246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W246" s="34"/>
    </row>
    <row r="247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W247" s="34"/>
    </row>
    <row r="248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W248" s="34"/>
    </row>
    <row r="249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W249" s="34"/>
    </row>
    <row r="250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W250" s="34"/>
    </row>
    <row r="25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W251" s="34"/>
    </row>
    <row r="252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W252" s="34"/>
    </row>
    <row r="253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W253" s="34"/>
    </row>
    <row r="254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W254" s="34"/>
    </row>
    <row r="255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W255" s="34"/>
    </row>
    <row r="256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W256" s="34"/>
    </row>
    <row r="257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W257" s="34"/>
    </row>
    <row r="258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W258" s="34"/>
    </row>
    <row r="259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W259" s="34"/>
    </row>
    <row r="260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W260" s="34"/>
    </row>
    <row r="26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W261" s="34"/>
    </row>
    <row r="262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W262" s="34"/>
    </row>
    <row r="263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W263" s="34"/>
    </row>
    <row r="264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W264" s="34"/>
    </row>
    <row r="265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W265" s="34"/>
    </row>
    <row r="266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W266" s="34"/>
    </row>
    <row r="267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W267" s="34"/>
    </row>
    <row r="268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W268" s="34"/>
    </row>
    <row r="269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W269" s="34"/>
    </row>
    <row r="270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W270" s="34"/>
    </row>
    <row r="27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W271" s="34"/>
    </row>
    <row r="272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W272" s="34"/>
    </row>
    <row r="273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W273" s="34"/>
    </row>
    <row r="274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W274" s="34"/>
    </row>
    <row r="275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W275" s="34"/>
    </row>
    <row r="276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W276" s="34"/>
    </row>
    <row r="277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W277" s="34"/>
    </row>
    <row r="278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W278" s="34"/>
    </row>
    <row r="279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W279" s="34"/>
    </row>
    <row r="280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W280" s="34"/>
    </row>
    <row r="28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W281" s="34"/>
    </row>
    <row r="282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W282" s="34"/>
    </row>
    <row r="283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W283" s="34"/>
    </row>
    <row r="284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W284" s="34"/>
    </row>
    <row r="285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W285" s="34"/>
    </row>
    <row r="286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W286" s="34"/>
    </row>
    <row r="287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W287" s="34"/>
    </row>
    <row r="288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W288" s="34"/>
    </row>
    <row r="289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W289" s="34"/>
    </row>
    <row r="290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W290" s="34"/>
    </row>
    <row r="29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W291" s="34"/>
    </row>
    <row r="292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W292" s="34"/>
    </row>
    <row r="293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W293" s="34"/>
    </row>
    <row r="294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W294" s="34"/>
    </row>
    <row r="295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W295" s="34"/>
    </row>
    <row r="296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W296" s="34"/>
    </row>
    <row r="297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W297" s="34"/>
    </row>
    <row r="298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W298" s="34"/>
    </row>
    <row r="299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W299" s="34"/>
    </row>
    <row r="300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W300" s="34"/>
    </row>
    <row r="30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W301" s="34"/>
    </row>
    <row r="302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W302" s="34"/>
    </row>
    <row r="303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W303" s="34"/>
    </row>
    <row r="304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W304" s="34"/>
    </row>
    <row r="305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W305" s="34"/>
    </row>
    <row r="306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W306" s="34"/>
    </row>
    <row r="307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W307" s="34"/>
    </row>
    <row r="308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W308" s="34"/>
    </row>
    <row r="309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W309" s="34"/>
    </row>
    <row r="310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W310" s="34"/>
    </row>
    <row r="31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W311" s="34"/>
    </row>
    <row r="312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W312" s="34"/>
    </row>
    <row r="313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W313" s="34"/>
    </row>
    <row r="314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W314" s="34"/>
    </row>
    <row r="315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W315" s="34"/>
    </row>
    <row r="316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W316" s="34"/>
    </row>
    <row r="317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W317" s="34"/>
    </row>
    <row r="318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W318" s="34"/>
    </row>
    <row r="319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W319" s="34"/>
    </row>
    <row r="320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W320" s="34"/>
    </row>
    <row r="32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W321" s="34"/>
    </row>
    <row r="322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W322" s="34"/>
    </row>
    <row r="323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W323" s="34"/>
    </row>
    <row r="324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W324" s="34"/>
    </row>
    <row r="325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W325" s="34"/>
    </row>
    <row r="326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W326" s="34"/>
    </row>
    <row r="327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W327" s="34"/>
    </row>
    <row r="328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W328" s="34"/>
    </row>
    <row r="329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W329" s="34"/>
    </row>
    <row r="330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W330" s="34"/>
    </row>
    <row r="33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W331" s="34"/>
    </row>
    <row r="332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W332" s="34"/>
    </row>
    <row r="333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W333" s="34"/>
    </row>
    <row r="334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W334" s="34"/>
    </row>
    <row r="335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W335" s="34"/>
    </row>
    <row r="336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W336" s="34"/>
    </row>
    <row r="337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W337" s="34"/>
    </row>
    <row r="338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W338" s="34"/>
    </row>
    <row r="339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W339" s="34"/>
    </row>
    <row r="340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W340" s="34"/>
    </row>
    <row r="34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W341" s="34"/>
    </row>
    <row r="342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W342" s="34"/>
    </row>
    <row r="343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W343" s="34"/>
    </row>
    <row r="344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W344" s="34"/>
    </row>
    <row r="345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W345" s="34"/>
    </row>
    <row r="346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W346" s="34"/>
    </row>
    <row r="347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W347" s="34"/>
    </row>
    <row r="348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W348" s="34"/>
    </row>
    <row r="349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W349" s="34"/>
    </row>
    <row r="350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W350" s="34"/>
    </row>
    <row r="35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W351" s="34"/>
    </row>
    <row r="352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W352" s="34"/>
    </row>
    <row r="353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W353" s="34"/>
    </row>
    <row r="354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W354" s="34"/>
    </row>
    <row r="355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W355" s="34"/>
    </row>
    <row r="356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W356" s="34"/>
    </row>
    <row r="357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W357" s="34"/>
    </row>
    <row r="358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W358" s="34"/>
    </row>
    <row r="359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W359" s="34"/>
    </row>
    <row r="360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W360" s="34"/>
    </row>
    <row r="36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W361" s="34"/>
    </row>
    <row r="362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W362" s="34"/>
    </row>
    <row r="363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W363" s="34"/>
    </row>
    <row r="364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W364" s="34"/>
    </row>
    <row r="365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W365" s="34"/>
    </row>
    <row r="366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W366" s="34"/>
    </row>
    <row r="367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W367" s="34"/>
    </row>
    <row r="368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W368" s="34"/>
    </row>
    <row r="369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W369" s="34"/>
    </row>
    <row r="370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W370" s="34"/>
    </row>
    <row r="37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W371" s="34"/>
    </row>
    <row r="372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W372" s="34"/>
    </row>
    <row r="373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W373" s="34"/>
    </row>
    <row r="374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W374" s="34"/>
    </row>
    <row r="375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W375" s="34"/>
    </row>
    <row r="376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W376" s="34"/>
    </row>
    <row r="377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W377" s="34"/>
    </row>
    <row r="378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W378" s="34"/>
    </row>
    <row r="379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W379" s="34"/>
    </row>
    <row r="380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W380" s="34"/>
    </row>
    <row r="38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W381" s="34"/>
    </row>
    <row r="382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W382" s="34"/>
    </row>
    <row r="383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W383" s="34"/>
    </row>
    <row r="384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W384" s="34"/>
    </row>
    <row r="385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W385" s="34"/>
    </row>
    <row r="386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W386" s="34"/>
    </row>
    <row r="387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W387" s="34"/>
    </row>
    <row r="388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W388" s="34"/>
    </row>
    <row r="389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W389" s="34"/>
    </row>
    <row r="390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W390" s="34"/>
    </row>
    <row r="39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W391" s="34"/>
    </row>
    <row r="392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W392" s="34"/>
    </row>
    <row r="393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W393" s="34"/>
    </row>
    <row r="394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W394" s="34"/>
    </row>
    <row r="395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W395" s="34"/>
    </row>
    <row r="396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W396" s="34"/>
    </row>
    <row r="397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W397" s="34"/>
    </row>
    <row r="398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W398" s="34"/>
    </row>
    <row r="399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W399" s="34"/>
    </row>
    <row r="400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W400" s="34"/>
    </row>
    <row r="40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W401" s="34"/>
    </row>
    <row r="402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W402" s="34"/>
    </row>
    <row r="403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W403" s="34"/>
    </row>
    <row r="404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W404" s="34"/>
    </row>
    <row r="405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W405" s="34"/>
    </row>
    <row r="406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W406" s="34"/>
    </row>
    <row r="407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W407" s="34"/>
    </row>
    <row r="408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W408" s="34"/>
    </row>
    <row r="409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W409" s="34"/>
    </row>
    <row r="410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W410" s="34"/>
    </row>
    <row r="41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W411" s="34"/>
    </row>
    <row r="412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W412" s="34"/>
    </row>
    <row r="413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W413" s="34"/>
    </row>
    <row r="414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W414" s="34"/>
    </row>
    <row r="415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W415" s="34"/>
    </row>
    <row r="416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W416" s="34"/>
    </row>
    <row r="417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W417" s="34"/>
    </row>
    <row r="418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W418" s="34"/>
    </row>
    <row r="419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W419" s="34"/>
    </row>
    <row r="420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W420" s="34"/>
    </row>
    <row r="42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W421" s="34"/>
    </row>
    <row r="422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W422" s="34"/>
    </row>
    <row r="423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W423" s="34"/>
    </row>
    <row r="424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W424" s="34"/>
    </row>
    <row r="425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W425" s="34"/>
    </row>
    <row r="426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W426" s="34"/>
    </row>
    <row r="427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W427" s="34"/>
    </row>
    <row r="428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W428" s="34"/>
    </row>
    <row r="429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W429" s="34"/>
    </row>
    <row r="430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W430" s="34"/>
    </row>
    <row r="43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W431" s="34"/>
    </row>
    <row r="432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W432" s="34"/>
    </row>
    <row r="433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W433" s="34"/>
    </row>
    <row r="434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W434" s="34"/>
    </row>
    <row r="435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W435" s="34"/>
    </row>
    <row r="436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W436" s="34"/>
    </row>
    <row r="437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W437" s="34"/>
    </row>
    <row r="438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W438" s="34"/>
    </row>
    <row r="439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W439" s="34"/>
    </row>
    <row r="440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W440" s="34"/>
    </row>
    <row r="44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W441" s="34"/>
    </row>
    <row r="442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W442" s="34"/>
    </row>
    <row r="443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W443" s="34"/>
    </row>
    <row r="444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W444" s="34"/>
    </row>
    <row r="445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W445" s="34"/>
    </row>
    <row r="446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W446" s="34"/>
    </row>
    <row r="447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W447" s="34"/>
    </row>
    <row r="448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W448" s="34"/>
    </row>
    <row r="449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W449" s="34"/>
    </row>
    <row r="450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W450" s="34"/>
    </row>
    <row r="45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W451" s="34"/>
    </row>
    <row r="452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W452" s="34"/>
    </row>
    <row r="453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W453" s="34"/>
    </row>
    <row r="454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W454" s="34"/>
    </row>
    <row r="455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W455" s="34"/>
    </row>
    <row r="456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W456" s="34"/>
    </row>
    <row r="457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W457" s="34"/>
    </row>
    <row r="458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W458" s="34"/>
    </row>
    <row r="459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W459" s="34"/>
    </row>
    <row r="460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W460" s="34"/>
    </row>
    <row r="46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W461" s="34"/>
    </row>
    <row r="462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W462" s="34"/>
    </row>
    <row r="463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W463" s="34"/>
    </row>
    <row r="464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W464" s="34"/>
    </row>
    <row r="465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W465" s="34"/>
    </row>
    <row r="466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W466" s="34"/>
    </row>
    <row r="467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W467" s="34"/>
    </row>
    <row r="468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W468" s="34"/>
    </row>
    <row r="469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W469" s="34"/>
    </row>
    <row r="470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W470" s="34"/>
    </row>
    <row r="47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W471" s="34"/>
    </row>
    <row r="472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W472" s="34"/>
    </row>
    <row r="473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W473" s="34"/>
    </row>
    <row r="474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W474" s="34"/>
    </row>
    <row r="475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W475" s="34"/>
    </row>
    <row r="476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W476" s="34"/>
    </row>
    <row r="477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W477" s="34"/>
    </row>
    <row r="478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W478" s="34"/>
    </row>
    <row r="479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W479" s="34"/>
    </row>
    <row r="480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W480" s="34"/>
    </row>
    <row r="48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W481" s="34"/>
    </row>
    <row r="482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W482" s="34"/>
    </row>
    <row r="483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W483" s="34"/>
    </row>
    <row r="484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W484" s="34"/>
    </row>
    <row r="485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W485" s="34"/>
    </row>
    <row r="486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W486" s="34"/>
    </row>
    <row r="487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W487" s="34"/>
    </row>
    <row r="488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W488" s="34"/>
    </row>
    <row r="489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W489" s="34"/>
    </row>
    <row r="490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W490" s="34"/>
    </row>
    <row r="49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W491" s="34"/>
    </row>
    <row r="492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W492" s="34"/>
    </row>
    <row r="493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W493" s="34"/>
    </row>
    <row r="494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W494" s="34"/>
    </row>
    <row r="495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W495" s="34"/>
    </row>
    <row r="496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W496" s="34"/>
    </row>
    <row r="497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W497" s="34"/>
    </row>
    <row r="498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W498" s="34"/>
    </row>
    <row r="499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W499" s="34"/>
    </row>
    <row r="500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W500" s="34"/>
    </row>
    <row r="50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W501" s="34"/>
    </row>
    <row r="502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W502" s="34"/>
    </row>
    <row r="503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W503" s="34"/>
    </row>
    <row r="504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W504" s="34"/>
    </row>
    <row r="505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W505" s="34"/>
    </row>
    <row r="506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W506" s="34"/>
    </row>
    <row r="507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W507" s="34"/>
    </row>
    <row r="508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W508" s="34"/>
    </row>
    <row r="509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W509" s="34"/>
    </row>
    <row r="510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W510" s="34"/>
    </row>
    <row r="51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W511" s="34"/>
    </row>
    <row r="512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W512" s="34"/>
    </row>
    <row r="513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W513" s="34"/>
    </row>
    <row r="514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W514" s="34"/>
    </row>
    <row r="515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W515" s="34"/>
    </row>
    <row r="516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W516" s="34"/>
    </row>
    <row r="517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W517" s="34"/>
    </row>
    <row r="518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W518" s="34"/>
    </row>
    <row r="519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W519" s="34"/>
    </row>
    <row r="520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W520" s="34"/>
    </row>
    <row r="52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W521" s="34"/>
    </row>
    <row r="522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W522" s="34"/>
    </row>
    <row r="523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W523" s="34"/>
    </row>
    <row r="524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W524" s="34"/>
    </row>
    <row r="525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W525" s="34"/>
    </row>
    <row r="526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W526" s="34"/>
    </row>
    <row r="527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W527" s="34"/>
    </row>
    <row r="528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W528" s="34"/>
    </row>
    <row r="529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W529" s="34"/>
    </row>
    <row r="530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W530" s="34"/>
    </row>
    <row r="53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W531" s="34"/>
    </row>
    <row r="532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W532" s="34"/>
    </row>
    <row r="533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W533" s="34"/>
    </row>
    <row r="534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W534" s="34"/>
    </row>
    <row r="535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W535" s="34"/>
    </row>
    <row r="536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W536" s="34"/>
    </row>
    <row r="537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W537" s="34"/>
    </row>
    <row r="538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W538" s="34"/>
    </row>
    <row r="539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W539" s="34"/>
    </row>
    <row r="540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W540" s="34"/>
    </row>
    <row r="54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W541" s="34"/>
    </row>
    <row r="542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W542" s="34"/>
    </row>
    <row r="543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W543" s="34"/>
    </row>
    <row r="544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W544" s="34"/>
    </row>
    <row r="545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W545" s="34"/>
    </row>
    <row r="546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W546" s="34"/>
    </row>
    <row r="547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W547" s="34"/>
    </row>
    <row r="548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W548" s="34"/>
    </row>
    <row r="549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W549" s="34"/>
    </row>
    <row r="550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W550" s="34"/>
    </row>
    <row r="55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W551" s="34"/>
    </row>
    <row r="552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W552" s="34"/>
    </row>
    <row r="553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W553" s="34"/>
    </row>
    <row r="554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W554" s="34"/>
    </row>
    <row r="555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W555" s="34"/>
    </row>
    <row r="556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W556" s="34"/>
    </row>
    <row r="557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W557" s="34"/>
    </row>
    <row r="558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W558" s="34"/>
    </row>
    <row r="559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W559" s="34"/>
    </row>
    <row r="560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W560" s="34"/>
    </row>
    <row r="56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W561" s="34"/>
    </row>
    <row r="562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W562" s="34"/>
    </row>
    <row r="563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W563" s="34"/>
    </row>
    <row r="564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W564" s="34"/>
    </row>
    <row r="565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W565" s="34"/>
    </row>
    <row r="566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W566" s="34"/>
    </row>
    <row r="567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W567" s="34"/>
    </row>
    <row r="568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W568" s="34"/>
    </row>
    <row r="569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W569" s="34"/>
    </row>
    <row r="570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W570" s="34"/>
    </row>
    <row r="57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W571" s="34"/>
    </row>
    <row r="572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W572" s="34"/>
    </row>
    <row r="573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W573" s="34"/>
    </row>
    <row r="574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W574" s="34"/>
    </row>
    <row r="575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W575" s="34"/>
    </row>
    <row r="576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W576" s="34"/>
    </row>
    <row r="577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W577" s="34"/>
    </row>
    <row r="578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W578" s="34"/>
    </row>
    <row r="579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W579" s="34"/>
    </row>
    <row r="580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W580" s="34"/>
    </row>
    <row r="58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W581" s="34"/>
    </row>
    <row r="582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W582" s="34"/>
    </row>
    <row r="583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W583" s="34"/>
    </row>
    <row r="584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W584" s="34"/>
    </row>
    <row r="585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W585" s="34"/>
    </row>
    <row r="586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W586" s="34"/>
    </row>
    <row r="587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W587" s="34"/>
    </row>
    <row r="588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W588" s="34"/>
    </row>
    <row r="589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W589" s="34"/>
    </row>
    <row r="590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W590" s="34"/>
    </row>
    <row r="59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W591" s="34"/>
    </row>
    <row r="592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W592" s="34"/>
    </row>
    <row r="593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W593" s="34"/>
    </row>
    <row r="594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W594" s="34"/>
    </row>
    <row r="595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W595" s="34"/>
    </row>
    <row r="596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W596" s="34"/>
    </row>
    <row r="597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W597" s="34"/>
    </row>
    <row r="598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W598" s="34"/>
    </row>
    <row r="599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W599" s="34"/>
    </row>
    <row r="600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W600" s="34"/>
    </row>
    <row r="60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W601" s="34"/>
    </row>
    <row r="602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W602" s="34"/>
    </row>
    <row r="603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W603" s="34"/>
    </row>
    <row r="604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W604" s="34"/>
    </row>
    <row r="605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W605" s="34"/>
    </row>
    <row r="606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W606" s="34"/>
    </row>
    <row r="607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W607" s="34"/>
    </row>
    <row r="608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W608" s="34"/>
    </row>
    <row r="609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W609" s="34"/>
    </row>
    <row r="610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W610" s="34"/>
    </row>
    <row r="61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W611" s="34"/>
    </row>
    <row r="612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W612" s="34"/>
    </row>
    <row r="613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W613" s="34"/>
    </row>
    <row r="614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W614" s="34"/>
    </row>
    <row r="615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W615" s="34"/>
    </row>
    <row r="616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W616" s="34"/>
    </row>
    <row r="617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W617" s="34"/>
    </row>
    <row r="618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W618" s="34"/>
    </row>
    <row r="619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W619" s="34"/>
    </row>
    <row r="620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W620" s="34"/>
    </row>
    <row r="62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W621" s="34"/>
    </row>
    <row r="622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W622" s="34"/>
    </row>
    <row r="623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W623" s="34"/>
    </row>
    <row r="624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W624" s="34"/>
    </row>
    <row r="625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W625" s="34"/>
    </row>
    <row r="626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W626" s="34"/>
    </row>
    <row r="627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W627" s="34"/>
    </row>
    <row r="628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W628" s="34"/>
    </row>
    <row r="629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W629" s="34"/>
    </row>
    <row r="630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W630" s="34"/>
    </row>
    <row r="63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W631" s="34"/>
    </row>
    <row r="632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W632" s="34"/>
    </row>
    <row r="633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W633" s="34"/>
    </row>
    <row r="634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W634" s="34"/>
    </row>
    <row r="635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W635" s="34"/>
    </row>
    <row r="636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W636" s="34"/>
    </row>
    <row r="637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W637" s="34"/>
    </row>
    <row r="638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W638" s="34"/>
    </row>
    <row r="639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W639" s="34"/>
    </row>
    <row r="640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W640" s="34"/>
    </row>
    <row r="64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W641" s="34"/>
    </row>
    <row r="642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W642" s="34"/>
    </row>
    <row r="643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W643" s="34"/>
    </row>
    <row r="644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W644" s="34"/>
    </row>
    <row r="645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W645" s="34"/>
    </row>
    <row r="646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W646" s="34"/>
    </row>
    <row r="647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W647" s="34"/>
    </row>
    <row r="648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W648" s="34"/>
    </row>
    <row r="649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W649" s="34"/>
    </row>
    <row r="650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W650" s="34"/>
    </row>
    <row r="65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W651" s="34"/>
    </row>
    <row r="652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W652" s="34"/>
    </row>
    <row r="653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W653" s="34"/>
    </row>
    <row r="654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W654" s="34"/>
    </row>
    <row r="655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W655" s="34"/>
    </row>
    <row r="656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W656" s="34"/>
    </row>
    <row r="657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W657" s="34"/>
    </row>
    <row r="658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W658" s="34"/>
    </row>
    <row r="659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W659" s="34"/>
    </row>
    <row r="660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W660" s="34"/>
    </row>
    <row r="66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W661" s="34"/>
    </row>
    <row r="662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W662" s="34"/>
    </row>
    <row r="663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W663" s="34"/>
    </row>
    <row r="664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W664" s="34"/>
    </row>
    <row r="665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W665" s="34"/>
    </row>
    <row r="666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W666" s="34"/>
    </row>
    <row r="667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W667" s="34"/>
    </row>
    <row r="668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W668" s="34"/>
    </row>
    <row r="669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W669" s="34"/>
    </row>
    <row r="670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W670" s="34"/>
    </row>
    <row r="67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W671" s="34"/>
    </row>
    <row r="672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W672" s="34"/>
    </row>
    <row r="673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W673" s="34"/>
    </row>
    <row r="674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W674" s="34"/>
    </row>
    <row r="675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W675" s="34"/>
    </row>
    <row r="676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W676" s="34"/>
    </row>
    <row r="677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W677" s="34"/>
    </row>
    <row r="678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W678" s="34"/>
    </row>
    <row r="679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W679" s="34"/>
    </row>
    <row r="680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W680" s="34"/>
    </row>
    <row r="68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W681" s="34"/>
    </row>
    <row r="682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W682" s="34"/>
    </row>
    <row r="683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W683" s="34"/>
    </row>
    <row r="684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W684" s="34"/>
    </row>
    <row r="685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W685" s="34"/>
    </row>
    <row r="686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W686" s="34"/>
    </row>
    <row r="687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W687" s="34"/>
    </row>
    <row r="688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W688" s="34"/>
    </row>
    <row r="689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W689" s="34"/>
    </row>
    <row r="690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W690" s="34"/>
    </row>
    <row r="69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W691" s="34"/>
    </row>
    <row r="692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W692" s="34"/>
    </row>
    <row r="693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W693" s="34"/>
    </row>
    <row r="694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W694" s="34"/>
    </row>
    <row r="695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W695" s="34"/>
    </row>
    <row r="696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W696" s="34"/>
    </row>
    <row r="697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W697" s="34"/>
    </row>
    <row r="698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W698" s="34"/>
    </row>
    <row r="699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W699" s="34"/>
    </row>
    <row r="700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W700" s="34"/>
    </row>
    <row r="70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W701" s="34"/>
    </row>
    <row r="702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W702" s="34"/>
    </row>
    <row r="703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W703" s="34"/>
    </row>
    <row r="704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W704" s="34"/>
    </row>
    <row r="705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W705" s="34"/>
    </row>
    <row r="706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W706" s="34"/>
    </row>
    <row r="707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W707" s="34"/>
    </row>
    <row r="708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W708" s="34"/>
    </row>
    <row r="709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W709" s="34"/>
    </row>
    <row r="710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W710" s="34"/>
    </row>
    <row r="71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W711" s="34"/>
    </row>
    <row r="712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W712" s="34"/>
    </row>
    <row r="713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W713" s="34"/>
    </row>
    <row r="714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W714" s="34"/>
    </row>
    <row r="715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W715" s="34"/>
    </row>
    <row r="716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W716" s="34"/>
    </row>
    <row r="717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W717" s="34"/>
    </row>
    <row r="718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W718" s="34"/>
    </row>
    <row r="719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W719" s="34"/>
    </row>
    <row r="720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W720" s="34"/>
    </row>
    <row r="72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W721" s="34"/>
    </row>
    <row r="722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W722" s="34"/>
    </row>
    <row r="723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W723" s="34"/>
    </row>
    <row r="724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W724" s="34"/>
    </row>
    <row r="725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W725" s="34"/>
    </row>
    <row r="726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W726" s="34"/>
    </row>
    <row r="727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W727" s="34"/>
    </row>
    <row r="728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W728" s="34"/>
    </row>
    <row r="729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W729" s="34"/>
    </row>
    <row r="730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W730" s="34"/>
    </row>
    <row r="73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W731" s="34"/>
    </row>
    <row r="732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W732" s="34"/>
    </row>
    <row r="733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W733" s="34"/>
    </row>
    <row r="734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W734" s="34"/>
    </row>
    <row r="735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W735" s="34"/>
    </row>
    <row r="736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W736" s="34"/>
    </row>
    <row r="737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W737" s="34"/>
    </row>
    <row r="738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W738" s="34"/>
    </row>
    <row r="739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W739" s="34"/>
    </row>
    <row r="740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W740" s="34"/>
    </row>
    <row r="74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W741" s="34"/>
    </row>
    <row r="742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W742" s="34"/>
    </row>
    <row r="743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W743" s="34"/>
    </row>
    <row r="744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W744" s="34"/>
    </row>
    <row r="745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W745" s="34"/>
    </row>
    <row r="746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W746" s="34"/>
    </row>
    <row r="747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W747" s="34"/>
    </row>
    <row r="748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W748" s="34"/>
    </row>
    <row r="749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W749" s="34"/>
    </row>
    <row r="750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W750" s="34"/>
    </row>
    <row r="75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W751" s="34"/>
    </row>
    <row r="752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W752" s="34"/>
    </row>
    <row r="753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W753" s="34"/>
    </row>
    <row r="754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W754" s="34"/>
    </row>
    <row r="755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W755" s="34"/>
    </row>
    <row r="756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W756" s="34"/>
    </row>
    <row r="757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W757" s="34"/>
    </row>
    <row r="758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W758" s="34"/>
    </row>
    <row r="759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W759" s="34"/>
    </row>
    <row r="760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W760" s="34"/>
    </row>
    <row r="76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W761" s="34"/>
    </row>
    <row r="762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W762" s="34"/>
    </row>
    <row r="763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W763" s="34"/>
    </row>
    <row r="764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W764" s="34"/>
    </row>
    <row r="765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W765" s="34"/>
    </row>
    <row r="766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W766" s="34"/>
    </row>
    <row r="767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W767" s="34"/>
    </row>
    <row r="768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W768" s="34"/>
    </row>
    <row r="769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W769" s="34"/>
    </row>
    <row r="770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W770" s="34"/>
    </row>
    <row r="77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W771" s="34"/>
    </row>
    <row r="772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W772" s="34"/>
    </row>
    <row r="773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W773" s="34"/>
    </row>
    <row r="774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W774" s="34"/>
    </row>
    <row r="775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W775" s="34"/>
    </row>
    <row r="776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W776" s="34"/>
    </row>
    <row r="777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W777" s="34"/>
    </row>
    <row r="778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W778" s="34"/>
    </row>
    <row r="779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W779" s="34"/>
    </row>
    <row r="780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W780" s="34"/>
    </row>
    <row r="78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W781" s="34"/>
    </row>
    <row r="782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W782" s="34"/>
    </row>
    <row r="783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W783" s="34"/>
    </row>
    <row r="784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W784" s="34"/>
    </row>
    <row r="785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W785" s="34"/>
    </row>
    <row r="786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W786" s="34"/>
    </row>
    <row r="787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W787" s="34"/>
    </row>
    <row r="788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W788" s="34"/>
    </row>
    <row r="789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W789" s="34"/>
    </row>
    <row r="790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W790" s="34"/>
    </row>
    <row r="79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W791" s="34"/>
    </row>
    <row r="792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W792" s="34"/>
    </row>
    <row r="793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W793" s="34"/>
    </row>
    <row r="794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W794" s="34"/>
    </row>
    <row r="795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W795" s="34"/>
    </row>
    <row r="796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W796" s="34"/>
    </row>
    <row r="797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W797" s="34"/>
    </row>
    <row r="798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W798" s="34"/>
    </row>
    <row r="799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W799" s="34"/>
    </row>
    <row r="800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W800" s="34"/>
    </row>
    <row r="80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W801" s="34"/>
    </row>
    <row r="802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W802" s="34"/>
    </row>
    <row r="803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W803" s="34"/>
    </row>
    <row r="804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W804" s="34"/>
    </row>
    <row r="805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W805" s="34"/>
    </row>
    <row r="806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W806" s="34"/>
    </row>
    <row r="807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W807" s="34"/>
    </row>
    <row r="808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W808" s="34"/>
    </row>
    <row r="809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W809" s="34"/>
    </row>
    <row r="810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W810" s="34"/>
    </row>
    <row r="81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W811" s="34"/>
    </row>
    <row r="812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W812" s="34"/>
    </row>
    <row r="813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W813" s="34"/>
    </row>
    <row r="814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W814" s="34"/>
    </row>
    <row r="815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W815" s="34"/>
    </row>
    <row r="816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W816" s="34"/>
    </row>
    <row r="817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W817" s="34"/>
    </row>
    <row r="818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W818" s="34"/>
    </row>
    <row r="819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W819" s="34"/>
    </row>
    <row r="820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W820" s="34"/>
    </row>
    <row r="82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W821" s="34"/>
    </row>
    <row r="822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W822" s="34"/>
    </row>
    <row r="823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W823" s="34"/>
    </row>
    <row r="824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W824" s="34"/>
    </row>
    <row r="825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W825" s="34"/>
    </row>
    <row r="826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W826" s="34"/>
    </row>
    <row r="827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W827" s="34"/>
    </row>
    <row r="828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W828" s="34"/>
    </row>
    <row r="829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W829" s="34"/>
    </row>
    <row r="830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W830" s="34"/>
    </row>
    <row r="83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W831" s="34"/>
    </row>
    <row r="832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W832" s="34"/>
    </row>
    <row r="833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W833" s="34"/>
    </row>
    <row r="834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W834" s="34"/>
    </row>
    <row r="835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W835" s="34"/>
    </row>
    <row r="836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W836" s="34"/>
    </row>
    <row r="837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W837" s="34"/>
    </row>
    <row r="838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W838" s="34"/>
    </row>
    <row r="839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W839" s="34"/>
    </row>
    <row r="840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W840" s="34"/>
    </row>
    <row r="84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W841" s="34"/>
    </row>
    <row r="842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W842" s="34"/>
    </row>
    <row r="843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W843" s="34"/>
    </row>
    <row r="844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W844" s="34"/>
    </row>
    <row r="845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W845" s="34"/>
    </row>
    <row r="846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W846" s="34"/>
    </row>
    <row r="847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W847" s="34"/>
    </row>
    <row r="848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W848" s="34"/>
    </row>
    <row r="849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W849" s="34"/>
    </row>
    <row r="850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W850" s="34"/>
    </row>
    <row r="85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W851" s="34"/>
    </row>
    <row r="852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W852" s="34"/>
    </row>
    <row r="853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W853" s="34"/>
    </row>
    <row r="854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W854" s="34"/>
    </row>
    <row r="855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W855" s="34"/>
    </row>
    <row r="856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W856" s="34"/>
    </row>
    <row r="857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W857" s="34"/>
    </row>
    <row r="858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W858" s="34"/>
    </row>
    <row r="859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W859" s="34"/>
    </row>
    <row r="860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W860" s="34"/>
    </row>
    <row r="86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W861" s="34"/>
    </row>
    <row r="862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W862" s="34"/>
    </row>
    <row r="863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W863" s="34"/>
    </row>
    <row r="864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W864" s="34"/>
    </row>
    <row r="865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W865" s="34"/>
    </row>
    <row r="866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W866" s="34"/>
    </row>
    <row r="867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W867" s="34"/>
    </row>
    <row r="868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W868" s="34"/>
    </row>
    <row r="869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W869" s="34"/>
    </row>
    <row r="870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W870" s="34"/>
    </row>
    <row r="87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W871" s="34"/>
    </row>
    <row r="872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W872" s="34"/>
    </row>
    <row r="873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W873" s="34"/>
    </row>
    <row r="874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W874" s="34"/>
    </row>
    <row r="875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W875" s="34"/>
    </row>
    <row r="876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W876" s="34"/>
    </row>
    <row r="877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W877" s="34"/>
    </row>
    <row r="878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W878" s="34"/>
    </row>
    <row r="879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W879" s="34"/>
    </row>
    <row r="880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W880" s="34"/>
    </row>
    <row r="88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W881" s="34"/>
    </row>
    <row r="882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W882" s="34"/>
    </row>
    <row r="883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W883" s="34"/>
    </row>
    <row r="884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W884" s="34"/>
    </row>
    <row r="885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W885" s="34"/>
    </row>
    <row r="886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W886" s="34"/>
    </row>
    <row r="887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W887" s="34"/>
    </row>
    <row r="888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W888" s="34"/>
    </row>
    <row r="889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W889" s="34"/>
    </row>
    <row r="890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W890" s="34"/>
    </row>
    <row r="89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W891" s="34"/>
    </row>
    <row r="892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W892" s="34"/>
    </row>
    <row r="893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W893" s="34"/>
    </row>
    <row r="894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W894" s="34"/>
    </row>
    <row r="895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W895" s="34"/>
    </row>
    <row r="896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W896" s="34"/>
    </row>
    <row r="897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W897" s="34"/>
    </row>
    <row r="898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W898" s="34"/>
    </row>
    <row r="899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W899" s="34"/>
    </row>
    <row r="900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W900" s="34"/>
    </row>
    <row r="90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W901" s="34"/>
    </row>
    <row r="902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W902" s="34"/>
    </row>
    <row r="903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W903" s="34"/>
    </row>
    <row r="904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W904" s="34"/>
    </row>
    <row r="905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W905" s="34"/>
    </row>
    <row r="906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W906" s="34"/>
    </row>
    <row r="907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W907" s="34"/>
    </row>
    <row r="908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W908" s="34"/>
    </row>
    <row r="909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W909" s="34"/>
    </row>
    <row r="910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W910" s="34"/>
    </row>
    <row r="91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W911" s="34"/>
    </row>
    <row r="912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W912" s="34"/>
    </row>
    <row r="913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W913" s="34"/>
    </row>
    <row r="914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W914" s="34"/>
    </row>
    <row r="915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W915" s="34"/>
    </row>
    <row r="916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W916" s="34"/>
    </row>
    <row r="917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W917" s="34"/>
    </row>
    <row r="918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W918" s="34"/>
    </row>
    <row r="919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W919" s="34"/>
    </row>
    <row r="920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W920" s="34"/>
    </row>
    <row r="92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W921" s="34"/>
    </row>
    <row r="922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W922" s="34"/>
    </row>
    <row r="923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W923" s="34"/>
    </row>
    <row r="924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W924" s="34"/>
    </row>
    <row r="925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W925" s="34"/>
    </row>
    <row r="926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W926" s="34"/>
    </row>
    <row r="927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W927" s="34"/>
    </row>
    <row r="928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W928" s="34"/>
    </row>
    <row r="929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W929" s="34"/>
    </row>
    <row r="930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W930" s="34"/>
    </row>
    <row r="93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W931" s="34"/>
    </row>
    <row r="932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W932" s="34"/>
    </row>
    <row r="933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W933" s="34"/>
    </row>
    <row r="934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W934" s="34"/>
    </row>
    <row r="935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W935" s="34"/>
    </row>
    <row r="936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W936" s="34"/>
    </row>
    <row r="937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W937" s="34"/>
    </row>
    <row r="938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W938" s="34"/>
    </row>
    <row r="939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W939" s="34"/>
    </row>
    <row r="940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W940" s="34"/>
    </row>
    <row r="94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W941" s="34"/>
    </row>
    <row r="942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W942" s="34"/>
    </row>
    <row r="943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W943" s="34"/>
    </row>
    <row r="944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W944" s="34"/>
    </row>
    <row r="945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W945" s="34"/>
    </row>
    <row r="946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W946" s="34"/>
    </row>
    <row r="947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W947" s="34"/>
    </row>
    <row r="948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W948" s="34"/>
    </row>
    <row r="949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W949" s="34"/>
    </row>
    <row r="950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W950" s="34"/>
    </row>
    <row r="95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W951" s="34"/>
    </row>
    <row r="952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W952" s="34"/>
    </row>
    <row r="953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W953" s="34"/>
    </row>
    <row r="954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W954" s="34"/>
    </row>
    <row r="955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W955" s="34"/>
    </row>
    <row r="956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W956" s="34"/>
    </row>
    <row r="957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W957" s="34"/>
    </row>
    <row r="958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W958" s="34"/>
    </row>
    <row r="959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W959" s="34"/>
    </row>
    <row r="960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W960" s="34"/>
    </row>
    <row r="96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W961" s="34"/>
    </row>
    <row r="962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W962" s="34"/>
    </row>
    <row r="963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W963" s="34"/>
    </row>
    <row r="964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W964" s="34"/>
    </row>
    <row r="965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W965" s="34"/>
    </row>
    <row r="966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W966" s="34"/>
    </row>
    <row r="967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W967" s="34"/>
    </row>
    <row r="968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W968" s="34"/>
    </row>
    <row r="969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W969" s="34"/>
    </row>
    <row r="970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W970" s="34"/>
    </row>
    <row r="97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W971" s="34"/>
    </row>
    <row r="972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W972" s="34"/>
    </row>
    <row r="973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W973" s="34"/>
    </row>
    <row r="974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W974" s="34"/>
    </row>
    <row r="975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W975" s="34"/>
    </row>
    <row r="976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W976" s="34"/>
    </row>
    <row r="977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W977" s="34"/>
    </row>
    <row r="978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W978" s="34"/>
    </row>
    <row r="979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W979" s="34"/>
    </row>
    <row r="980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W980" s="34"/>
    </row>
    <row r="98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W981" s="34"/>
    </row>
    <row r="982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W982" s="34"/>
    </row>
    <row r="983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W983" s="34"/>
    </row>
    <row r="984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W984" s="34"/>
    </row>
    <row r="985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W985" s="34"/>
    </row>
    <row r="986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W986" s="34"/>
    </row>
    <row r="987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W987" s="34"/>
    </row>
    <row r="988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W988" s="34"/>
    </row>
    <row r="989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W989" s="34"/>
    </row>
    <row r="990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W990" s="34"/>
    </row>
    <row r="99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W991" s="34"/>
    </row>
    <row r="992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W992" s="34"/>
    </row>
    <row r="993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W993" s="34"/>
    </row>
    <row r="994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W994" s="34"/>
    </row>
    <row r="995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W995" s="34"/>
    </row>
    <row r="996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W996" s="34"/>
    </row>
    <row r="997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W997" s="34"/>
    </row>
    <row r="998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W998" s="34"/>
    </row>
    <row r="999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W999" s="3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9.13"/>
    <col customWidth="1" min="3" max="3" width="22.75"/>
    <col customWidth="1" min="4" max="4" width="42.38"/>
  </cols>
  <sheetData>
    <row r="1">
      <c r="A1" s="35" t="s">
        <v>2</v>
      </c>
      <c r="B1" s="35" t="s">
        <v>37</v>
      </c>
      <c r="C1" s="35" t="s">
        <v>38</v>
      </c>
      <c r="D1" s="35" t="s">
        <v>4</v>
      </c>
    </row>
    <row r="2">
      <c r="A2" s="36" t="s">
        <v>39</v>
      </c>
      <c r="B2" s="36" t="s">
        <v>40</v>
      </c>
      <c r="C2" s="36" t="s">
        <v>41</v>
      </c>
      <c r="D2" s="36" t="s">
        <v>42</v>
      </c>
    </row>
    <row r="3">
      <c r="A3" s="36" t="s">
        <v>43</v>
      </c>
      <c r="B3" s="36" t="s">
        <v>44</v>
      </c>
      <c r="C3" s="36" t="s">
        <v>45</v>
      </c>
      <c r="D3" s="36" t="s">
        <v>16</v>
      </c>
    </row>
    <row r="4">
      <c r="A4" s="36" t="s">
        <v>46</v>
      </c>
      <c r="B4" s="36" t="s">
        <v>47</v>
      </c>
      <c r="C4" s="36" t="s">
        <v>48</v>
      </c>
      <c r="D4" s="36" t="s">
        <v>49</v>
      </c>
    </row>
    <row r="5">
      <c r="A5" s="36" t="s">
        <v>50</v>
      </c>
      <c r="B5" s="36" t="s">
        <v>51</v>
      </c>
      <c r="C5" s="36" t="s">
        <v>52</v>
      </c>
      <c r="D5" s="36" t="s">
        <v>53</v>
      </c>
    </row>
    <row r="6">
      <c r="A6" s="36" t="s">
        <v>54</v>
      </c>
      <c r="B6" s="36" t="s">
        <v>55</v>
      </c>
      <c r="C6" s="36" t="s">
        <v>56</v>
      </c>
      <c r="D6" s="36" t="s">
        <v>57</v>
      </c>
    </row>
    <row r="7">
      <c r="A7" s="36" t="s">
        <v>58</v>
      </c>
      <c r="B7" s="36" t="s">
        <v>59</v>
      </c>
      <c r="C7" s="36" t="s">
        <v>60</v>
      </c>
      <c r="D7" s="36" t="s">
        <v>61</v>
      </c>
    </row>
    <row r="8">
      <c r="A8" s="36" t="s">
        <v>62</v>
      </c>
      <c r="B8" s="36" t="s">
        <v>63</v>
      </c>
      <c r="C8" s="36" t="s">
        <v>64</v>
      </c>
      <c r="D8" s="36" t="s">
        <v>65</v>
      </c>
    </row>
    <row r="9">
      <c r="A9" s="36" t="s">
        <v>66</v>
      </c>
      <c r="B9" s="36" t="s">
        <v>67</v>
      </c>
      <c r="C9" s="36" t="s">
        <v>68</v>
      </c>
      <c r="D9" s="36" t="s">
        <v>69</v>
      </c>
    </row>
    <row r="10">
      <c r="A10" s="36" t="s">
        <v>70</v>
      </c>
      <c r="B10" s="36" t="s">
        <v>71</v>
      </c>
      <c r="C10" s="36" t="s">
        <v>72</v>
      </c>
      <c r="D10" s="36" t="s">
        <v>73</v>
      </c>
    </row>
    <row r="11">
      <c r="A11" s="37" t="s">
        <v>14</v>
      </c>
      <c r="B11" s="37" t="s">
        <v>15</v>
      </c>
      <c r="C11" s="37" t="s">
        <v>74</v>
      </c>
      <c r="D11" s="37" t="s">
        <v>75</v>
      </c>
    </row>
    <row r="12">
      <c r="A12" s="38" t="s">
        <v>76</v>
      </c>
      <c r="B12" s="38" t="s">
        <v>77</v>
      </c>
      <c r="C12" s="36" t="s">
        <v>78</v>
      </c>
      <c r="D12" s="36" t="s">
        <v>79</v>
      </c>
    </row>
    <row r="13">
      <c r="A13" s="38" t="s">
        <v>80</v>
      </c>
      <c r="B13" s="38" t="s">
        <v>81</v>
      </c>
      <c r="C13" s="36" t="s">
        <v>82</v>
      </c>
      <c r="D13" s="36" t="s">
        <v>83</v>
      </c>
    </row>
    <row r="14">
      <c r="A14" s="36" t="s">
        <v>84</v>
      </c>
      <c r="B14" s="36" t="s">
        <v>85</v>
      </c>
      <c r="C14" s="39"/>
      <c r="D14" s="36" t="s">
        <v>86</v>
      </c>
    </row>
    <row r="15">
      <c r="A15" s="36" t="s">
        <v>87</v>
      </c>
      <c r="B15" s="36" t="s">
        <v>88</v>
      </c>
      <c r="C15" s="39"/>
      <c r="D15" s="36" t="s">
        <v>89</v>
      </c>
    </row>
    <row r="16">
      <c r="A16" s="3" t="s">
        <v>90</v>
      </c>
      <c r="B16" s="5" t="s">
        <v>91</v>
      </c>
      <c r="C16" s="39"/>
      <c r="D16" s="36" t="s">
        <v>92</v>
      </c>
    </row>
    <row r="17">
      <c r="A17" s="39"/>
      <c r="B17" s="39"/>
      <c r="C17" s="39"/>
      <c r="D17" s="36" t="s">
        <v>93</v>
      </c>
    </row>
    <row r="18">
      <c r="A18" s="39"/>
      <c r="B18" s="39"/>
      <c r="C18" s="39"/>
      <c r="D18" s="36" t="s">
        <v>94</v>
      </c>
    </row>
    <row r="19">
      <c r="A19" s="39"/>
      <c r="B19" s="39"/>
      <c r="C19" s="39"/>
      <c r="D19" s="36" t="s">
        <v>95</v>
      </c>
    </row>
    <row r="20">
      <c r="A20" s="39"/>
      <c r="B20" s="39"/>
      <c r="C20" s="39"/>
      <c r="D20" s="36" t="s">
        <v>96</v>
      </c>
    </row>
    <row r="21">
      <c r="A21" s="39"/>
      <c r="B21" s="39"/>
      <c r="C21" s="39"/>
      <c r="D21" s="36" t="s">
        <v>97</v>
      </c>
    </row>
    <row r="22">
      <c r="A22" s="39"/>
      <c r="B22" s="39"/>
      <c r="C22" s="39"/>
      <c r="D22" s="36" t="s">
        <v>98</v>
      </c>
    </row>
    <row r="23">
      <c r="A23" s="39"/>
      <c r="B23" s="39"/>
      <c r="C23" s="39"/>
      <c r="D23" s="36" t="s">
        <v>99</v>
      </c>
    </row>
    <row r="24">
      <c r="A24" s="39"/>
      <c r="B24" s="39"/>
      <c r="C24" s="39"/>
      <c r="D24" s="36" t="s">
        <v>100</v>
      </c>
    </row>
    <row r="25">
      <c r="A25" s="39"/>
      <c r="B25" s="39"/>
      <c r="C25" s="39"/>
      <c r="D25" s="36" t="s">
        <v>101</v>
      </c>
    </row>
    <row r="26">
      <c r="A26" s="39"/>
      <c r="B26" s="39"/>
      <c r="C26" s="39"/>
      <c r="D26" s="36" t="s">
        <v>102</v>
      </c>
    </row>
    <row r="27">
      <c r="A27" s="39"/>
      <c r="B27" s="39"/>
      <c r="C27" s="39"/>
      <c r="D27" s="36" t="s">
        <v>103</v>
      </c>
    </row>
    <row r="28">
      <c r="A28" s="39"/>
      <c r="B28" s="39"/>
      <c r="C28" s="39"/>
      <c r="D28" s="36" t="s">
        <v>104</v>
      </c>
    </row>
    <row r="29">
      <c r="A29" s="39"/>
      <c r="B29" s="39"/>
      <c r="C29" s="39"/>
      <c r="D29" s="36" t="s">
        <v>105</v>
      </c>
    </row>
    <row r="30">
      <c r="A30" s="39"/>
      <c r="B30" s="39"/>
      <c r="C30" s="39"/>
      <c r="D30" s="36" t="s">
        <v>106</v>
      </c>
    </row>
    <row r="31">
      <c r="A31" s="39"/>
      <c r="B31" s="39"/>
      <c r="C31" s="39"/>
      <c r="D31" s="36" t="s">
        <v>107</v>
      </c>
    </row>
    <row r="32">
      <c r="A32" s="39"/>
      <c r="B32" s="39"/>
      <c r="C32" s="39"/>
      <c r="D32" s="36" t="s">
        <v>108</v>
      </c>
    </row>
    <row r="33">
      <c r="A33" s="39"/>
      <c r="B33" s="39"/>
      <c r="C33" s="39"/>
      <c r="D33" s="36" t="s">
        <v>109</v>
      </c>
    </row>
    <row r="34">
      <c r="A34" s="39"/>
      <c r="B34" s="39"/>
      <c r="C34" s="39"/>
      <c r="D34" s="5" t="s">
        <v>110</v>
      </c>
    </row>
    <row r="35">
      <c r="A35" s="39"/>
      <c r="B35" s="39"/>
      <c r="C35" s="39"/>
      <c r="D35" s="5" t="s">
        <v>111</v>
      </c>
    </row>
    <row r="36">
      <c r="A36" s="39"/>
      <c r="B36" s="39"/>
      <c r="C36" s="39"/>
      <c r="D36" s="39" t="s">
        <v>112</v>
      </c>
    </row>
    <row r="37">
      <c r="A37" s="39"/>
      <c r="B37" s="39"/>
      <c r="C37" s="39"/>
      <c r="D37" s="39" t="s">
        <v>113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3.0"/>
    <col customWidth="1" min="4" max="4" width="39.38"/>
  </cols>
  <sheetData>
    <row r="1">
      <c r="A1" s="40" t="s">
        <v>114</v>
      </c>
      <c r="C1" s="40" t="s">
        <v>115</v>
      </c>
      <c r="D1" s="40" t="s">
        <v>116</v>
      </c>
      <c r="E1" s="40" t="s">
        <v>117</v>
      </c>
      <c r="F1" s="40" t="s">
        <v>27</v>
      </c>
      <c r="G1" s="40" t="s">
        <v>118</v>
      </c>
      <c r="H1" s="40" t="s">
        <v>119</v>
      </c>
      <c r="I1" s="40"/>
    </row>
    <row r="2">
      <c r="A2" s="40" t="s">
        <v>120</v>
      </c>
      <c r="C2" s="41" t="s">
        <v>121</v>
      </c>
      <c r="D2" s="42" t="s">
        <v>122</v>
      </c>
      <c r="E2" s="41" t="s">
        <v>123</v>
      </c>
      <c r="F2" s="41" t="str">
        <f t="shared" ref="F2:F5" si="1">CONCATENATE(C2,E2,G2)</f>
        <v>indoreace4</v>
      </c>
      <c r="G2" s="41">
        <v>4.0</v>
      </c>
      <c r="H2" s="41">
        <v>25000.0</v>
      </c>
    </row>
    <row r="3">
      <c r="A3" s="41" t="s">
        <v>124</v>
      </c>
      <c r="C3" s="41" t="s">
        <v>121</v>
      </c>
      <c r="D3" s="42" t="s">
        <v>125</v>
      </c>
      <c r="E3" s="41" t="s">
        <v>123</v>
      </c>
      <c r="F3" s="41" t="str">
        <f t="shared" si="1"/>
        <v>indoreace6</v>
      </c>
      <c r="G3" s="41">
        <v>6.0</v>
      </c>
      <c r="H3" s="41">
        <v>34000.0</v>
      </c>
    </row>
    <row r="4">
      <c r="A4" s="41" t="s">
        <v>126</v>
      </c>
      <c r="C4" s="41" t="s">
        <v>121</v>
      </c>
      <c r="D4" s="42" t="s">
        <v>127</v>
      </c>
      <c r="E4" s="41" t="s">
        <v>128</v>
      </c>
      <c r="F4" s="41" t="str">
        <f t="shared" si="1"/>
        <v>indorebolero4</v>
      </c>
      <c r="G4" s="41">
        <v>4.0</v>
      </c>
      <c r="H4" s="41">
        <v>27000.0</v>
      </c>
    </row>
    <row r="5">
      <c r="A5" s="41" t="s">
        <v>129</v>
      </c>
      <c r="C5" s="41" t="s">
        <v>121</v>
      </c>
      <c r="D5" s="42" t="s">
        <v>130</v>
      </c>
      <c r="E5" s="41" t="s">
        <v>128</v>
      </c>
      <c r="F5" s="41" t="str">
        <f t="shared" si="1"/>
        <v>indorebolero6</v>
      </c>
      <c r="G5" s="41">
        <v>6.0</v>
      </c>
      <c r="H5" s="41">
        <v>37500.0</v>
      </c>
    </row>
    <row r="6">
      <c r="A6" s="41" t="s">
        <v>131</v>
      </c>
      <c r="D6" s="42"/>
    </row>
    <row r="7">
      <c r="A7" s="41" t="s">
        <v>132</v>
      </c>
      <c r="D7" s="42"/>
    </row>
    <row r="8">
      <c r="A8" s="41" t="s">
        <v>133</v>
      </c>
      <c r="D8" s="42"/>
    </row>
    <row r="9">
      <c r="A9" s="40" t="s">
        <v>134</v>
      </c>
      <c r="D9" s="42"/>
    </row>
    <row r="10">
      <c r="A10" s="40" t="s">
        <v>135</v>
      </c>
    </row>
    <row r="11">
      <c r="A11" s="41" t="s">
        <v>136</v>
      </c>
    </row>
    <row r="12">
      <c r="A12" s="41" t="s">
        <v>137</v>
      </c>
    </row>
    <row r="13">
      <c r="A13" s="41" t="s">
        <v>138</v>
      </c>
    </row>
    <row r="14">
      <c r="A14" s="41" t="s">
        <v>139</v>
      </c>
    </row>
    <row r="15">
      <c r="A15" s="41" t="s">
        <v>140</v>
      </c>
    </row>
    <row r="16">
      <c r="A16" s="41" t="s">
        <v>141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5"/>
  </cols>
  <sheetData>
    <row r="1">
      <c r="A1" s="40" t="s">
        <v>142</v>
      </c>
      <c r="B1" s="40" t="s">
        <v>119</v>
      </c>
    </row>
    <row r="2">
      <c r="A2" s="41" t="s">
        <v>136</v>
      </c>
      <c r="B2" s="41">
        <v>8.0</v>
      </c>
    </row>
    <row r="3">
      <c r="A3" s="41" t="s">
        <v>137</v>
      </c>
      <c r="B3" s="41">
        <v>10.0</v>
      </c>
    </row>
    <row r="4">
      <c r="A4" s="41" t="s">
        <v>138</v>
      </c>
      <c r="B4" s="41">
        <v>12.0</v>
      </c>
    </row>
    <row r="5">
      <c r="A5" s="41" t="s">
        <v>139</v>
      </c>
      <c r="B5" s="41">
        <v>14.0</v>
      </c>
    </row>
    <row r="6">
      <c r="A6" s="41" t="s">
        <v>140</v>
      </c>
      <c r="B6" s="41">
        <v>16.0</v>
      </c>
    </row>
    <row r="7">
      <c r="A7" s="41" t="s">
        <v>141</v>
      </c>
      <c r="B7" s="41">
        <v>18.0</v>
      </c>
    </row>
  </sheetData>
  <drawing r:id="rId1"/>
</worksheet>
</file>