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EDUCATION\02-Nicolaus Copernicus University\02-Year\02-Summer Semester\FAMA\FA\New folder\"/>
    </mc:Choice>
  </mc:AlternateContent>
  <xr:revisionPtr revIDLastSave="0" documentId="13_ncr:1_{8D87994E-7139-472C-AEBA-7346D4056921}" xr6:coauthVersionLast="47" xr6:coauthVersionMax="47" xr10:uidLastSave="{00000000-0000-0000-0000-000000000000}"/>
  <bookViews>
    <workbookView xWindow="-108" yWindow="-108" windowWidth="23256" windowHeight="12456" xr2:uid="{00000000-000D-0000-FFFF-FFFF00000000}"/>
  </bookViews>
  <sheets>
    <sheet name="Balance sheet" sheetId="1" r:id="rId1"/>
    <sheet name="Income stat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 i="1" l="1"/>
  <c r="J5" i="2"/>
  <c r="K5" i="2"/>
  <c r="O5" i="2"/>
  <c r="I37" i="1"/>
  <c r="N5" i="2"/>
  <c r="N6" i="2"/>
  <c r="O6" i="2"/>
  <c r="N7" i="2"/>
  <c r="O7" i="2"/>
  <c r="N8" i="2"/>
  <c r="O8" i="2"/>
  <c r="N9" i="2"/>
  <c r="O9" i="2"/>
  <c r="N10" i="2"/>
  <c r="O10" i="2"/>
  <c r="N11" i="2"/>
  <c r="O11" i="2"/>
  <c r="N12" i="2"/>
  <c r="O12" i="2"/>
  <c r="N13" i="2"/>
  <c r="O13" i="2"/>
  <c r="N14" i="2"/>
  <c r="O14" i="2"/>
  <c r="N15" i="2"/>
  <c r="O15" i="2"/>
  <c r="N16" i="2"/>
  <c r="O16" i="2"/>
  <c r="O4" i="2"/>
  <c r="N4" i="2"/>
  <c r="O46" i="1"/>
  <c r="N46" i="1"/>
  <c r="O45" i="1"/>
  <c r="N45" i="1"/>
  <c r="O44" i="1"/>
  <c r="N44" i="1"/>
  <c r="O42" i="1"/>
  <c r="N42" i="1"/>
  <c r="O41" i="1"/>
  <c r="N41" i="1"/>
  <c r="O40" i="1"/>
  <c r="N40" i="1"/>
  <c r="O39" i="1"/>
  <c r="N39" i="1"/>
  <c r="O38" i="1"/>
  <c r="N38" i="1"/>
  <c r="N37" i="1"/>
  <c r="O34" i="1"/>
  <c r="N34" i="1"/>
  <c r="O33" i="1"/>
  <c r="N33" i="1"/>
  <c r="O20" i="1"/>
  <c r="N20" i="1"/>
  <c r="O19" i="1"/>
  <c r="N19" i="1"/>
  <c r="O18" i="1"/>
  <c r="N18" i="1"/>
  <c r="O17" i="1"/>
  <c r="N17" i="1"/>
  <c r="N10" i="1"/>
  <c r="O10" i="1"/>
  <c r="N6" i="1"/>
  <c r="O6" i="1"/>
  <c r="N7" i="1"/>
  <c r="O7" i="1"/>
  <c r="N8" i="1"/>
  <c r="O8" i="1"/>
  <c r="N9" i="1"/>
  <c r="O9" i="1"/>
  <c r="O5" i="1"/>
  <c r="N5" i="1"/>
  <c r="I5" i="2"/>
  <c r="I6" i="2"/>
  <c r="J6" i="2"/>
  <c r="K6" i="2"/>
  <c r="I7" i="2"/>
  <c r="J7" i="2"/>
  <c r="K7" i="2"/>
  <c r="I8" i="2"/>
  <c r="J8" i="2"/>
  <c r="K8" i="2"/>
  <c r="I9" i="2"/>
  <c r="J9" i="2"/>
  <c r="K9" i="2"/>
  <c r="I10" i="2"/>
  <c r="J10" i="2"/>
  <c r="K10" i="2"/>
  <c r="I11" i="2"/>
  <c r="J11" i="2"/>
  <c r="K11" i="2"/>
  <c r="I12" i="2"/>
  <c r="J12" i="2"/>
  <c r="K12" i="2"/>
  <c r="I13" i="2"/>
  <c r="J13" i="2"/>
  <c r="K13" i="2"/>
  <c r="I14" i="2"/>
  <c r="J14" i="2"/>
  <c r="K14" i="2"/>
  <c r="I15" i="2"/>
  <c r="J15" i="2"/>
  <c r="K15" i="2"/>
  <c r="I16" i="2"/>
  <c r="J16" i="2"/>
  <c r="K16" i="2"/>
  <c r="J4" i="2"/>
  <c r="K4" i="2"/>
  <c r="I4" i="2"/>
  <c r="O2" i="2"/>
  <c r="N2" i="2"/>
  <c r="G4" i="2"/>
  <c r="G43" i="2" s="1"/>
  <c r="H4" i="2"/>
  <c r="H34" i="2" s="1"/>
  <c r="G5" i="2"/>
  <c r="G24" i="2" s="1"/>
  <c r="G37" i="2" s="1"/>
  <c r="H5" i="2"/>
  <c r="H40" i="2" s="1"/>
  <c r="G7" i="2"/>
  <c r="H7" i="2"/>
  <c r="G8" i="2"/>
  <c r="H8" i="2"/>
  <c r="G9" i="2"/>
  <c r="H9" i="2"/>
  <c r="G10" i="2"/>
  <c r="H10" i="2"/>
  <c r="G12" i="2"/>
  <c r="H12" i="2"/>
  <c r="G13" i="2"/>
  <c r="H13" i="2"/>
  <c r="G15" i="2"/>
  <c r="H15" i="2"/>
  <c r="G18" i="2"/>
  <c r="H18" i="2"/>
  <c r="G19" i="2"/>
  <c r="E2" i="2"/>
  <c r="J2" i="2" s="1"/>
  <c r="F2" i="2"/>
  <c r="K2" i="2" s="1"/>
  <c r="D2" i="2"/>
  <c r="I2" i="2" s="1"/>
  <c r="N1" i="1"/>
  <c r="I1" i="1"/>
  <c r="O31" i="1"/>
  <c r="N31" i="1"/>
  <c r="L2" i="1"/>
  <c r="L31" i="1" s="1"/>
  <c r="G31" i="1"/>
  <c r="E31" i="1"/>
  <c r="F31" i="1"/>
  <c r="D31" i="1"/>
  <c r="F4" i="1"/>
  <c r="F16" i="1"/>
  <c r="F32" i="1"/>
  <c r="F43" i="1"/>
  <c r="F37" i="1"/>
  <c r="K2" i="1"/>
  <c r="K31" i="1" s="1"/>
  <c r="J2" i="1"/>
  <c r="J31" i="1" s="1"/>
  <c r="I2" i="1"/>
  <c r="I31" i="1" s="1"/>
  <c r="D4" i="1"/>
  <c r="E16" i="1"/>
  <c r="N16" i="1" s="1"/>
  <c r="D16" i="1"/>
  <c r="D32" i="1"/>
  <c r="G32" i="1"/>
  <c r="E37" i="1"/>
  <c r="D37" i="1"/>
  <c r="E32" i="1"/>
  <c r="P11" i="1"/>
  <c r="Q11" i="1"/>
  <c r="P12" i="1"/>
  <c r="O16" i="1" l="1"/>
  <c r="N32" i="1"/>
  <c r="O32" i="1"/>
  <c r="F36" i="1"/>
  <c r="O37" i="1"/>
  <c r="G44" i="2"/>
  <c r="H43" i="2"/>
  <c r="G40" i="2"/>
  <c r="G6" i="2"/>
  <c r="G11" i="2" s="1"/>
  <c r="H45" i="2"/>
  <c r="H41" i="2"/>
  <c r="H35" i="2"/>
  <c r="H24" i="2"/>
  <c r="H37" i="2" s="1"/>
  <c r="G42" i="2"/>
  <c r="G45" i="2"/>
  <c r="G41" i="2"/>
  <c r="H6" i="2"/>
  <c r="H42" i="2"/>
  <c r="H44" i="2"/>
  <c r="F27" i="1"/>
  <c r="Q12" i="1"/>
  <c r="K5" i="1" l="1"/>
  <c r="K11" i="1"/>
  <c r="K17" i="1"/>
  <c r="K23" i="1"/>
  <c r="K24" i="1"/>
  <c r="K7" i="1"/>
  <c r="K13" i="1"/>
  <c r="K19" i="1"/>
  <c r="K25" i="1"/>
  <c r="K8" i="1"/>
  <c r="K14" i="1"/>
  <c r="K20" i="1"/>
  <c r="K26" i="1"/>
  <c r="K9" i="1"/>
  <c r="K15" i="1"/>
  <c r="K21" i="1"/>
  <c r="K27" i="1"/>
  <c r="K12" i="1"/>
  <c r="K10" i="1"/>
  <c r="K22" i="1"/>
  <c r="K18" i="1"/>
  <c r="K6" i="1"/>
  <c r="K16" i="1"/>
  <c r="K4" i="1"/>
  <c r="G50" i="2"/>
  <c r="H50" i="2"/>
  <c r="H11" i="2"/>
  <c r="G14" i="2"/>
  <c r="G16" i="2" s="1"/>
  <c r="G49" i="2"/>
  <c r="P13" i="2"/>
  <c r="P12" i="2"/>
  <c r="P10" i="2"/>
  <c r="P8" i="2"/>
  <c r="H23" i="1"/>
  <c r="H22" i="1"/>
  <c r="H21" i="1"/>
  <c r="Q20" i="1"/>
  <c r="H14" i="2" l="1"/>
  <c r="H16" i="2" s="1"/>
  <c r="H49" i="2"/>
  <c r="G51" i="2"/>
  <c r="G57" i="2"/>
  <c r="G59" i="2" s="1"/>
  <c r="G58" i="2" s="1"/>
  <c r="G53" i="2"/>
  <c r="G56" i="2"/>
  <c r="Q44" i="1"/>
  <c r="Q48" i="1"/>
  <c r="Q10" i="1"/>
  <c r="Q18" i="1"/>
  <c r="Q22" i="1"/>
  <c r="Q32" i="1"/>
  <c r="Q5" i="1"/>
  <c r="Q38" i="1"/>
  <c r="Q40" i="1"/>
  <c r="Q23" i="1"/>
  <c r="G55" i="1"/>
  <c r="Q8" i="1"/>
  <c r="Q46" i="1"/>
  <c r="Q7" i="1"/>
  <c r="Q33" i="1"/>
  <c r="Q37" i="1"/>
  <c r="Q41" i="1"/>
  <c r="Q45" i="1"/>
  <c r="Q19" i="1"/>
  <c r="Q34" i="1"/>
  <c r="G74" i="1"/>
  <c r="Q42" i="1"/>
  <c r="G43" i="1"/>
  <c r="G68" i="1" s="1"/>
  <c r="Q35" i="1"/>
  <c r="Q39" i="1"/>
  <c r="Q47" i="1"/>
  <c r="Q17" i="1"/>
  <c r="Q21" i="1"/>
  <c r="Q6" i="1"/>
  <c r="L19" i="2"/>
  <c r="Q4" i="2"/>
  <c r="P5" i="2"/>
  <c r="Q13" i="2"/>
  <c r="Q5" i="2"/>
  <c r="P15" i="2"/>
  <c r="P9" i="2"/>
  <c r="Q8" i="2"/>
  <c r="P4" i="2"/>
  <c r="Q12" i="2"/>
  <c r="Q7" i="2"/>
  <c r="Q9" i="2"/>
  <c r="P7" i="2"/>
  <c r="Q15" i="2"/>
  <c r="Q10" i="2"/>
  <c r="L18" i="2"/>
  <c r="M18" i="2"/>
  <c r="M19" i="2"/>
  <c r="G34" i="2"/>
  <c r="G16" i="1"/>
  <c r="G35" i="2" s="1"/>
  <c r="H68" i="1"/>
  <c r="H56" i="2" l="1"/>
  <c r="H53" i="2"/>
  <c r="H51" i="2"/>
  <c r="H57" i="2"/>
  <c r="H59" i="2" s="1"/>
  <c r="H58" i="2" s="1"/>
  <c r="Q4" i="1"/>
  <c r="G36" i="1"/>
  <c r="G51" i="1" s="1"/>
  <c r="H55" i="1"/>
  <c r="H58" i="1" s="1"/>
  <c r="H74" i="1"/>
  <c r="Q43" i="1"/>
  <c r="G57" i="1"/>
  <c r="G70" i="1"/>
  <c r="G69" i="1"/>
  <c r="H70" i="1"/>
  <c r="H69" i="1"/>
  <c r="Q16" i="1"/>
  <c r="Q6" i="2"/>
  <c r="G79" i="1"/>
  <c r="G58" i="1"/>
  <c r="H27" i="1"/>
  <c r="H32" i="2" s="1"/>
  <c r="H57" i="1"/>
  <c r="G27" i="1"/>
  <c r="H33" i="2" l="1"/>
  <c r="G32" i="2"/>
  <c r="G33" i="2"/>
  <c r="G36" i="2"/>
  <c r="G48" i="2"/>
  <c r="G52" i="2"/>
  <c r="G75" i="1"/>
  <c r="G76" i="1"/>
  <c r="H51" i="1"/>
  <c r="H73" i="1"/>
  <c r="H75" i="1"/>
  <c r="Q36" i="1"/>
  <c r="Q27" i="1"/>
  <c r="G73" i="1"/>
  <c r="G78" i="1"/>
  <c r="H79" i="1"/>
  <c r="H78" i="1"/>
  <c r="Q11" i="2"/>
  <c r="C37" i="2"/>
  <c r="H36" i="2" l="1"/>
  <c r="H48" i="2"/>
  <c r="H52" i="2"/>
  <c r="Q51" i="1"/>
  <c r="H76" i="1"/>
  <c r="Q14" i="2"/>
  <c r="E75" i="2"/>
  <c r="E24" i="2"/>
  <c r="E37" i="2" s="1"/>
  <c r="F24" i="2"/>
  <c r="F37" i="2" s="1"/>
  <c r="D24" i="2"/>
  <c r="D37" i="2" s="1"/>
  <c r="O18" i="2"/>
  <c r="N18" i="2"/>
  <c r="N19" i="2"/>
  <c r="K18" i="2"/>
  <c r="K19" i="2"/>
  <c r="J18" i="2"/>
  <c r="J19" i="2"/>
  <c r="I18" i="2"/>
  <c r="I19" i="2"/>
  <c r="F6" i="2"/>
  <c r="E6" i="2"/>
  <c r="E11" i="2" s="1"/>
  <c r="E14" i="2" s="1"/>
  <c r="E16" i="2" s="1"/>
  <c r="E57" i="2" s="1"/>
  <c r="E59" i="2" s="1"/>
  <c r="E58" i="2" s="1"/>
  <c r="D6" i="2"/>
  <c r="D11" i="2" s="1"/>
  <c r="F45" i="2" l="1"/>
  <c r="P33" i="1"/>
  <c r="P37" i="1"/>
  <c r="P40" i="1"/>
  <c r="P42" i="1"/>
  <c r="P46" i="1"/>
  <c r="P34" i="1"/>
  <c r="P47" i="1"/>
  <c r="P39" i="1"/>
  <c r="P48" i="1"/>
  <c r="P44" i="1"/>
  <c r="P38" i="1"/>
  <c r="P41" i="1"/>
  <c r="P35" i="1"/>
  <c r="F44" i="2"/>
  <c r="P45" i="1"/>
  <c r="F11" i="2"/>
  <c r="P6" i="2"/>
  <c r="Q16" i="2"/>
  <c r="M44" i="2"/>
  <c r="I44" i="2"/>
  <c r="D44" i="2"/>
  <c r="E45" i="2"/>
  <c r="E44" i="2"/>
  <c r="J44" i="2"/>
  <c r="E78" i="1"/>
  <c r="E79" i="1"/>
  <c r="D14" i="2"/>
  <c r="D16" i="2" s="1"/>
  <c r="D78" i="1"/>
  <c r="D79" i="1"/>
  <c r="E56" i="2"/>
  <c r="E49" i="2"/>
  <c r="D50" i="2"/>
  <c r="D49" i="2"/>
  <c r="F50" i="2"/>
  <c r="E51" i="2"/>
  <c r="E81" i="2"/>
  <c r="E50" i="2"/>
  <c r="E43" i="1"/>
  <c r="D43" i="1"/>
  <c r="E74" i="1"/>
  <c r="D74" i="1"/>
  <c r="D40" i="2"/>
  <c r="D36" i="1" l="1"/>
  <c r="N43" i="1"/>
  <c r="O43" i="1"/>
  <c r="F49" i="2"/>
  <c r="F14" i="2"/>
  <c r="P7" i="1"/>
  <c r="P5" i="1"/>
  <c r="F40" i="2"/>
  <c r="P17" i="1"/>
  <c r="F43" i="2"/>
  <c r="F42" i="2"/>
  <c r="P19" i="1"/>
  <c r="P8" i="1"/>
  <c r="P22" i="1"/>
  <c r="P18" i="1"/>
  <c r="P43" i="1"/>
  <c r="P10" i="1"/>
  <c r="P20" i="1"/>
  <c r="P6" i="1"/>
  <c r="P9" i="1"/>
  <c r="F68" i="1"/>
  <c r="P23" i="1"/>
  <c r="F74" i="1"/>
  <c r="P32" i="1"/>
  <c r="P21" i="1"/>
  <c r="E40" i="2"/>
  <c r="F41" i="2"/>
  <c r="F78" i="1"/>
  <c r="D51" i="2"/>
  <c r="P11" i="2"/>
  <c r="E73" i="2"/>
  <c r="F79" i="1"/>
  <c r="I40" i="2"/>
  <c r="E41" i="2"/>
  <c r="D68" i="1"/>
  <c r="M40" i="2"/>
  <c r="E42" i="2"/>
  <c r="E53" i="2"/>
  <c r="J40" i="2"/>
  <c r="D42" i="2"/>
  <c r="E43" i="2"/>
  <c r="D53" i="2"/>
  <c r="D75" i="1"/>
  <c r="F55" i="1"/>
  <c r="D55" i="1"/>
  <c r="D51" i="1"/>
  <c r="E55" i="1"/>
  <c r="E68" i="1"/>
  <c r="E36" i="1"/>
  <c r="E35" i="2"/>
  <c r="D35" i="2"/>
  <c r="E4" i="1"/>
  <c r="I48" i="1" l="1"/>
  <c r="I44" i="1"/>
  <c r="I40" i="1"/>
  <c r="I51" i="1"/>
  <c r="I47" i="1"/>
  <c r="I39" i="1"/>
  <c r="I34" i="1"/>
  <c r="I50" i="1"/>
  <c r="I46" i="1"/>
  <c r="I42" i="1"/>
  <c r="I38" i="1"/>
  <c r="I33" i="1"/>
  <c r="I49" i="1"/>
  <c r="I45" i="1"/>
  <c r="I41" i="1"/>
  <c r="I32" i="1"/>
  <c r="I43" i="1"/>
  <c r="N4" i="1"/>
  <c r="O4" i="1"/>
  <c r="J36" i="1"/>
  <c r="N36" i="1"/>
  <c r="O36" i="1"/>
  <c r="I36" i="1"/>
  <c r="F16" i="2"/>
  <c r="P14" i="2"/>
  <c r="E75" i="1"/>
  <c r="E51" i="1"/>
  <c r="P4" i="1"/>
  <c r="P36" i="1"/>
  <c r="F75" i="1"/>
  <c r="P16" i="1"/>
  <c r="E34" i="2"/>
  <c r="F34" i="2"/>
  <c r="D34" i="2"/>
  <c r="F69" i="1"/>
  <c r="F35" i="2"/>
  <c r="D36" i="2"/>
  <c r="D76" i="1"/>
  <c r="D48" i="2"/>
  <c r="D52" i="2"/>
  <c r="E70" i="1"/>
  <c r="E69" i="1"/>
  <c r="D58" i="1"/>
  <c r="D57" i="1"/>
  <c r="D69" i="1"/>
  <c r="D70" i="1"/>
  <c r="D27" i="1"/>
  <c r="E95" i="2"/>
  <c r="E91" i="2"/>
  <c r="E87" i="2"/>
  <c r="E83" i="2"/>
  <c r="E79" i="2"/>
  <c r="E67" i="2"/>
  <c r="E71" i="2"/>
  <c r="E65" i="2"/>
  <c r="J48" i="1" l="1"/>
  <c r="J44" i="1"/>
  <c r="J40" i="1"/>
  <c r="J51" i="1"/>
  <c r="J34" i="1"/>
  <c r="N51" i="1"/>
  <c r="J50" i="1"/>
  <c r="J46" i="1"/>
  <c r="J42" i="1"/>
  <c r="J38" i="1"/>
  <c r="J33" i="1"/>
  <c r="J49" i="1"/>
  <c r="J45" i="1"/>
  <c r="J41" i="1"/>
  <c r="J39" i="1"/>
  <c r="J47" i="1"/>
  <c r="J32" i="1"/>
  <c r="J37" i="1"/>
  <c r="J43" i="1"/>
  <c r="D52" i="1"/>
  <c r="I7" i="1"/>
  <c r="I19" i="1"/>
  <c r="I22" i="1"/>
  <c r="I8" i="1"/>
  <c r="I20" i="1"/>
  <c r="I11" i="1"/>
  <c r="I23" i="1"/>
  <c r="I12" i="1"/>
  <c r="I24" i="1"/>
  <c r="I13" i="1"/>
  <c r="I25" i="1"/>
  <c r="I9" i="1"/>
  <c r="I14" i="1"/>
  <c r="I26" i="1"/>
  <c r="I15" i="1"/>
  <c r="I27" i="1"/>
  <c r="I5" i="1"/>
  <c r="I10" i="1"/>
  <c r="I17" i="1"/>
  <c r="I6" i="1"/>
  <c r="I18" i="1"/>
  <c r="I21" i="1"/>
  <c r="I4" i="1"/>
  <c r="I16" i="1"/>
  <c r="F51" i="2"/>
  <c r="F56" i="2"/>
  <c r="E89" i="2"/>
  <c r="P16" i="2"/>
  <c r="F57" i="2"/>
  <c r="F59" i="2" s="1"/>
  <c r="F58" i="2" s="1"/>
  <c r="F53" i="2"/>
  <c r="J66" i="2"/>
  <c r="D32" i="2"/>
  <c r="J90" i="2"/>
  <c r="J82" i="2"/>
  <c r="J74" i="2"/>
  <c r="E76" i="1" l="1"/>
  <c r="F51" i="1"/>
  <c r="F52" i="1" l="1"/>
  <c r="K46" i="1"/>
  <c r="K33" i="1"/>
  <c r="O51" i="1"/>
  <c r="K50" i="1"/>
  <c r="K42" i="1"/>
  <c r="K38" i="1"/>
  <c r="K39" i="1"/>
  <c r="K51" i="1"/>
  <c r="K49" i="1"/>
  <c r="K45" i="1"/>
  <c r="K41" i="1"/>
  <c r="K47" i="1"/>
  <c r="K48" i="1"/>
  <c r="K44" i="1"/>
  <c r="K40" i="1"/>
  <c r="K34" i="1"/>
  <c r="K43" i="1"/>
  <c r="K37" i="1"/>
  <c r="K32" i="1"/>
  <c r="K36" i="1"/>
  <c r="P51" i="1"/>
  <c r="F36" i="2"/>
  <c r="F76" i="1"/>
  <c r="F52" i="2"/>
  <c r="F48" i="2"/>
  <c r="E36" i="2"/>
  <c r="E52" i="2"/>
  <c r="E48" i="2"/>
  <c r="F58" i="1" l="1"/>
  <c r="F70" i="1"/>
  <c r="F57" i="1"/>
  <c r="E27" i="1"/>
  <c r="E57" i="1"/>
  <c r="E58" i="1"/>
  <c r="E52" i="1" l="1"/>
  <c r="J6" i="1"/>
  <c r="J12" i="1"/>
  <c r="J18" i="1"/>
  <c r="J24" i="1"/>
  <c r="N27" i="1"/>
  <c r="J8" i="1"/>
  <c r="J20" i="1"/>
  <c r="J26" i="1"/>
  <c r="J25" i="1"/>
  <c r="J14" i="1"/>
  <c r="J13" i="1"/>
  <c r="J9" i="1"/>
  <c r="J15" i="1"/>
  <c r="J21" i="1"/>
  <c r="J27" i="1"/>
  <c r="J10" i="1"/>
  <c r="J22" i="1"/>
  <c r="J5" i="1"/>
  <c r="J11" i="1"/>
  <c r="J17" i="1"/>
  <c r="J23" i="1"/>
  <c r="J7" i="1"/>
  <c r="J19" i="1"/>
  <c r="J16" i="1"/>
  <c r="O27" i="1"/>
  <c r="J4" i="1"/>
  <c r="P27" i="1"/>
  <c r="F33" i="2"/>
  <c r="E32" i="2"/>
  <c r="E33" i="2"/>
  <c r="F32" i="2"/>
  <c r="E93" i="2"/>
  <c r="F73" i="1"/>
  <c r="E85" i="2"/>
  <c r="E73" i="1"/>
  <c r="E77" i="2"/>
  <c r="D73" i="1"/>
  <c r="E69" i="2"/>
  <c r="D59" i="1"/>
  <c r="D61" i="1" s="1"/>
  <c r="E59" i="1"/>
  <c r="E61" i="1" s="1"/>
  <c r="F59" i="1"/>
  <c r="F61" i="1" s="1"/>
  <c r="J78" i="2" l="1"/>
  <c r="J76" i="2"/>
  <c r="J84" i="2"/>
  <c r="J86" i="2"/>
  <c r="J94" i="2"/>
  <c r="J92" i="2"/>
  <c r="J70" i="2"/>
  <c r="J68" i="2"/>
  <c r="R76" i="2" l="1"/>
  <c r="R92" i="2"/>
  <c r="R84" i="2"/>
  <c r="R6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Budiman Budiman</author>
    <author>T430</author>
  </authors>
  <commentList>
    <comment ref="C46" authorId="0" shapeId="0" xr:uid="{18347F6E-9485-4B30-9C0E-782B6C97F75C}">
      <text>
        <r>
          <rPr>
            <b/>
            <sz val="9"/>
            <color indexed="81"/>
            <rFont val="Tahoma"/>
            <family val="2"/>
          </rPr>
          <t>Budiman Budiman:</t>
        </r>
        <r>
          <rPr>
            <sz val="9"/>
            <color indexed="81"/>
            <rFont val="Tahoma"/>
            <family val="2"/>
          </rPr>
          <t xml:space="preserve">
Money that is prepared to pay future expense</t>
        </r>
      </text>
    </comment>
    <comment ref="C74" authorId="1" shapeId="0" xr:uid="{00000000-0006-0000-0500-000001000000}">
      <text>
        <r>
          <rPr>
            <b/>
            <sz val="9"/>
            <color indexed="81"/>
            <rFont val="Tahoma"/>
            <family val="2"/>
            <charset val="238"/>
          </rPr>
          <t>T430:</t>
        </r>
        <r>
          <rPr>
            <sz val="9"/>
            <color indexed="81"/>
            <rFont val="Tahoma"/>
            <family val="2"/>
            <charset val="238"/>
          </rPr>
          <t xml:space="preserve">
Long-term liabilities / (Share capital + Reserves/Provisions + Long-term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T430</author>
  </authors>
  <commentList>
    <comment ref="C32" authorId="0" shapeId="0" xr:uid="{00000000-0006-0000-0600-000001000000}">
      <text>
        <r>
          <rPr>
            <b/>
            <sz val="9"/>
            <color indexed="81"/>
            <rFont val="Tahoma"/>
            <family val="2"/>
            <charset val="238"/>
          </rPr>
          <t>T430:</t>
        </r>
        <r>
          <rPr>
            <sz val="9"/>
            <color indexed="81"/>
            <rFont val="Tahoma"/>
            <family val="2"/>
            <charset val="238"/>
          </rPr>
          <t xml:space="preserve">
Sales revenue / Total assets</t>
        </r>
      </text>
    </comment>
    <comment ref="C48" authorId="0" shapeId="0" xr:uid="{00000000-0006-0000-0600-000002000000}">
      <text>
        <r>
          <rPr>
            <b/>
            <sz val="9"/>
            <color indexed="81"/>
            <rFont val="Tahoma"/>
            <family val="2"/>
            <charset val="238"/>
          </rPr>
          <t>T430:</t>
        </r>
        <r>
          <rPr>
            <sz val="9"/>
            <color indexed="81"/>
            <rFont val="Tahoma"/>
            <family val="2"/>
            <charset val="238"/>
          </rPr>
          <t xml:space="preserve">
ROCE= net profit before interest and taxation/ (total assets – current liabilities)</t>
        </r>
      </text>
    </comment>
  </commentList>
</comments>
</file>

<file path=xl/sharedStrings.xml><?xml version="1.0" encoding="utf-8"?>
<sst xmlns="http://schemas.openxmlformats.org/spreadsheetml/2006/main" count="174" uniqueCount="116">
  <si>
    <t>A.</t>
  </si>
  <si>
    <t>I.</t>
  </si>
  <si>
    <t>II.</t>
  </si>
  <si>
    <t>III.</t>
  </si>
  <si>
    <t>IV.</t>
  </si>
  <si>
    <t>B.</t>
  </si>
  <si>
    <t>Zapotrzebowanie na kapitał pracujący</t>
  </si>
  <si>
    <t>Relacja</t>
  </si>
  <si>
    <t>Róznica (KP-ZKP)</t>
  </si>
  <si>
    <t>KP&lt;ZKP</t>
  </si>
  <si>
    <t>Przepływy pieniężne z działalności operacyjnej</t>
  </si>
  <si>
    <t>Przepływy pieniężne z działalności inwestycyjnej</t>
  </si>
  <si>
    <t>Przepływy pieniężne z działalności finansowej</t>
  </si>
  <si>
    <t>zysk netto</t>
  </si>
  <si>
    <t>sprzedaż netto</t>
  </si>
  <si>
    <t>aktywa ogółem</t>
  </si>
  <si>
    <t>kapitał własny</t>
  </si>
  <si>
    <t>rentowność sprzedaży netto</t>
  </si>
  <si>
    <t>rotacja aktywów ogółem</t>
  </si>
  <si>
    <t>dźwignia finansowa</t>
  </si>
  <si>
    <t>ROA</t>
  </si>
  <si>
    <t>ROE</t>
  </si>
  <si>
    <t>/</t>
  </si>
  <si>
    <t>x</t>
  </si>
  <si>
    <t>ASSETS</t>
  </si>
  <si>
    <t>Current assets</t>
  </si>
  <si>
    <t>EQUITY AND LIABILITIES</t>
  </si>
  <si>
    <t>Equity</t>
  </si>
  <si>
    <t>I. Non-current assets</t>
  </si>
  <si>
    <t>Cash and cash equivalents</t>
  </si>
  <si>
    <t>Goodwill</t>
  </si>
  <si>
    <t>Trademark</t>
  </si>
  <si>
    <t>Deferred tax assets</t>
  </si>
  <si>
    <t>Inventory</t>
  </si>
  <si>
    <t>Trade receivables</t>
  </si>
  <si>
    <t>structure</t>
  </si>
  <si>
    <t>data</t>
  </si>
  <si>
    <t>TOTAL ASSETS</t>
  </si>
  <si>
    <t>Liabilities</t>
  </si>
  <si>
    <t>Bank loans and borrowing</t>
  </si>
  <si>
    <t>Trade liabilities</t>
  </si>
  <si>
    <t>Equity + Long-term liabilities</t>
  </si>
  <si>
    <t>Working capital</t>
  </si>
  <si>
    <t>a) Current assets - Current liabilities</t>
  </si>
  <si>
    <t>b) Equity + Long-term liabilities - Non-current assets</t>
  </si>
  <si>
    <t>TOTAL EQUITY AND LIABILITIES</t>
  </si>
  <si>
    <t>Current ratio</t>
  </si>
  <si>
    <t>Acid test ratio (Quick ratio)</t>
  </si>
  <si>
    <t>Cash ratio</t>
  </si>
  <si>
    <t>Total debt ratio</t>
  </si>
  <si>
    <t xml:space="preserve">Leverage ratio </t>
  </si>
  <si>
    <t>Bank loans and borrowing to total assets</t>
  </si>
  <si>
    <t>Efficiency (Operational analysis, turnover ratios)</t>
  </si>
  <si>
    <t>Revenue</t>
  </si>
  <si>
    <t>Cost of goods sold</t>
  </si>
  <si>
    <t>Gross profit (loss) on sales</t>
  </si>
  <si>
    <t>Other operating income</t>
  </si>
  <si>
    <t>Selling costs</t>
  </si>
  <si>
    <t>General costs</t>
  </si>
  <si>
    <t>Other operating costs</t>
  </si>
  <si>
    <t>Operating profit (loss)</t>
  </si>
  <si>
    <t>Financial income</t>
  </si>
  <si>
    <t>Financial costs</t>
  </si>
  <si>
    <t>Pre-tax profit (loss)</t>
  </si>
  <si>
    <t>Income tax</t>
  </si>
  <si>
    <t>Net profit (loss)</t>
  </si>
  <si>
    <t>Net profit (loss) attributable to:</t>
  </si>
  <si>
    <t>Shareholders of the parent company</t>
  </si>
  <si>
    <t>Minority interest</t>
  </si>
  <si>
    <t>X</t>
  </si>
  <si>
    <t>Return on capital employed (ROCE)</t>
  </si>
  <si>
    <t>Net profit margin</t>
  </si>
  <si>
    <t>Gross profit margin</t>
  </si>
  <si>
    <t>Sales revenue</t>
  </si>
  <si>
    <t>ROS</t>
  </si>
  <si>
    <t>net profit</t>
  </si>
  <si>
    <t>sales revenue</t>
  </si>
  <si>
    <t>total assets</t>
  </si>
  <si>
    <t>equity</t>
  </si>
  <si>
    <t>asset turnover ratio</t>
  </si>
  <si>
    <t>Non current asset turnover ratio</t>
  </si>
  <si>
    <t>Current asset turnover ratio</t>
  </si>
  <si>
    <t>Total asset turnover ratio</t>
  </si>
  <si>
    <t>Average inventories (stock) turnover period</t>
  </si>
  <si>
    <t>Cost of goods sold = Cost of sales</t>
  </si>
  <si>
    <t>Average settlement period for receivables</t>
  </si>
  <si>
    <t>Average settlement period for payables</t>
  </si>
  <si>
    <t>Sales revenue to capital employed</t>
  </si>
  <si>
    <t>equity multiplier</t>
  </si>
  <si>
    <t>Cost-of-Goods-Sold Analysis</t>
  </si>
  <si>
    <t xml:space="preserve">Debt to Equity </t>
  </si>
  <si>
    <t>Interest cover ratio</t>
  </si>
  <si>
    <t xml:space="preserve">Cash coverage ratio </t>
  </si>
  <si>
    <t>Dividend pay-out ratio</t>
  </si>
  <si>
    <t>Earnings per share</t>
  </si>
  <si>
    <t>Price/earnings (P/E) ratio</t>
  </si>
  <si>
    <t>growth</t>
  </si>
  <si>
    <t>Average total asset turnover ratio</t>
  </si>
  <si>
    <t>Du Pont Model</t>
  </si>
  <si>
    <t>Property, plant and equipment</t>
  </si>
  <si>
    <t>Non-current investment</t>
  </si>
  <si>
    <t>Long-term loans</t>
  </si>
  <si>
    <t>20XX+2</t>
  </si>
  <si>
    <t>Short-term loans</t>
  </si>
  <si>
    <t>thousand EUR</t>
  </si>
  <si>
    <t>I</t>
  </si>
  <si>
    <t>Share capital</t>
  </si>
  <si>
    <t xml:space="preserve">II </t>
  </si>
  <si>
    <t>Reserves and Surplus</t>
  </si>
  <si>
    <t>Non-current liabilities</t>
  </si>
  <si>
    <t>Long-term provisions</t>
  </si>
  <si>
    <t>Current liabilities</t>
  </si>
  <si>
    <t>Short-term provisions</t>
  </si>
  <si>
    <t xml:space="preserve">  &gt;&gt;&gt;&gt;&gt;</t>
  </si>
  <si>
    <t>2019-2020</t>
  </si>
  <si>
    <t>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</si>
</sst>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zł&quot;;[Red]\-#,##0.00\ &quot;zł&quot;"/>
    <numFmt numFmtId="165" formatCode="_-* #,##0.00\ &quot;zł&quot;_-;\-* #,##0.00\ &quot;zł&quot;_-;_-* &quot;-&quot;??\ &quot;zł&quot;_-;_-@_-"/>
    <numFmt numFmtId="166" formatCode="#,##0_ ;\-#,##0\ "/>
  </numFmts>
  <fonts count="13" x14ac:knownFonts="1">
    <font>
      <sz val="11"/>
      <color theme="1"/>
      <name val="Calibri"/>
      <family val="2"/>
      <charset val="238"/>
      <scheme val="minor"/>
    </font>
    <font>
      <sz val="11"/>
      <color theme="1"/>
      <name val="Calibri"/>
      <family val="2"/>
      <charset val="238"/>
      <scheme val="minor"/>
    </font>
    <font>
      <sz val="11"/>
      <color theme="1"/>
      <name val="Times New Roman"/>
      <family val="1"/>
      <charset val="238"/>
    </font>
    <font>
      <b/>
      <sz val="11"/>
      <color theme="1"/>
      <name val="Times New Roman"/>
      <family val="1"/>
      <charset val="238"/>
    </font>
    <font>
      <sz val="9"/>
      <color indexed="81"/>
      <name val="Tahoma"/>
      <family val="2"/>
      <charset val="238"/>
    </font>
    <font>
      <b/>
      <sz val="9"/>
      <color indexed="81"/>
      <name val="Tahoma"/>
      <family val="2"/>
      <charset val="238"/>
    </font>
    <font>
      <b/>
      <sz val="12"/>
      <color theme="1"/>
      <name val="Times New Roman"/>
      <family val="1"/>
      <charset val="238"/>
    </font>
    <font>
      <sz val="12"/>
      <color theme="1"/>
      <name val="Times New Roman"/>
      <family val="1"/>
      <charset val="238"/>
    </font>
    <font>
      <b/>
      <sz val="12"/>
      <name val="Times New Roman"/>
      <family val="1"/>
      <charset val="238"/>
    </font>
    <font>
      <sz val="12"/>
      <name val="Times New Roman"/>
      <family val="1"/>
      <charset val="238"/>
    </font>
    <font>
      <b/>
      <sz val="12"/>
      <color theme="1"/>
      <name val="Times New Roman"/>
      <family val="1"/>
    </font>
    <font>
      <sz val="9"/>
      <color indexed="81"/>
      <name val="Tahoma"/>
      <family val="2"/>
    </font>
    <font>
      <b/>
      <sz val="9"/>
      <color indexed="81"/>
      <name val="Tahoma"/>
      <family val="2"/>
    </font>
  </fonts>
  <fills count="1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199">
    <xf numFmtId="0" fontId="0" fillId="0" borderId="0" xfId="0"/>
    <xf numFmtId="0" fontId="2" fillId="0" borderId="0" xfId="0" applyFont="1"/>
    <xf numFmtId="0" fontId="2" fillId="0" borderId="4" xfId="0" applyFont="1" applyBorder="1"/>
    <xf numFmtId="165" fontId="2" fillId="0" borderId="0" xfId="0" applyNumberFormat="1" applyFont="1"/>
    <xf numFmtId="10" fontId="2" fillId="0" borderId="0" xfId="1" applyNumberFormat="1" applyFont="1"/>
    <xf numFmtId="165" fontId="2" fillId="0" borderId="1" xfId="0" applyNumberFormat="1" applyFont="1" applyBorder="1"/>
    <xf numFmtId="0" fontId="2" fillId="0" borderId="1" xfId="0" applyFont="1" applyBorder="1"/>
    <xf numFmtId="0" fontId="2" fillId="0" borderId="1" xfId="0" applyFont="1" applyBorder="1" applyAlignment="1">
      <alignment vertical="center"/>
    </xf>
    <xf numFmtId="165" fontId="2" fillId="0" borderId="1" xfId="0" applyNumberFormat="1" applyFont="1" applyBorder="1" applyAlignment="1">
      <alignment vertical="center"/>
    </xf>
    <xf numFmtId="0" fontId="2" fillId="0" borderId="1" xfId="0" applyFont="1" applyBorder="1" applyAlignment="1">
      <alignment horizontal="center" vertical="center"/>
    </xf>
    <xf numFmtId="0" fontId="2" fillId="6" borderId="1" xfId="0" applyFont="1" applyFill="1" applyBorder="1" applyAlignment="1">
      <alignment vertical="center"/>
    </xf>
    <xf numFmtId="0" fontId="2" fillId="7" borderId="1" xfId="0" applyFont="1" applyFill="1" applyBorder="1" applyAlignment="1">
      <alignment vertical="center"/>
    </xf>
    <xf numFmtId="0" fontId="3" fillId="0" borderId="0" xfId="0" applyFont="1"/>
    <xf numFmtId="2" fontId="2" fillId="0" borderId="1" xfId="0" applyNumberFormat="1" applyFont="1" applyBorder="1"/>
    <xf numFmtId="0" fontId="2" fillId="9" borderId="1" xfId="0" applyFont="1" applyFill="1" applyBorder="1"/>
    <xf numFmtId="0" fontId="2" fillId="10" borderId="1" xfId="0" applyFont="1" applyFill="1" applyBorder="1"/>
    <xf numFmtId="0" fontId="2" fillId="12" borderId="1" xfId="0" applyFont="1" applyFill="1" applyBorder="1"/>
    <xf numFmtId="0" fontId="6" fillId="4" borderId="1" xfId="0" applyFont="1" applyFill="1" applyBorder="1" applyAlignment="1">
      <alignment horizontal="center" vertical="center"/>
    </xf>
    <xf numFmtId="0" fontId="6" fillId="4" borderId="11" xfId="0" applyFont="1" applyFill="1" applyBorder="1" applyAlignment="1">
      <alignment horizontal="center" vertical="center"/>
    </xf>
    <xf numFmtId="0" fontId="6" fillId="3" borderId="8" xfId="0" applyFont="1" applyFill="1" applyBorder="1"/>
    <xf numFmtId="166" fontId="6" fillId="3" borderId="2" xfId="0" applyNumberFormat="1" applyFont="1" applyFill="1" applyBorder="1" applyAlignment="1">
      <alignment horizontal="right" vertical="center"/>
    </xf>
    <xf numFmtId="10" fontId="6" fillId="3" borderId="1" xfId="1" applyNumberFormat="1" applyFont="1" applyFill="1" applyBorder="1" applyAlignment="1">
      <alignment vertical="center"/>
    </xf>
    <xf numFmtId="10" fontId="6" fillId="3" borderId="1" xfId="1" applyNumberFormat="1" applyFont="1" applyFill="1" applyBorder="1" applyAlignment="1">
      <alignment horizontal="right" vertical="center"/>
    </xf>
    <xf numFmtId="0" fontId="7" fillId="0" borderId="3" xfId="0" applyFont="1" applyBorder="1"/>
    <xf numFmtId="0" fontId="7" fillId="0" borderId="4" xfId="0" applyFont="1" applyBorder="1"/>
    <xf numFmtId="0" fontId="7" fillId="0" borderId="14" xfId="0" applyFont="1" applyBorder="1"/>
    <xf numFmtId="166" fontId="7" fillId="0" borderId="1" xfId="0" applyNumberFormat="1" applyFont="1" applyBorder="1" applyAlignment="1" applyProtection="1">
      <alignment horizontal="right" vertical="center"/>
      <protection locked="0"/>
    </xf>
    <xf numFmtId="10" fontId="7" fillId="0" borderId="1" xfId="1" applyNumberFormat="1" applyFont="1" applyBorder="1" applyAlignment="1">
      <alignment vertical="center"/>
    </xf>
    <xf numFmtId="10" fontId="7" fillId="0" borderId="1" xfId="1" applyNumberFormat="1" applyFont="1" applyBorder="1" applyAlignment="1">
      <alignment horizontal="right" vertical="center"/>
    </xf>
    <xf numFmtId="166" fontId="7" fillId="0" borderId="1" xfId="0" applyNumberFormat="1" applyFont="1" applyBorder="1" applyAlignment="1">
      <alignment horizontal="right" vertical="center"/>
    </xf>
    <xf numFmtId="0" fontId="7" fillId="0" borderId="14" xfId="0" applyFont="1" applyBorder="1" applyAlignment="1">
      <alignment wrapText="1"/>
    </xf>
    <xf numFmtId="166" fontId="7" fillId="0" borderId="11" xfId="0" applyNumberFormat="1" applyFont="1" applyBorder="1" applyAlignment="1" applyProtection="1">
      <alignment horizontal="right" vertical="center"/>
      <protection locked="0"/>
    </xf>
    <xf numFmtId="0" fontId="6" fillId="3" borderId="3" xfId="0" applyFont="1" applyFill="1" applyBorder="1"/>
    <xf numFmtId="166" fontId="6" fillId="3" borderId="1" xfId="0" applyNumberFormat="1" applyFont="1" applyFill="1" applyBorder="1" applyAlignment="1">
      <alignment horizontal="right" vertical="center"/>
    </xf>
    <xf numFmtId="0" fontId="7" fillId="0" borderId="14" xfId="0" applyFont="1" applyBorder="1" applyAlignment="1">
      <alignment vertical="center"/>
    </xf>
    <xf numFmtId="166" fontId="6" fillId="5" borderId="1" xfId="0" applyNumberFormat="1" applyFont="1" applyFill="1" applyBorder="1" applyAlignment="1">
      <alignment horizontal="right" vertical="center"/>
    </xf>
    <xf numFmtId="166" fontId="6" fillId="5" borderId="11" xfId="0" applyNumberFormat="1" applyFont="1" applyFill="1" applyBorder="1" applyAlignment="1">
      <alignment horizontal="right" vertical="center"/>
    </xf>
    <xf numFmtId="10" fontId="6" fillId="5" borderId="1" xfId="1" applyNumberFormat="1" applyFont="1" applyFill="1" applyBorder="1" applyAlignment="1">
      <alignment horizontal="right" vertical="center"/>
    </xf>
    <xf numFmtId="10" fontId="8" fillId="5" borderId="1" xfId="1" applyNumberFormat="1" applyFont="1" applyFill="1" applyBorder="1" applyAlignment="1">
      <alignment vertical="center"/>
    </xf>
    <xf numFmtId="0" fontId="6" fillId="4" borderId="8" xfId="0" applyFont="1" applyFill="1" applyBorder="1" applyAlignment="1">
      <alignment horizontal="left" vertical="center"/>
    </xf>
    <xf numFmtId="0" fontId="6" fillId="4" borderId="9" xfId="0" applyFont="1" applyFill="1" applyBorder="1" applyAlignment="1">
      <alignment horizontal="left" vertical="center"/>
    </xf>
    <xf numFmtId="0" fontId="6" fillId="4" borderId="2" xfId="0" applyFont="1" applyFill="1" applyBorder="1" applyAlignment="1">
      <alignment horizontal="center" vertical="center"/>
    </xf>
    <xf numFmtId="0" fontId="6" fillId="4" borderId="8" xfId="0" applyFont="1" applyFill="1" applyBorder="1" applyAlignment="1">
      <alignment horizontal="center" vertical="center"/>
    </xf>
    <xf numFmtId="0" fontId="7" fillId="0" borderId="0" xfId="0" applyFont="1"/>
    <xf numFmtId="10" fontId="7" fillId="0" borderId="11" xfId="1" applyNumberFormat="1" applyFont="1" applyBorder="1" applyAlignment="1">
      <alignment vertical="center"/>
    </xf>
    <xf numFmtId="0" fontId="7" fillId="0" borderId="6" xfId="0" applyFont="1" applyBorder="1"/>
    <xf numFmtId="0" fontId="7" fillId="0" borderId="7" xfId="0" applyFont="1" applyBorder="1"/>
    <xf numFmtId="0" fontId="7" fillId="0" borderId="12" xfId="0" applyFont="1" applyBorder="1" applyAlignment="1">
      <alignment vertical="center"/>
    </xf>
    <xf numFmtId="10" fontId="7" fillId="0" borderId="1" xfId="1" applyNumberFormat="1" applyFont="1" applyBorder="1" applyAlignment="1">
      <alignment horizontal="center" vertical="center"/>
    </xf>
    <xf numFmtId="0" fontId="7" fillId="0" borderId="14" xfId="0" applyFont="1" applyBorder="1" applyAlignment="1">
      <alignment vertical="center" wrapText="1"/>
    </xf>
    <xf numFmtId="0" fontId="7" fillId="0" borderId="8" xfId="0" applyFont="1" applyBorder="1"/>
    <xf numFmtId="0" fontId="7" fillId="0" borderId="9" xfId="0" applyFont="1" applyBorder="1"/>
    <xf numFmtId="0" fontId="7" fillId="0" borderId="14" xfId="0" applyFont="1" applyBorder="1" applyAlignment="1">
      <alignment horizontal="left" vertical="center"/>
    </xf>
    <xf numFmtId="0" fontId="7" fillId="2" borderId="14" xfId="0" applyFont="1" applyFill="1" applyBorder="1" applyAlignment="1">
      <alignment horizontal="left" vertical="center" wrapText="1"/>
    </xf>
    <xf numFmtId="0" fontId="7" fillId="2" borderId="14" xfId="0" applyFont="1" applyFill="1" applyBorder="1" applyAlignment="1">
      <alignment vertical="center" wrapText="1"/>
    </xf>
    <xf numFmtId="0" fontId="7" fillId="2" borderId="14" xfId="0" applyFont="1" applyFill="1" applyBorder="1" applyAlignment="1">
      <alignment vertical="center"/>
    </xf>
    <xf numFmtId="166" fontId="6" fillId="3" borderId="2" xfId="0" applyNumberFormat="1" applyFont="1" applyFill="1" applyBorder="1" applyAlignment="1" applyProtection="1">
      <alignment horizontal="right" vertical="center"/>
      <protection locked="0"/>
    </xf>
    <xf numFmtId="166" fontId="7" fillId="0" borderId="1" xfId="0" applyNumberFormat="1" applyFont="1" applyBorder="1" applyProtection="1">
      <protection locked="0"/>
    </xf>
    <xf numFmtId="166" fontId="6" fillId="3" borderId="1" xfId="0" applyNumberFormat="1" applyFont="1" applyFill="1" applyBorder="1" applyAlignment="1" applyProtection="1">
      <alignment horizontal="right" vertical="center"/>
      <protection locked="0"/>
    </xf>
    <xf numFmtId="166" fontId="9" fillId="0" borderId="1" xfId="0" applyNumberFormat="1" applyFont="1" applyBorder="1" applyAlignment="1" applyProtection="1">
      <alignment horizontal="right" vertical="center"/>
      <protection locked="0"/>
    </xf>
    <xf numFmtId="166" fontId="7" fillId="0" borderId="11" xfId="0" applyNumberFormat="1" applyFont="1" applyBorder="1" applyAlignment="1">
      <alignment horizontal="right" vertical="center"/>
    </xf>
    <xf numFmtId="166" fontId="9" fillId="0" borderId="11" xfId="0" applyNumberFormat="1" applyFont="1" applyBorder="1" applyAlignment="1" applyProtection="1">
      <alignment horizontal="right" vertical="center"/>
      <protection locked="0"/>
    </xf>
    <xf numFmtId="166" fontId="2" fillId="0" borderId="0" xfId="0" applyNumberFormat="1" applyFont="1"/>
    <xf numFmtId="10" fontId="6" fillId="3" borderId="2" xfId="1" applyNumberFormat="1" applyFont="1" applyFill="1" applyBorder="1" applyAlignment="1">
      <alignment vertical="center"/>
    </xf>
    <xf numFmtId="10" fontId="3" fillId="0" borderId="0" xfId="1" applyNumberFormat="1" applyFont="1"/>
    <xf numFmtId="0" fontId="7" fillId="2" borderId="1" xfId="0"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3" xfId="0" applyFont="1" applyFill="1" applyBorder="1" applyAlignment="1">
      <alignment vertical="center"/>
    </xf>
    <xf numFmtId="0" fontId="6" fillId="4" borderId="4" xfId="0" applyFont="1" applyFill="1" applyBorder="1" applyAlignment="1">
      <alignment vertical="center"/>
    </xf>
    <xf numFmtId="0" fontId="6" fillId="4" borderId="1" xfId="0" applyFont="1" applyFill="1" applyBorder="1" applyAlignment="1">
      <alignment vertical="center"/>
    </xf>
    <xf numFmtId="0" fontId="3" fillId="0" borderId="0" xfId="0" applyFont="1" applyAlignment="1"/>
    <xf numFmtId="9" fontId="2" fillId="0" borderId="1" xfId="1" applyFont="1" applyBorder="1"/>
    <xf numFmtId="0" fontId="6"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4" xfId="0" applyFont="1" applyFill="1" applyBorder="1" applyAlignment="1">
      <alignment horizontal="center" vertical="center"/>
    </xf>
    <xf numFmtId="166" fontId="7" fillId="0" borderId="4" xfId="0" applyNumberFormat="1" applyFont="1" applyBorder="1" applyAlignment="1" applyProtection="1">
      <alignment horizontal="right" vertical="center"/>
      <protection locked="0"/>
    </xf>
    <xf numFmtId="0" fontId="6" fillId="4" borderId="9" xfId="0" applyFont="1" applyFill="1" applyBorder="1" applyAlignment="1">
      <alignment vertical="center"/>
    </xf>
    <xf numFmtId="0" fontId="6" fillId="4" borderId="10" xfId="0" applyFont="1" applyFill="1" applyBorder="1" applyAlignment="1">
      <alignment horizontal="center" vertical="center"/>
    </xf>
    <xf numFmtId="166" fontId="7" fillId="0" borderId="4" xfId="0" applyNumberFormat="1" applyFont="1" applyBorder="1" applyAlignment="1">
      <alignment horizontal="right" vertical="center"/>
    </xf>
    <xf numFmtId="166" fontId="9" fillId="0" borderId="4" xfId="0" applyNumberFormat="1" applyFont="1" applyBorder="1" applyAlignment="1" applyProtection="1">
      <alignment horizontal="right" vertical="center"/>
      <protection locked="0"/>
    </xf>
    <xf numFmtId="0" fontId="6" fillId="4" borderId="0" xfId="0" applyFont="1" applyFill="1" applyBorder="1" applyAlignment="1">
      <alignment horizontal="center" vertical="center"/>
    </xf>
    <xf numFmtId="165" fontId="2" fillId="0" borderId="0" xfId="0" applyNumberFormat="1"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165" fontId="2" fillId="0" borderId="0" xfId="0" applyNumberFormat="1" applyFont="1" applyBorder="1"/>
    <xf numFmtId="0" fontId="2" fillId="0" borderId="0" xfId="0" applyFont="1" applyBorder="1"/>
    <xf numFmtId="0" fontId="6" fillId="4" borderId="3" xfId="0" applyFont="1" applyFill="1" applyBorder="1" applyAlignment="1">
      <alignment horizontal="center" vertical="center"/>
    </xf>
    <xf numFmtId="0" fontId="6" fillId="4" borderId="9" xfId="0" applyFont="1" applyFill="1" applyBorder="1" applyAlignment="1">
      <alignment horizontal="center" vertical="top" wrapText="1"/>
    </xf>
    <xf numFmtId="10" fontId="6" fillId="3" borderId="9" xfId="1" applyNumberFormat="1" applyFont="1" applyFill="1" applyBorder="1" applyAlignment="1">
      <alignment vertical="center"/>
    </xf>
    <xf numFmtId="10" fontId="7" fillId="0" borderId="4" xfId="1" applyNumberFormat="1" applyFont="1" applyBorder="1" applyAlignment="1">
      <alignment vertical="center"/>
    </xf>
    <xf numFmtId="10" fontId="6" fillId="3" borderId="4" xfId="1" applyNumberFormat="1" applyFont="1" applyFill="1" applyBorder="1" applyAlignment="1">
      <alignment vertical="center"/>
    </xf>
    <xf numFmtId="10" fontId="6" fillId="5" borderId="4" xfId="1" applyNumberFormat="1" applyFont="1" applyFill="1" applyBorder="1" applyAlignment="1">
      <alignment vertical="center"/>
    </xf>
    <xf numFmtId="10" fontId="6" fillId="2" borderId="1" xfId="1" applyNumberFormat="1" applyFont="1" applyFill="1" applyBorder="1" applyAlignment="1">
      <alignment horizontal="right" vertical="center"/>
    </xf>
    <xf numFmtId="0" fontId="6" fillId="4" borderId="0" xfId="0" applyFont="1" applyFill="1" applyBorder="1" applyAlignment="1">
      <alignment vertical="center"/>
    </xf>
    <xf numFmtId="0" fontId="6" fillId="4" borderId="0" xfId="0" applyFont="1" applyFill="1" applyBorder="1" applyAlignment="1">
      <alignment horizontal="center" vertical="top" wrapText="1"/>
    </xf>
    <xf numFmtId="10" fontId="7" fillId="0" borderId="0" xfId="1" applyNumberFormat="1" applyFont="1" applyBorder="1" applyAlignment="1">
      <alignment horizontal="right" vertical="center"/>
    </xf>
    <xf numFmtId="10" fontId="7" fillId="0" borderId="0" xfId="1" applyNumberFormat="1" applyFont="1" applyBorder="1" applyAlignment="1">
      <alignment horizontal="center" vertical="center"/>
    </xf>
    <xf numFmtId="0" fontId="6" fillId="4" borderId="1"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19" xfId="0" applyFont="1" applyFill="1" applyBorder="1" applyAlignment="1">
      <alignment vertical="center"/>
    </xf>
    <xf numFmtId="0" fontId="6" fillId="4" borderId="14" xfId="0" applyFont="1" applyFill="1" applyBorder="1" applyAlignment="1">
      <alignment vertical="center"/>
    </xf>
    <xf numFmtId="0" fontId="6" fillId="4" borderId="17" xfId="0" applyFont="1" applyFill="1" applyBorder="1" applyAlignment="1">
      <alignment horizontal="center" vertical="center"/>
    </xf>
    <xf numFmtId="0" fontId="6" fillId="5" borderId="1" xfId="0" applyFont="1" applyFill="1" applyBorder="1" applyAlignment="1">
      <alignment vertical="center"/>
    </xf>
    <xf numFmtId="166" fontId="7" fillId="0" borderId="2" xfId="0" applyNumberFormat="1" applyFont="1" applyBorder="1" applyProtection="1">
      <protection locked="0"/>
    </xf>
    <xf numFmtId="166" fontId="7" fillId="0" borderId="11" xfId="0" applyNumberFormat="1" applyFont="1" applyBorder="1" applyProtection="1">
      <protection locked="0"/>
    </xf>
    <xf numFmtId="166" fontId="7" fillId="0" borderId="3" xfId="0" applyNumberFormat="1" applyFont="1" applyBorder="1" applyProtection="1">
      <protection locked="0"/>
    </xf>
    <xf numFmtId="10" fontId="7" fillId="0" borderId="1" xfId="1" applyNumberFormat="1" applyFont="1" applyBorder="1"/>
    <xf numFmtId="0" fontId="6" fillId="0" borderId="3" xfId="0" applyFont="1" applyBorder="1"/>
    <xf numFmtId="166" fontId="6" fillId="0" borderId="1" xfId="0" applyNumberFormat="1" applyFont="1" applyBorder="1" applyProtection="1">
      <protection locked="0"/>
    </xf>
    <xf numFmtId="166" fontId="6" fillId="0" borderId="11" xfId="0" applyNumberFormat="1" applyFont="1" applyBorder="1" applyProtection="1">
      <protection locked="0"/>
    </xf>
    <xf numFmtId="10" fontId="6" fillId="0" borderId="1" xfId="1" applyNumberFormat="1" applyFont="1" applyBorder="1"/>
    <xf numFmtId="0" fontId="6" fillId="0" borderId="0" xfId="0" applyFont="1"/>
    <xf numFmtId="166" fontId="7" fillId="0" borderId="1" xfId="0" applyNumberFormat="1" applyFont="1" applyFill="1" applyBorder="1" applyProtection="1">
      <protection locked="0"/>
    </xf>
    <xf numFmtId="166" fontId="7" fillId="0" borderId="11" xfId="0" applyNumberFormat="1" applyFont="1" applyFill="1" applyBorder="1" applyProtection="1">
      <protection locked="0"/>
    </xf>
    <xf numFmtId="166" fontId="7" fillId="0" borderId="3" xfId="0" applyNumberFormat="1" applyFont="1" applyFill="1" applyBorder="1" applyProtection="1">
      <protection locked="0"/>
    </xf>
    <xf numFmtId="166" fontId="7" fillId="0" borderId="1" xfId="0" applyNumberFormat="1" applyFont="1" applyBorder="1"/>
    <xf numFmtId="166" fontId="7" fillId="0" borderId="11" xfId="0" applyNumberFormat="1" applyFont="1" applyBorder="1"/>
    <xf numFmtId="166" fontId="7" fillId="0" borderId="3" xfId="0" applyNumberFormat="1" applyFont="1" applyBorder="1"/>
    <xf numFmtId="10" fontId="7" fillId="0" borderId="2" xfId="1" applyNumberFormat="1" applyFont="1" applyBorder="1" applyAlignment="1">
      <alignment horizontal="center"/>
    </xf>
    <xf numFmtId="10" fontId="7" fillId="0" borderId="0" xfId="1" applyNumberFormat="1" applyFont="1" applyBorder="1" applyAlignment="1">
      <alignment horizontal="center"/>
    </xf>
    <xf numFmtId="10" fontId="7" fillId="0" borderId="0" xfId="1" applyNumberFormat="1" applyFont="1" applyBorder="1"/>
    <xf numFmtId="10" fontId="7" fillId="0" borderId="1" xfId="1" applyNumberFormat="1" applyFont="1" applyBorder="1" applyAlignment="1">
      <alignment horizontal="center"/>
    </xf>
    <xf numFmtId="0" fontId="6" fillId="4" borderId="18" xfId="0" applyFont="1" applyFill="1" applyBorder="1" applyAlignment="1">
      <alignment horizontal="center" vertical="center"/>
    </xf>
    <xf numFmtId="0" fontId="7" fillId="8" borderId="1" xfId="0" applyFont="1" applyFill="1" applyBorder="1"/>
    <xf numFmtId="0" fontId="7" fillId="8" borderId="1" xfId="0" applyFont="1" applyFill="1" applyBorder="1" applyAlignment="1">
      <alignment wrapText="1"/>
    </xf>
    <xf numFmtId="0" fontId="7" fillId="0" borderId="0" xfId="0" applyFont="1" applyFill="1"/>
    <xf numFmtId="0" fontId="7" fillId="0" borderId="0" xfId="0" applyFont="1" applyFill="1" applyBorder="1"/>
    <xf numFmtId="10" fontId="7" fillId="0" borderId="0" xfId="1" applyNumberFormat="1" applyFont="1" applyFill="1" applyBorder="1"/>
    <xf numFmtId="10" fontId="7" fillId="0" borderId="17" xfId="1" applyNumberFormat="1" applyFont="1" applyFill="1" applyBorder="1"/>
    <xf numFmtId="2" fontId="7" fillId="0" borderId="1" xfId="0" applyNumberFormat="1" applyFont="1" applyBorder="1"/>
    <xf numFmtId="2" fontId="7" fillId="0" borderId="20" xfId="0" applyNumberFormat="1" applyFont="1" applyFill="1" applyBorder="1"/>
    <xf numFmtId="2" fontId="7" fillId="0" borderId="16" xfId="0" applyNumberFormat="1" applyFont="1" applyFill="1" applyBorder="1"/>
    <xf numFmtId="0" fontId="7" fillId="8" borderId="3" xfId="0" applyFont="1" applyFill="1" applyBorder="1" applyAlignment="1">
      <alignment vertical="center"/>
    </xf>
    <xf numFmtId="2" fontId="7" fillId="0" borderId="1" xfId="0" quotePrefix="1" applyNumberFormat="1" applyFont="1" applyBorder="1"/>
    <xf numFmtId="0" fontId="7" fillId="7" borderId="1" xfId="0" applyFont="1" applyFill="1" applyBorder="1"/>
    <xf numFmtId="0" fontId="6" fillId="0" borderId="0" xfId="0" applyFont="1" applyAlignment="1">
      <alignment vertical="center"/>
    </xf>
    <xf numFmtId="0" fontId="6" fillId="16" borderId="0" xfId="0" applyFont="1" applyFill="1" applyAlignment="1">
      <alignment horizontal="center"/>
    </xf>
    <xf numFmtId="0" fontId="7" fillId="15" borderId="1" xfId="0" applyFont="1" applyFill="1" applyBorder="1"/>
    <xf numFmtId="0" fontId="7" fillId="0" borderId="1" xfId="0" applyFont="1" applyFill="1" applyBorder="1"/>
    <xf numFmtId="4" fontId="7" fillId="0" borderId="1" xfId="0" applyNumberFormat="1" applyFont="1" applyBorder="1"/>
    <xf numFmtId="164" fontId="7" fillId="0" borderId="0" xfId="0" applyNumberFormat="1" applyFont="1"/>
    <xf numFmtId="0" fontId="7" fillId="14" borderId="1" xfId="0" applyFont="1" applyFill="1" applyBorder="1" applyAlignment="1">
      <alignment horizontal="center" vertical="center"/>
    </xf>
    <xf numFmtId="165" fontId="7" fillId="0" borderId="1" xfId="0" applyNumberFormat="1" applyFont="1" applyBorder="1" applyAlignment="1">
      <alignment horizontal="center" vertical="center"/>
    </xf>
    <xf numFmtId="0" fontId="7" fillId="0" borderId="0" xfId="0" applyFont="1" applyAlignment="1">
      <alignment horizontal="center" vertical="center"/>
    </xf>
    <xf numFmtId="0" fontId="7" fillId="14" borderId="1" xfId="0" applyFont="1" applyFill="1" applyBorder="1" applyAlignment="1">
      <alignment horizontal="center" vertical="center" wrapText="1"/>
    </xf>
    <xf numFmtId="2" fontId="7" fillId="0" borderId="1" xfId="0" applyNumberFormat="1" applyFont="1" applyBorder="1" applyAlignment="1">
      <alignment horizontal="center" vertical="center"/>
    </xf>
    <xf numFmtId="0" fontId="7"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7" fillId="13"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10" fontId="10" fillId="0" borderId="1" xfId="1" applyNumberFormat="1" applyFont="1" applyBorder="1"/>
    <xf numFmtId="10" fontId="7" fillId="11" borderId="1" xfId="1" applyNumberFormat="1" applyFont="1" applyFill="1" applyBorder="1" applyAlignment="1">
      <alignment vertical="center"/>
    </xf>
    <xf numFmtId="0" fontId="2" fillId="0" borderId="0" xfId="0" applyFont="1" applyAlignment="1">
      <alignment vertical="top"/>
    </xf>
    <xf numFmtId="10" fontId="7" fillId="7" borderId="1" xfId="1" applyNumberFormat="1" applyFont="1" applyFill="1" applyBorder="1" applyAlignment="1">
      <alignment vertical="center"/>
    </xf>
    <xf numFmtId="10" fontId="7" fillId="10" borderId="1" xfId="1" applyNumberFormat="1" applyFont="1" applyFill="1" applyBorder="1" applyAlignment="1">
      <alignment vertical="center"/>
    </xf>
    <xf numFmtId="10" fontId="6" fillId="11" borderId="2" xfId="1" applyNumberFormat="1" applyFont="1" applyFill="1" applyBorder="1" applyAlignment="1">
      <alignment vertical="center"/>
    </xf>
    <xf numFmtId="10" fontId="6" fillId="5" borderId="2" xfId="1" applyNumberFormat="1" applyFont="1" applyFill="1" applyBorder="1" applyAlignment="1">
      <alignment vertical="center"/>
    </xf>
    <xf numFmtId="10" fontId="7" fillId="5" borderId="1" xfId="1" applyNumberFormat="1" applyFont="1" applyFill="1" applyBorder="1" applyAlignment="1">
      <alignment horizontal="right" vertical="center"/>
    </xf>
    <xf numFmtId="10" fontId="7" fillId="5" borderId="1" xfId="1" applyNumberFormat="1" applyFont="1" applyFill="1" applyBorder="1" applyAlignment="1">
      <alignment vertical="center"/>
    </xf>
    <xf numFmtId="10" fontId="7" fillId="11" borderId="1" xfId="1" applyNumberFormat="1" applyFont="1" applyFill="1" applyBorder="1"/>
    <xf numFmtId="10" fontId="10" fillId="11" borderId="1" xfId="1" applyNumberFormat="1" applyFont="1" applyFill="1" applyBorder="1"/>
    <xf numFmtId="0" fontId="6" fillId="5" borderId="3" xfId="0" applyFont="1" applyFill="1" applyBorder="1" applyAlignment="1">
      <alignment horizontal="left" vertical="center"/>
    </xf>
    <xf numFmtId="0" fontId="6" fillId="5" borderId="4" xfId="0" applyFont="1" applyFill="1" applyBorder="1" applyAlignment="1">
      <alignment horizontal="left" vertical="center"/>
    </xf>
    <xf numFmtId="0" fontId="6" fillId="4" borderId="3" xfId="0" applyFont="1" applyFill="1" applyBorder="1" applyAlignment="1">
      <alignment horizontal="center" vertical="top" wrapText="1"/>
    </xf>
    <xf numFmtId="0" fontId="6" fillId="4" borderId="5" xfId="0" applyFont="1" applyFill="1" applyBorder="1" applyAlignment="1">
      <alignment horizontal="center" vertical="top" wrapText="1"/>
    </xf>
    <xf numFmtId="0" fontId="6" fillId="3" borderId="4" xfId="0" applyFont="1" applyFill="1" applyBorder="1" applyAlignment="1">
      <alignment horizontal="left" vertical="center"/>
    </xf>
    <xf numFmtId="0" fontId="6" fillId="3" borderId="14" xfId="0" applyFont="1" applyFill="1" applyBorder="1" applyAlignment="1">
      <alignment horizontal="left" vertical="center"/>
    </xf>
    <xf numFmtId="0" fontId="6" fillId="3" borderId="9" xfId="0" applyFont="1" applyFill="1" applyBorder="1" applyAlignment="1">
      <alignment horizontal="left" vertical="center"/>
    </xf>
    <xf numFmtId="0" fontId="6" fillId="4" borderId="4" xfId="0" applyFont="1" applyFill="1" applyBorder="1" applyAlignment="1">
      <alignment horizontal="center" vertical="top" wrapText="1"/>
    </xf>
    <xf numFmtId="0" fontId="6" fillId="4" borderId="14" xfId="0" applyFont="1" applyFill="1" applyBorder="1" applyAlignment="1">
      <alignment horizontal="center" vertical="top" wrapText="1"/>
    </xf>
    <xf numFmtId="0" fontId="2" fillId="0" borderId="0" xfId="0" applyFont="1" applyBorder="1" applyAlignment="1">
      <alignment horizontal="center"/>
    </xf>
    <xf numFmtId="0" fontId="2" fillId="0" borderId="0" xfId="0" applyFont="1" applyAlignment="1">
      <alignment horizont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3" xfId="0" applyFont="1" applyFill="1" applyBorder="1" applyAlignment="1">
      <alignment horizontal="center" vertical="center"/>
    </xf>
    <xf numFmtId="0" fontId="6" fillId="0" borderId="0" xfId="0" applyFont="1" applyAlignment="1">
      <alignment horizontal="center" vertical="center"/>
    </xf>
    <xf numFmtId="0" fontId="7" fillId="0" borderId="4" xfId="0" applyFont="1" applyBorder="1" applyAlignment="1">
      <alignment horizontal="left"/>
    </xf>
    <xf numFmtId="0" fontId="7" fillId="0" borderId="14" xfId="0" applyFont="1" applyBorder="1" applyAlignment="1">
      <alignment horizontal="left"/>
    </xf>
    <xf numFmtId="0" fontId="6" fillId="0" borderId="4" xfId="0" applyFont="1" applyBorder="1" applyAlignment="1">
      <alignment horizontal="left"/>
    </xf>
    <xf numFmtId="0" fontId="6" fillId="0" borderId="14" xfId="0" applyFont="1" applyBorder="1" applyAlignment="1">
      <alignment horizontal="left"/>
    </xf>
    <xf numFmtId="0" fontId="6" fillId="4" borderId="14"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6" fillId="4" borderId="16"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15"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18</xdr:col>
      <xdr:colOff>7619</xdr:colOff>
      <xdr:row>1</xdr:row>
      <xdr:rowOff>171028</xdr:rowOff>
    </xdr:from>
    <xdr:to>
      <xdr:col>25</xdr:col>
      <xdr:colOff>618067</xdr:colOff>
      <xdr:row>17</xdr:row>
      <xdr:rowOff>152401</xdr:rowOff>
    </xdr:to>
    <xdr:sp macro="" textlink="">
      <xdr:nvSpPr>
        <xdr:cNvPr id="2" name="TextBox 1">
          <a:extLst>
            <a:ext uri="{FF2B5EF4-FFF2-40B4-BE49-F238E27FC236}">
              <a16:creationId xmlns:a16="http://schemas.microsoft.com/office/drawing/2014/main" id="{3D25C26C-949B-7E79-6D41-E553661E57CC}"/>
            </a:ext>
          </a:extLst>
        </xdr:cNvPr>
        <xdr:cNvSpPr txBox="1"/>
      </xdr:nvSpPr>
      <xdr:spPr>
        <a:xfrm>
          <a:off x="10066019" y="365761"/>
          <a:ext cx="5055448" cy="1869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Note:</a:t>
          </a:r>
        </a:p>
        <a:p>
          <a:pPr algn="l"/>
          <a:r>
            <a:rPr lang="en-GB" sz="1100" b="0" i="0" u="none" strike="noStrike">
              <a:solidFill>
                <a:schemeClr val="dk1"/>
              </a:solidFill>
              <a:effectLst/>
              <a:latin typeface="+mn-lt"/>
              <a:ea typeface="+mn-ea"/>
              <a:cs typeface="+mn-cs"/>
            </a:rPr>
            <a:t>1. In term of non-current assets, </a:t>
          </a:r>
          <a:r>
            <a:rPr lang="en-GB" sz="1100" b="1" i="0" u="none" strike="noStrike">
              <a:solidFill>
                <a:schemeClr val="dk1"/>
              </a:solidFill>
              <a:effectLst/>
              <a:latin typeface="+mn-lt"/>
              <a:ea typeface="+mn-ea"/>
              <a:cs typeface="+mn-cs"/>
            </a:rPr>
            <a:t>Property, Plant and Equipment (PPE) </a:t>
          </a:r>
          <a:r>
            <a:rPr lang="en-GB" sz="1100" b="0" i="0" u="none" strike="noStrike">
              <a:solidFill>
                <a:schemeClr val="dk1"/>
              </a:solidFill>
              <a:effectLst/>
              <a:latin typeface="+mn-lt"/>
              <a:ea typeface="+mn-ea"/>
              <a:cs typeface="+mn-cs"/>
            </a:rPr>
            <a:t>contributes the most relative to the total assets. This condition is good as the</a:t>
          </a:r>
          <a:r>
            <a:rPr lang="en-GB" sz="1100" b="0" i="0" u="none" strike="noStrike" baseline="0">
              <a:solidFill>
                <a:schemeClr val="dk1"/>
              </a:solidFill>
              <a:effectLst/>
              <a:latin typeface="+mn-lt"/>
              <a:ea typeface="+mn-ea"/>
              <a:cs typeface="+mn-cs"/>
            </a:rPr>
            <a:t> firm</a:t>
          </a:r>
          <a:r>
            <a:rPr lang="en-GB" sz="1100" b="0" i="0" u="none" strike="noStrike">
              <a:solidFill>
                <a:schemeClr val="dk1"/>
              </a:solidFill>
              <a:effectLst/>
              <a:latin typeface="+mn-lt"/>
              <a:ea typeface="+mn-ea"/>
              <a:cs typeface="+mn-cs"/>
            </a:rPr>
            <a:t> main investments are on that assets.</a:t>
          </a:r>
          <a:r>
            <a:rPr lang="en-GB"/>
            <a:t> In addition, PPE</a:t>
          </a:r>
          <a:r>
            <a:rPr lang="en-GB" baseline="0"/>
            <a:t> still presents growth despite the growth is relatively small compared to other non-current assets.</a:t>
          </a:r>
        </a:p>
        <a:p>
          <a:pPr algn="l"/>
          <a:r>
            <a:rPr lang="en-GB" sz="1100" baseline="0"/>
            <a:t>2. On the current assets, </a:t>
          </a:r>
          <a:r>
            <a:rPr lang="en-GB" sz="1100" b="1" baseline="0"/>
            <a:t>Cash and Cash Equivalents </a:t>
          </a:r>
          <a:r>
            <a:rPr lang="en-GB" sz="1100" baseline="0"/>
            <a:t>contribute the most to the asset structure and they tend to increase year by year. it indicates that the firm performs better in collecting cash. this is confirmed as well by the decreasing contribution of trade receivables along with the growth. this shows the excellent performance of the firm in converting receivables into cash.</a:t>
          </a:r>
          <a:endParaRPr lang="en-GB" sz="1100"/>
        </a:p>
      </xdr:txBody>
    </xdr:sp>
    <xdr:clientData/>
  </xdr:twoCellAnchor>
  <xdr:twoCellAnchor>
    <xdr:from>
      <xdr:col>17</xdr:col>
      <xdr:colOff>634152</xdr:colOff>
      <xdr:row>31</xdr:row>
      <xdr:rowOff>1694</xdr:rowOff>
    </xdr:from>
    <xdr:to>
      <xdr:col>25</xdr:col>
      <xdr:colOff>609600</xdr:colOff>
      <xdr:row>42</xdr:row>
      <xdr:rowOff>177800</xdr:rowOff>
    </xdr:to>
    <xdr:sp macro="" textlink="">
      <xdr:nvSpPr>
        <xdr:cNvPr id="3" name="TextBox 2">
          <a:extLst>
            <a:ext uri="{FF2B5EF4-FFF2-40B4-BE49-F238E27FC236}">
              <a16:creationId xmlns:a16="http://schemas.microsoft.com/office/drawing/2014/main" id="{6445F39E-BDDA-4D05-99A8-5647ACDC7F3A}"/>
            </a:ext>
          </a:extLst>
        </xdr:cNvPr>
        <xdr:cNvSpPr txBox="1"/>
      </xdr:nvSpPr>
      <xdr:spPr>
        <a:xfrm>
          <a:off x="10057552" y="3727027"/>
          <a:ext cx="5055448" cy="1869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Note:</a:t>
          </a:r>
        </a:p>
        <a:p>
          <a:r>
            <a:rPr lang="en-GB" sz="1100" b="0" i="0" u="none" strike="noStrike">
              <a:solidFill>
                <a:schemeClr val="dk1"/>
              </a:solidFill>
              <a:effectLst/>
              <a:latin typeface="+mn-lt"/>
              <a:ea typeface="+mn-ea"/>
              <a:cs typeface="+mn-cs"/>
            </a:rPr>
            <a:t>1.</a:t>
          </a:r>
          <a:r>
            <a:rPr lang="en-GB" sz="1100" b="0" i="0" u="none" strike="noStrike" baseline="0">
              <a:solidFill>
                <a:schemeClr val="dk1"/>
              </a:solidFill>
              <a:effectLst/>
              <a:latin typeface="+mn-lt"/>
              <a:ea typeface="+mn-ea"/>
              <a:cs typeface="+mn-cs"/>
            </a:rPr>
            <a:t> Overall, the contibution of equity in financing the firm asset increases year by year, meanwhile the contribution of liability decreases year by year. this condition is good for the firm as it reduces its dependence on debt and become less risky.</a:t>
          </a:r>
        </a:p>
        <a:p>
          <a:r>
            <a:rPr lang="en-GB" sz="1100" b="0" i="0" u="none" strike="noStrike" baseline="0">
              <a:solidFill>
                <a:schemeClr val="dk1"/>
              </a:solidFill>
              <a:effectLst/>
              <a:latin typeface="+mn-lt"/>
              <a:ea typeface="+mn-ea"/>
              <a:cs typeface="+mn-cs"/>
            </a:rPr>
            <a:t>2. However, the structure of current liabilities are very high with bank loans and borrowing dominate the share of the current liabilities. although the percentages decrease over the years but the compositions remain high and very risky. this condition is not good for the firm as it needs to pay off the current liabilities in near future.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64</xdr:row>
      <xdr:rowOff>85725</xdr:rowOff>
    </xdr:from>
    <xdr:to>
      <xdr:col>6</xdr:col>
      <xdr:colOff>0</xdr:colOff>
      <xdr:row>65</xdr:row>
      <xdr:rowOff>171450</xdr:rowOff>
    </xdr:to>
    <xdr:cxnSp macro="">
      <xdr:nvCxnSpPr>
        <xdr:cNvPr id="3" name="Łącznik łamany 2">
          <a:extLst>
            <a:ext uri="{FF2B5EF4-FFF2-40B4-BE49-F238E27FC236}">
              <a16:creationId xmlns:a16="http://schemas.microsoft.com/office/drawing/2014/main" id="{00000000-0008-0000-0600-000003000000}"/>
            </a:ext>
          </a:extLst>
        </xdr:cNvPr>
        <xdr:cNvCxnSpPr/>
      </xdr:nvCxnSpPr>
      <xdr:spPr>
        <a:xfrm>
          <a:off x="5334000" y="14944725"/>
          <a:ext cx="1181100" cy="276225"/>
        </a:xfrm>
        <a:prstGeom prst="bentConnector3">
          <a:avLst>
            <a:gd name="adj1" fmla="val 6451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66</xdr:row>
      <xdr:rowOff>85725</xdr:rowOff>
    </xdr:from>
    <xdr:to>
      <xdr:col>8</xdr:col>
      <xdr:colOff>9525</xdr:colOff>
      <xdr:row>67</xdr:row>
      <xdr:rowOff>171450</xdr:rowOff>
    </xdr:to>
    <xdr:cxnSp macro="">
      <xdr:nvCxnSpPr>
        <xdr:cNvPr id="4" name="Łącznik łamany 3">
          <a:extLst>
            <a:ext uri="{FF2B5EF4-FFF2-40B4-BE49-F238E27FC236}">
              <a16:creationId xmlns:a16="http://schemas.microsoft.com/office/drawing/2014/main" id="{00000000-0008-0000-0600-000004000000}"/>
            </a:ext>
          </a:extLst>
        </xdr:cNvPr>
        <xdr:cNvCxnSpPr/>
      </xdr:nvCxnSpPr>
      <xdr:spPr>
        <a:xfrm>
          <a:off x="5343525" y="15516225"/>
          <a:ext cx="1181100" cy="27622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68</xdr:row>
      <xdr:rowOff>85725</xdr:rowOff>
    </xdr:from>
    <xdr:to>
      <xdr:col>6</xdr:col>
      <xdr:colOff>0</xdr:colOff>
      <xdr:row>69</xdr:row>
      <xdr:rowOff>104775</xdr:rowOff>
    </xdr:to>
    <xdr:cxnSp macro="">
      <xdr:nvCxnSpPr>
        <xdr:cNvPr id="6" name="Łącznik łamany 5">
          <a:extLst>
            <a:ext uri="{FF2B5EF4-FFF2-40B4-BE49-F238E27FC236}">
              <a16:creationId xmlns:a16="http://schemas.microsoft.com/office/drawing/2014/main" id="{00000000-0008-0000-0600-000006000000}"/>
            </a:ext>
          </a:extLst>
        </xdr:cNvPr>
        <xdr:cNvCxnSpPr/>
      </xdr:nvCxnSpPr>
      <xdr:spPr>
        <a:xfrm>
          <a:off x="5343525" y="16087725"/>
          <a:ext cx="1171575" cy="209550"/>
        </a:xfrm>
        <a:prstGeom prst="bentConnector3">
          <a:avLst>
            <a:gd name="adj1" fmla="val 6382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69</xdr:row>
      <xdr:rowOff>104775</xdr:rowOff>
    </xdr:from>
    <xdr:to>
      <xdr:col>8</xdr:col>
      <xdr:colOff>9525</xdr:colOff>
      <xdr:row>70</xdr:row>
      <xdr:rowOff>123825</xdr:rowOff>
    </xdr:to>
    <xdr:cxnSp macro="">
      <xdr:nvCxnSpPr>
        <xdr:cNvPr id="9" name="Łącznik łamany 8">
          <a:extLst>
            <a:ext uri="{FF2B5EF4-FFF2-40B4-BE49-F238E27FC236}">
              <a16:creationId xmlns:a16="http://schemas.microsoft.com/office/drawing/2014/main" id="{00000000-0008-0000-0600-000009000000}"/>
            </a:ext>
          </a:extLst>
        </xdr:cNvPr>
        <xdr:cNvCxnSpPr/>
      </xdr:nvCxnSpPr>
      <xdr:spPr>
        <a:xfrm flipV="1">
          <a:off x="5334000" y="16297275"/>
          <a:ext cx="1190625" cy="209550"/>
        </a:xfrm>
        <a:prstGeom prst="bentConnector3">
          <a:avLst>
            <a:gd name="adj1" fmla="val 636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67</xdr:row>
      <xdr:rowOff>171450</xdr:rowOff>
    </xdr:from>
    <xdr:to>
      <xdr:col>8</xdr:col>
      <xdr:colOff>9525</xdr:colOff>
      <xdr:row>68</xdr:row>
      <xdr:rowOff>85725</xdr:rowOff>
    </xdr:to>
    <xdr:cxnSp macro="">
      <xdr:nvCxnSpPr>
        <xdr:cNvPr id="18" name="Łącznik łamany 17">
          <a:extLst>
            <a:ext uri="{FF2B5EF4-FFF2-40B4-BE49-F238E27FC236}">
              <a16:creationId xmlns:a16="http://schemas.microsoft.com/office/drawing/2014/main" id="{00000000-0008-0000-0600-000012000000}"/>
            </a:ext>
          </a:extLst>
        </xdr:cNvPr>
        <xdr:cNvCxnSpPr/>
      </xdr:nvCxnSpPr>
      <xdr:spPr>
        <a:xfrm flipV="1">
          <a:off x="5343525" y="15792450"/>
          <a:ext cx="1181100" cy="29527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1143000</xdr:colOff>
      <xdr:row>65</xdr:row>
      <xdr:rowOff>171450</xdr:rowOff>
    </xdr:from>
    <xdr:to>
      <xdr:col>6</xdr:col>
      <xdr:colOff>0</xdr:colOff>
      <xdr:row>66</xdr:row>
      <xdr:rowOff>85725</xdr:rowOff>
    </xdr:to>
    <xdr:cxnSp macro="">
      <xdr:nvCxnSpPr>
        <xdr:cNvPr id="22" name="Łącznik łamany 21">
          <a:extLst>
            <a:ext uri="{FF2B5EF4-FFF2-40B4-BE49-F238E27FC236}">
              <a16:creationId xmlns:a16="http://schemas.microsoft.com/office/drawing/2014/main" id="{00000000-0008-0000-0600-000016000000}"/>
            </a:ext>
          </a:extLst>
        </xdr:cNvPr>
        <xdr:cNvCxnSpPr/>
      </xdr:nvCxnSpPr>
      <xdr:spPr>
        <a:xfrm flipV="1">
          <a:off x="5295900" y="15220950"/>
          <a:ext cx="1219200" cy="295275"/>
        </a:xfrm>
        <a:prstGeom prst="bentConnector3">
          <a:avLst>
            <a:gd name="adj1" fmla="val 6562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65</xdr:row>
      <xdr:rowOff>200025</xdr:rowOff>
    </xdr:from>
    <xdr:to>
      <xdr:col>13</xdr:col>
      <xdr:colOff>0</xdr:colOff>
      <xdr:row>66</xdr:row>
      <xdr:rowOff>66675</xdr:rowOff>
    </xdr:to>
    <xdr:cxnSp macro="">
      <xdr:nvCxnSpPr>
        <xdr:cNvPr id="30" name="Łącznik łamany 29">
          <a:extLst>
            <a:ext uri="{FF2B5EF4-FFF2-40B4-BE49-F238E27FC236}">
              <a16:creationId xmlns:a16="http://schemas.microsoft.com/office/drawing/2014/main" id="{00000000-0008-0000-0600-00001E000000}"/>
            </a:ext>
          </a:extLst>
        </xdr:cNvPr>
        <xdr:cNvCxnSpPr/>
      </xdr:nvCxnSpPr>
      <xdr:spPr>
        <a:xfrm>
          <a:off x="8467725" y="15249525"/>
          <a:ext cx="619125" cy="247650"/>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66</xdr:row>
      <xdr:rowOff>66675</xdr:rowOff>
    </xdr:from>
    <xdr:to>
      <xdr:col>13</xdr:col>
      <xdr:colOff>0</xdr:colOff>
      <xdr:row>67</xdr:row>
      <xdr:rowOff>209550</xdr:rowOff>
    </xdr:to>
    <xdr:cxnSp macro="">
      <xdr:nvCxnSpPr>
        <xdr:cNvPr id="33" name="Łącznik łamany 32">
          <a:extLst>
            <a:ext uri="{FF2B5EF4-FFF2-40B4-BE49-F238E27FC236}">
              <a16:creationId xmlns:a16="http://schemas.microsoft.com/office/drawing/2014/main" id="{00000000-0008-0000-0600-000021000000}"/>
            </a:ext>
          </a:extLst>
        </xdr:cNvPr>
        <xdr:cNvCxnSpPr/>
      </xdr:nvCxnSpPr>
      <xdr:spPr>
        <a:xfrm flipV="1">
          <a:off x="8467725" y="15497175"/>
          <a:ext cx="619125" cy="333375"/>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66</xdr:row>
      <xdr:rowOff>104775</xdr:rowOff>
    </xdr:from>
    <xdr:to>
      <xdr:col>14</xdr:col>
      <xdr:colOff>0</xdr:colOff>
      <xdr:row>67</xdr:row>
      <xdr:rowOff>180975</xdr:rowOff>
    </xdr:to>
    <xdr:cxnSp macro="">
      <xdr:nvCxnSpPr>
        <xdr:cNvPr id="44" name="Łącznik łamany 43">
          <a:extLst>
            <a:ext uri="{FF2B5EF4-FFF2-40B4-BE49-F238E27FC236}">
              <a16:creationId xmlns:a16="http://schemas.microsoft.com/office/drawing/2014/main" id="{00000000-0008-0000-0600-00002C000000}"/>
            </a:ext>
          </a:extLst>
        </xdr:cNvPr>
        <xdr:cNvCxnSpPr/>
      </xdr:nvCxnSpPr>
      <xdr:spPr>
        <a:xfrm>
          <a:off x="10287000" y="15535275"/>
          <a:ext cx="1181100" cy="266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67</xdr:row>
      <xdr:rowOff>180975</xdr:rowOff>
    </xdr:from>
    <xdr:to>
      <xdr:col>14</xdr:col>
      <xdr:colOff>9525</xdr:colOff>
      <xdr:row>69</xdr:row>
      <xdr:rowOff>104776</xdr:rowOff>
    </xdr:to>
    <xdr:cxnSp macro="">
      <xdr:nvCxnSpPr>
        <xdr:cNvPr id="47" name="Łącznik łamany 46">
          <a:extLst>
            <a:ext uri="{FF2B5EF4-FFF2-40B4-BE49-F238E27FC236}">
              <a16:creationId xmlns:a16="http://schemas.microsoft.com/office/drawing/2014/main" id="{00000000-0008-0000-0600-00002F000000}"/>
            </a:ext>
          </a:extLst>
        </xdr:cNvPr>
        <xdr:cNvCxnSpPr/>
      </xdr:nvCxnSpPr>
      <xdr:spPr>
        <a:xfrm flipV="1">
          <a:off x="8467725" y="15801975"/>
          <a:ext cx="3009900" cy="495301"/>
        </a:xfrm>
        <a:prstGeom prst="bentConnector3">
          <a:avLst>
            <a:gd name="adj1" fmla="val 800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72</xdr:row>
      <xdr:rowOff>85725</xdr:rowOff>
    </xdr:from>
    <xdr:to>
      <xdr:col>6</xdr:col>
      <xdr:colOff>0</xdr:colOff>
      <xdr:row>73</xdr:row>
      <xdr:rowOff>171450</xdr:rowOff>
    </xdr:to>
    <xdr:cxnSp macro="">
      <xdr:nvCxnSpPr>
        <xdr:cNvPr id="74" name="Łącznik łamany 73">
          <a:extLst>
            <a:ext uri="{FF2B5EF4-FFF2-40B4-BE49-F238E27FC236}">
              <a16:creationId xmlns:a16="http://schemas.microsoft.com/office/drawing/2014/main" id="{00000000-0008-0000-0600-00004A000000}"/>
            </a:ext>
          </a:extLst>
        </xdr:cNvPr>
        <xdr:cNvCxnSpPr/>
      </xdr:nvCxnSpPr>
      <xdr:spPr>
        <a:xfrm>
          <a:off x="5334000" y="14944725"/>
          <a:ext cx="1181100" cy="276225"/>
        </a:xfrm>
        <a:prstGeom prst="bentConnector3">
          <a:avLst>
            <a:gd name="adj1" fmla="val 6451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74</xdr:row>
      <xdr:rowOff>85725</xdr:rowOff>
    </xdr:from>
    <xdr:to>
      <xdr:col>8</xdr:col>
      <xdr:colOff>9525</xdr:colOff>
      <xdr:row>75</xdr:row>
      <xdr:rowOff>171450</xdr:rowOff>
    </xdr:to>
    <xdr:cxnSp macro="">
      <xdr:nvCxnSpPr>
        <xdr:cNvPr id="75" name="Łącznik łamany 74">
          <a:extLst>
            <a:ext uri="{FF2B5EF4-FFF2-40B4-BE49-F238E27FC236}">
              <a16:creationId xmlns:a16="http://schemas.microsoft.com/office/drawing/2014/main" id="{00000000-0008-0000-0600-00004B000000}"/>
            </a:ext>
          </a:extLst>
        </xdr:cNvPr>
        <xdr:cNvCxnSpPr/>
      </xdr:nvCxnSpPr>
      <xdr:spPr>
        <a:xfrm>
          <a:off x="5343525" y="15516225"/>
          <a:ext cx="1181100" cy="27622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76</xdr:row>
      <xdr:rowOff>85725</xdr:rowOff>
    </xdr:from>
    <xdr:to>
      <xdr:col>6</xdr:col>
      <xdr:colOff>0</xdr:colOff>
      <xdr:row>77</xdr:row>
      <xdr:rowOff>104775</xdr:rowOff>
    </xdr:to>
    <xdr:cxnSp macro="">
      <xdr:nvCxnSpPr>
        <xdr:cNvPr id="76" name="Łącznik łamany 75">
          <a:extLst>
            <a:ext uri="{FF2B5EF4-FFF2-40B4-BE49-F238E27FC236}">
              <a16:creationId xmlns:a16="http://schemas.microsoft.com/office/drawing/2014/main" id="{00000000-0008-0000-0600-00004C000000}"/>
            </a:ext>
          </a:extLst>
        </xdr:cNvPr>
        <xdr:cNvCxnSpPr/>
      </xdr:nvCxnSpPr>
      <xdr:spPr>
        <a:xfrm>
          <a:off x="5343525" y="16087725"/>
          <a:ext cx="1171575" cy="209550"/>
        </a:xfrm>
        <a:prstGeom prst="bentConnector3">
          <a:avLst>
            <a:gd name="adj1" fmla="val 6382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77</xdr:row>
      <xdr:rowOff>104775</xdr:rowOff>
    </xdr:from>
    <xdr:to>
      <xdr:col>8</xdr:col>
      <xdr:colOff>9525</xdr:colOff>
      <xdr:row>78</xdr:row>
      <xdr:rowOff>123825</xdr:rowOff>
    </xdr:to>
    <xdr:cxnSp macro="">
      <xdr:nvCxnSpPr>
        <xdr:cNvPr id="77" name="Łącznik łamany 76">
          <a:extLst>
            <a:ext uri="{FF2B5EF4-FFF2-40B4-BE49-F238E27FC236}">
              <a16:creationId xmlns:a16="http://schemas.microsoft.com/office/drawing/2014/main" id="{00000000-0008-0000-0600-00004D000000}"/>
            </a:ext>
          </a:extLst>
        </xdr:cNvPr>
        <xdr:cNvCxnSpPr/>
      </xdr:nvCxnSpPr>
      <xdr:spPr>
        <a:xfrm flipV="1">
          <a:off x="5334000" y="16297275"/>
          <a:ext cx="1190625" cy="209550"/>
        </a:xfrm>
        <a:prstGeom prst="bentConnector3">
          <a:avLst>
            <a:gd name="adj1" fmla="val 636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75</xdr:row>
      <xdr:rowOff>171450</xdr:rowOff>
    </xdr:from>
    <xdr:to>
      <xdr:col>8</xdr:col>
      <xdr:colOff>9525</xdr:colOff>
      <xdr:row>76</xdr:row>
      <xdr:rowOff>85725</xdr:rowOff>
    </xdr:to>
    <xdr:cxnSp macro="">
      <xdr:nvCxnSpPr>
        <xdr:cNvPr id="78" name="Łącznik łamany 77">
          <a:extLst>
            <a:ext uri="{FF2B5EF4-FFF2-40B4-BE49-F238E27FC236}">
              <a16:creationId xmlns:a16="http://schemas.microsoft.com/office/drawing/2014/main" id="{00000000-0008-0000-0600-00004E000000}"/>
            </a:ext>
          </a:extLst>
        </xdr:cNvPr>
        <xdr:cNvCxnSpPr/>
      </xdr:nvCxnSpPr>
      <xdr:spPr>
        <a:xfrm flipV="1">
          <a:off x="5343525" y="15792450"/>
          <a:ext cx="1181100" cy="29527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1143000</xdr:colOff>
      <xdr:row>73</xdr:row>
      <xdr:rowOff>171450</xdr:rowOff>
    </xdr:from>
    <xdr:to>
      <xdr:col>6</xdr:col>
      <xdr:colOff>0</xdr:colOff>
      <xdr:row>74</xdr:row>
      <xdr:rowOff>85725</xdr:rowOff>
    </xdr:to>
    <xdr:cxnSp macro="">
      <xdr:nvCxnSpPr>
        <xdr:cNvPr id="79" name="Łącznik łamany 78">
          <a:extLst>
            <a:ext uri="{FF2B5EF4-FFF2-40B4-BE49-F238E27FC236}">
              <a16:creationId xmlns:a16="http://schemas.microsoft.com/office/drawing/2014/main" id="{00000000-0008-0000-0600-00004F000000}"/>
            </a:ext>
          </a:extLst>
        </xdr:cNvPr>
        <xdr:cNvCxnSpPr/>
      </xdr:nvCxnSpPr>
      <xdr:spPr>
        <a:xfrm flipV="1">
          <a:off x="5295900" y="15220950"/>
          <a:ext cx="1219200" cy="295275"/>
        </a:xfrm>
        <a:prstGeom prst="bentConnector3">
          <a:avLst>
            <a:gd name="adj1" fmla="val 6562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73</xdr:row>
      <xdr:rowOff>200025</xdr:rowOff>
    </xdr:from>
    <xdr:to>
      <xdr:col>13</xdr:col>
      <xdr:colOff>0</xdr:colOff>
      <xdr:row>74</xdr:row>
      <xdr:rowOff>66675</xdr:rowOff>
    </xdr:to>
    <xdr:cxnSp macro="">
      <xdr:nvCxnSpPr>
        <xdr:cNvPr id="80" name="Łącznik łamany 79">
          <a:extLst>
            <a:ext uri="{FF2B5EF4-FFF2-40B4-BE49-F238E27FC236}">
              <a16:creationId xmlns:a16="http://schemas.microsoft.com/office/drawing/2014/main" id="{00000000-0008-0000-0600-000050000000}"/>
            </a:ext>
          </a:extLst>
        </xdr:cNvPr>
        <xdr:cNvCxnSpPr/>
      </xdr:nvCxnSpPr>
      <xdr:spPr>
        <a:xfrm>
          <a:off x="8467725" y="15249525"/>
          <a:ext cx="619125" cy="247650"/>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74</xdr:row>
      <xdr:rowOff>66675</xdr:rowOff>
    </xdr:from>
    <xdr:to>
      <xdr:col>13</xdr:col>
      <xdr:colOff>0</xdr:colOff>
      <xdr:row>75</xdr:row>
      <xdr:rowOff>209550</xdr:rowOff>
    </xdr:to>
    <xdr:cxnSp macro="">
      <xdr:nvCxnSpPr>
        <xdr:cNvPr id="81" name="Łącznik łamany 80">
          <a:extLst>
            <a:ext uri="{FF2B5EF4-FFF2-40B4-BE49-F238E27FC236}">
              <a16:creationId xmlns:a16="http://schemas.microsoft.com/office/drawing/2014/main" id="{00000000-0008-0000-0600-000051000000}"/>
            </a:ext>
          </a:extLst>
        </xdr:cNvPr>
        <xdr:cNvCxnSpPr/>
      </xdr:nvCxnSpPr>
      <xdr:spPr>
        <a:xfrm flipV="1">
          <a:off x="8467725" y="15497175"/>
          <a:ext cx="619125" cy="333375"/>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74</xdr:row>
      <xdr:rowOff>104775</xdr:rowOff>
    </xdr:from>
    <xdr:to>
      <xdr:col>14</xdr:col>
      <xdr:colOff>0</xdr:colOff>
      <xdr:row>75</xdr:row>
      <xdr:rowOff>180975</xdr:rowOff>
    </xdr:to>
    <xdr:cxnSp macro="">
      <xdr:nvCxnSpPr>
        <xdr:cNvPr id="82" name="Łącznik łamany 81">
          <a:extLst>
            <a:ext uri="{FF2B5EF4-FFF2-40B4-BE49-F238E27FC236}">
              <a16:creationId xmlns:a16="http://schemas.microsoft.com/office/drawing/2014/main" id="{00000000-0008-0000-0600-000052000000}"/>
            </a:ext>
          </a:extLst>
        </xdr:cNvPr>
        <xdr:cNvCxnSpPr/>
      </xdr:nvCxnSpPr>
      <xdr:spPr>
        <a:xfrm>
          <a:off x="10287000" y="15535275"/>
          <a:ext cx="1181100" cy="266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75</xdr:row>
      <xdr:rowOff>180975</xdr:rowOff>
    </xdr:from>
    <xdr:to>
      <xdr:col>14</xdr:col>
      <xdr:colOff>9525</xdr:colOff>
      <xdr:row>77</xdr:row>
      <xdr:rowOff>104776</xdr:rowOff>
    </xdr:to>
    <xdr:cxnSp macro="">
      <xdr:nvCxnSpPr>
        <xdr:cNvPr id="83" name="Łącznik łamany 82">
          <a:extLst>
            <a:ext uri="{FF2B5EF4-FFF2-40B4-BE49-F238E27FC236}">
              <a16:creationId xmlns:a16="http://schemas.microsoft.com/office/drawing/2014/main" id="{00000000-0008-0000-0600-000053000000}"/>
            </a:ext>
          </a:extLst>
        </xdr:cNvPr>
        <xdr:cNvCxnSpPr/>
      </xdr:nvCxnSpPr>
      <xdr:spPr>
        <a:xfrm flipV="1">
          <a:off x="8467725" y="15801975"/>
          <a:ext cx="3009900" cy="495301"/>
        </a:xfrm>
        <a:prstGeom prst="bentConnector3">
          <a:avLst>
            <a:gd name="adj1" fmla="val 800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80</xdr:row>
      <xdr:rowOff>85725</xdr:rowOff>
    </xdr:from>
    <xdr:to>
      <xdr:col>6</xdr:col>
      <xdr:colOff>0</xdr:colOff>
      <xdr:row>81</xdr:row>
      <xdr:rowOff>171450</xdr:rowOff>
    </xdr:to>
    <xdr:cxnSp macro="">
      <xdr:nvCxnSpPr>
        <xdr:cNvPr id="94" name="Łącznik łamany 93">
          <a:extLst>
            <a:ext uri="{FF2B5EF4-FFF2-40B4-BE49-F238E27FC236}">
              <a16:creationId xmlns:a16="http://schemas.microsoft.com/office/drawing/2014/main" id="{00000000-0008-0000-0600-00005E000000}"/>
            </a:ext>
          </a:extLst>
        </xdr:cNvPr>
        <xdr:cNvCxnSpPr/>
      </xdr:nvCxnSpPr>
      <xdr:spPr>
        <a:xfrm>
          <a:off x="5334000" y="16849725"/>
          <a:ext cx="1181100" cy="276225"/>
        </a:xfrm>
        <a:prstGeom prst="bentConnector3">
          <a:avLst>
            <a:gd name="adj1" fmla="val 6451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82</xdr:row>
      <xdr:rowOff>85725</xdr:rowOff>
    </xdr:from>
    <xdr:to>
      <xdr:col>8</xdr:col>
      <xdr:colOff>9525</xdr:colOff>
      <xdr:row>83</xdr:row>
      <xdr:rowOff>171450</xdr:rowOff>
    </xdr:to>
    <xdr:cxnSp macro="">
      <xdr:nvCxnSpPr>
        <xdr:cNvPr id="95" name="Łącznik łamany 94">
          <a:extLst>
            <a:ext uri="{FF2B5EF4-FFF2-40B4-BE49-F238E27FC236}">
              <a16:creationId xmlns:a16="http://schemas.microsoft.com/office/drawing/2014/main" id="{00000000-0008-0000-0600-00005F000000}"/>
            </a:ext>
          </a:extLst>
        </xdr:cNvPr>
        <xdr:cNvCxnSpPr/>
      </xdr:nvCxnSpPr>
      <xdr:spPr>
        <a:xfrm>
          <a:off x="5343525" y="17421225"/>
          <a:ext cx="1181100" cy="27622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84</xdr:row>
      <xdr:rowOff>85725</xdr:rowOff>
    </xdr:from>
    <xdr:to>
      <xdr:col>6</xdr:col>
      <xdr:colOff>0</xdr:colOff>
      <xdr:row>85</xdr:row>
      <xdr:rowOff>104775</xdr:rowOff>
    </xdr:to>
    <xdr:cxnSp macro="">
      <xdr:nvCxnSpPr>
        <xdr:cNvPr id="96" name="Łącznik łamany 95">
          <a:extLst>
            <a:ext uri="{FF2B5EF4-FFF2-40B4-BE49-F238E27FC236}">
              <a16:creationId xmlns:a16="http://schemas.microsoft.com/office/drawing/2014/main" id="{00000000-0008-0000-0600-000060000000}"/>
            </a:ext>
          </a:extLst>
        </xdr:cNvPr>
        <xdr:cNvCxnSpPr/>
      </xdr:nvCxnSpPr>
      <xdr:spPr>
        <a:xfrm>
          <a:off x="5343525" y="17992725"/>
          <a:ext cx="1171575" cy="209550"/>
        </a:xfrm>
        <a:prstGeom prst="bentConnector3">
          <a:avLst>
            <a:gd name="adj1" fmla="val 6382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85</xdr:row>
      <xdr:rowOff>104775</xdr:rowOff>
    </xdr:from>
    <xdr:to>
      <xdr:col>8</xdr:col>
      <xdr:colOff>9525</xdr:colOff>
      <xdr:row>86</xdr:row>
      <xdr:rowOff>123825</xdr:rowOff>
    </xdr:to>
    <xdr:cxnSp macro="">
      <xdr:nvCxnSpPr>
        <xdr:cNvPr id="97" name="Łącznik łamany 96">
          <a:extLst>
            <a:ext uri="{FF2B5EF4-FFF2-40B4-BE49-F238E27FC236}">
              <a16:creationId xmlns:a16="http://schemas.microsoft.com/office/drawing/2014/main" id="{00000000-0008-0000-0600-000061000000}"/>
            </a:ext>
          </a:extLst>
        </xdr:cNvPr>
        <xdr:cNvCxnSpPr/>
      </xdr:nvCxnSpPr>
      <xdr:spPr>
        <a:xfrm flipV="1">
          <a:off x="5334000" y="18202275"/>
          <a:ext cx="1190625" cy="209550"/>
        </a:xfrm>
        <a:prstGeom prst="bentConnector3">
          <a:avLst>
            <a:gd name="adj1" fmla="val 636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83</xdr:row>
      <xdr:rowOff>171450</xdr:rowOff>
    </xdr:from>
    <xdr:to>
      <xdr:col>8</xdr:col>
      <xdr:colOff>9525</xdr:colOff>
      <xdr:row>84</xdr:row>
      <xdr:rowOff>85725</xdr:rowOff>
    </xdr:to>
    <xdr:cxnSp macro="">
      <xdr:nvCxnSpPr>
        <xdr:cNvPr id="98" name="Łącznik łamany 97">
          <a:extLst>
            <a:ext uri="{FF2B5EF4-FFF2-40B4-BE49-F238E27FC236}">
              <a16:creationId xmlns:a16="http://schemas.microsoft.com/office/drawing/2014/main" id="{00000000-0008-0000-0600-000062000000}"/>
            </a:ext>
          </a:extLst>
        </xdr:cNvPr>
        <xdr:cNvCxnSpPr/>
      </xdr:nvCxnSpPr>
      <xdr:spPr>
        <a:xfrm flipV="1">
          <a:off x="5343525" y="17697450"/>
          <a:ext cx="1181100" cy="29527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1143000</xdr:colOff>
      <xdr:row>81</xdr:row>
      <xdr:rowOff>171450</xdr:rowOff>
    </xdr:from>
    <xdr:to>
      <xdr:col>6</xdr:col>
      <xdr:colOff>0</xdr:colOff>
      <xdr:row>82</xdr:row>
      <xdr:rowOff>85725</xdr:rowOff>
    </xdr:to>
    <xdr:cxnSp macro="">
      <xdr:nvCxnSpPr>
        <xdr:cNvPr id="99" name="Łącznik łamany 98">
          <a:extLst>
            <a:ext uri="{FF2B5EF4-FFF2-40B4-BE49-F238E27FC236}">
              <a16:creationId xmlns:a16="http://schemas.microsoft.com/office/drawing/2014/main" id="{00000000-0008-0000-0600-000063000000}"/>
            </a:ext>
          </a:extLst>
        </xdr:cNvPr>
        <xdr:cNvCxnSpPr/>
      </xdr:nvCxnSpPr>
      <xdr:spPr>
        <a:xfrm flipV="1">
          <a:off x="5295900" y="17125950"/>
          <a:ext cx="1219200" cy="295275"/>
        </a:xfrm>
        <a:prstGeom prst="bentConnector3">
          <a:avLst>
            <a:gd name="adj1" fmla="val 6562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81</xdr:row>
      <xdr:rowOff>200025</xdr:rowOff>
    </xdr:from>
    <xdr:to>
      <xdr:col>13</xdr:col>
      <xdr:colOff>0</xdr:colOff>
      <xdr:row>82</xdr:row>
      <xdr:rowOff>66675</xdr:rowOff>
    </xdr:to>
    <xdr:cxnSp macro="">
      <xdr:nvCxnSpPr>
        <xdr:cNvPr id="100" name="Łącznik łamany 99">
          <a:extLst>
            <a:ext uri="{FF2B5EF4-FFF2-40B4-BE49-F238E27FC236}">
              <a16:creationId xmlns:a16="http://schemas.microsoft.com/office/drawing/2014/main" id="{00000000-0008-0000-0600-000064000000}"/>
            </a:ext>
          </a:extLst>
        </xdr:cNvPr>
        <xdr:cNvCxnSpPr/>
      </xdr:nvCxnSpPr>
      <xdr:spPr>
        <a:xfrm>
          <a:off x="8467725" y="17154525"/>
          <a:ext cx="619125" cy="247650"/>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82</xdr:row>
      <xdr:rowOff>66675</xdr:rowOff>
    </xdr:from>
    <xdr:to>
      <xdr:col>13</xdr:col>
      <xdr:colOff>0</xdr:colOff>
      <xdr:row>83</xdr:row>
      <xdr:rowOff>209550</xdr:rowOff>
    </xdr:to>
    <xdr:cxnSp macro="">
      <xdr:nvCxnSpPr>
        <xdr:cNvPr id="101" name="Łącznik łamany 100">
          <a:extLst>
            <a:ext uri="{FF2B5EF4-FFF2-40B4-BE49-F238E27FC236}">
              <a16:creationId xmlns:a16="http://schemas.microsoft.com/office/drawing/2014/main" id="{00000000-0008-0000-0600-000065000000}"/>
            </a:ext>
          </a:extLst>
        </xdr:cNvPr>
        <xdr:cNvCxnSpPr/>
      </xdr:nvCxnSpPr>
      <xdr:spPr>
        <a:xfrm flipV="1">
          <a:off x="8467725" y="17402175"/>
          <a:ext cx="619125" cy="333375"/>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82</xdr:row>
      <xdr:rowOff>104775</xdr:rowOff>
    </xdr:from>
    <xdr:to>
      <xdr:col>14</xdr:col>
      <xdr:colOff>0</xdr:colOff>
      <xdr:row>83</xdr:row>
      <xdr:rowOff>180975</xdr:rowOff>
    </xdr:to>
    <xdr:cxnSp macro="">
      <xdr:nvCxnSpPr>
        <xdr:cNvPr id="102" name="Łącznik łamany 101">
          <a:extLst>
            <a:ext uri="{FF2B5EF4-FFF2-40B4-BE49-F238E27FC236}">
              <a16:creationId xmlns:a16="http://schemas.microsoft.com/office/drawing/2014/main" id="{00000000-0008-0000-0600-000066000000}"/>
            </a:ext>
          </a:extLst>
        </xdr:cNvPr>
        <xdr:cNvCxnSpPr/>
      </xdr:nvCxnSpPr>
      <xdr:spPr>
        <a:xfrm>
          <a:off x="10287000" y="17440275"/>
          <a:ext cx="1181100" cy="266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83</xdr:row>
      <xdr:rowOff>180975</xdr:rowOff>
    </xdr:from>
    <xdr:to>
      <xdr:col>14</xdr:col>
      <xdr:colOff>9525</xdr:colOff>
      <xdr:row>85</xdr:row>
      <xdr:rowOff>104776</xdr:rowOff>
    </xdr:to>
    <xdr:cxnSp macro="">
      <xdr:nvCxnSpPr>
        <xdr:cNvPr id="103" name="Łącznik łamany 102">
          <a:extLst>
            <a:ext uri="{FF2B5EF4-FFF2-40B4-BE49-F238E27FC236}">
              <a16:creationId xmlns:a16="http://schemas.microsoft.com/office/drawing/2014/main" id="{00000000-0008-0000-0600-000067000000}"/>
            </a:ext>
          </a:extLst>
        </xdr:cNvPr>
        <xdr:cNvCxnSpPr/>
      </xdr:nvCxnSpPr>
      <xdr:spPr>
        <a:xfrm flipV="1">
          <a:off x="8467725" y="17706975"/>
          <a:ext cx="3009900" cy="495301"/>
        </a:xfrm>
        <a:prstGeom prst="bentConnector3">
          <a:avLst>
            <a:gd name="adj1" fmla="val 800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88</xdr:row>
      <xdr:rowOff>85725</xdr:rowOff>
    </xdr:from>
    <xdr:to>
      <xdr:col>6</xdr:col>
      <xdr:colOff>0</xdr:colOff>
      <xdr:row>89</xdr:row>
      <xdr:rowOff>171450</xdr:rowOff>
    </xdr:to>
    <xdr:cxnSp macro="">
      <xdr:nvCxnSpPr>
        <xdr:cNvPr id="114" name="Łącznik łamany 113">
          <a:extLst>
            <a:ext uri="{FF2B5EF4-FFF2-40B4-BE49-F238E27FC236}">
              <a16:creationId xmlns:a16="http://schemas.microsoft.com/office/drawing/2014/main" id="{00000000-0008-0000-0600-000072000000}"/>
            </a:ext>
          </a:extLst>
        </xdr:cNvPr>
        <xdr:cNvCxnSpPr/>
      </xdr:nvCxnSpPr>
      <xdr:spPr>
        <a:xfrm>
          <a:off x="5334000" y="18754725"/>
          <a:ext cx="1181100" cy="276225"/>
        </a:xfrm>
        <a:prstGeom prst="bentConnector3">
          <a:avLst>
            <a:gd name="adj1" fmla="val 6451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90</xdr:row>
      <xdr:rowOff>85725</xdr:rowOff>
    </xdr:from>
    <xdr:to>
      <xdr:col>8</xdr:col>
      <xdr:colOff>9525</xdr:colOff>
      <xdr:row>91</xdr:row>
      <xdr:rowOff>171450</xdr:rowOff>
    </xdr:to>
    <xdr:cxnSp macro="">
      <xdr:nvCxnSpPr>
        <xdr:cNvPr id="115" name="Łącznik łamany 114">
          <a:extLst>
            <a:ext uri="{FF2B5EF4-FFF2-40B4-BE49-F238E27FC236}">
              <a16:creationId xmlns:a16="http://schemas.microsoft.com/office/drawing/2014/main" id="{00000000-0008-0000-0600-000073000000}"/>
            </a:ext>
          </a:extLst>
        </xdr:cNvPr>
        <xdr:cNvCxnSpPr/>
      </xdr:nvCxnSpPr>
      <xdr:spPr>
        <a:xfrm>
          <a:off x="5343525" y="19326225"/>
          <a:ext cx="1181100" cy="27622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92</xdr:row>
      <xdr:rowOff>85725</xdr:rowOff>
    </xdr:from>
    <xdr:to>
      <xdr:col>6</xdr:col>
      <xdr:colOff>0</xdr:colOff>
      <xdr:row>93</xdr:row>
      <xdr:rowOff>104775</xdr:rowOff>
    </xdr:to>
    <xdr:cxnSp macro="">
      <xdr:nvCxnSpPr>
        <xdr:cNvPr id="116" name="Łącznik łamany 115">
          <a:extLst>
            <a:ext uri="{FF2B5EF4-FFF2-40B4-BE49-F238E27FC236}">
              <a16:creationId xmlns:a16="http://schemas.microsoft.com/office/drawing/2014/main" id="{00000000-0008-0000-0600-000074000000}"/>
            </a:ext>
          </a:extLst>
        </xdr:cNvPr>
        <xdr:cNvCxnSpPr/>
      </xdr:nvCxnSpPr>
      <xdr:spPr>
        <a:xfrm>
          <a:off x="5343525" y="19897725"/>
          <a:ext cx="1171575" cy="209550"/>
        </a:xfrm>
        <a:prstGeom prst="bentConnector3">
          <a:avLst>
            <a:gd name="adj1" fmla="val 6382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93</xdr:row>
      <xdr:rowOff>104775</xdr:rowOff>
    </xdr:from>
    <xdr:to>
      <xdr:col>8</xdr:col>
      <xdr:colOff>9525</xdr:colOff>
      <xdr:row>94</xdr:row>
      <xdr:rowOff>123825</xdr:rowOff>
    </xdr:to>
    <xdr:cxnSp macro="">
      <xdr:nvCxnSpPr>
        <xdr:cNvPr id="117" name="Łącznik łamany 116">
          <a:extLst>
            <a:ext uri="{FF2B5EF4-FFF2-40B4-BE49-F238E27FC236}">
              <a16:creationId xmlns:a16="http://schemas.microsoft.com/office/drawing/2014/main" id="{00000000-0008-0000-0600-000075000000}"/>
            </a:ext>
          </a:extLst>
        </xdr:cNvPr>
        <xdr:cNvCxnSpPr/>
      </xdr:nvCxnSpPr>
      <xdr:spPr>
        <a:xfrm flipV="1">
          <a:off x="5334000" y="20107275"/>
          <a:ext cx="1190625" cy="209550"/>
        </a:xfrm>
        <a:prstGeom prst="bentConnector3">
          <a:avLst>
            <a:gd name="adj1" fmla="val 636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91</xdr:row>
      <xdr:rowOff>171450</xdr:rowOff>
    </xdr:from>
    <xdr:to>
      <xdr:col>8</xdr:col>
      <xdr:colOff>9525</xdr:colOff>
      <xdr:row>92</xdr:row>
      <xdr:rowOff>85725</xdr:rowOff>
    </xdr:to>
    <xdr:cxnSp macro="">
      <xdr:nvCxnSpPr>
        <xdr:cNvPr id="118" name="Łącznik łamany 117">
          <a:extLst>
            <a:ext uri="{FF2B5EF4-FFF2-40B4-BE49-F238E27FC236}">
              <a16:creationId xmlns:a16="http://schemas.microsoft.com/office/drawing/2014/main" id="{00000000-0008-0000-0600-000076000000}"/>
            </a:ext>
          </a:extLst>
        </xdr:cNvPr>
        <xdr:cNvCxnSpPr/>
      </xdr:nvCxnSpPr>
      <xdr:spPr>
        <a:xfrm flipV="1">
          <a:off x="5343525" y="19602450"/>
          <a:ext cx="1181100" cy="295275"/>
        </a:xfrm>
        <a:prstGeom prst="bentConnector3">
          <a:avLst>
            <a:gd name="adj1" fmla="val 637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1143000</xdr:colOff>
      <xdr:row>89</xdr:row>
      <xdr:rowOff>171450</xdr:rowOff>
    </xdr:from>
    <xdr:to>
      <xdr:col>6</xdr:col>
      <xdr:colOff>0</xdr:colOff>
      <xdr:row>90</xdr:row>
      <xdr:rowOff>85725</xdr:rowOff>
    </xdr:to>
    <xdr:cxnSp macro="">
      <xdr:nvCxnSpPr>
        <xdr:cNvPr id="119" name="Łącznik łamany 118">
          <a:extLst>
            <a:ext uri="{FF2B5EF4-FFF2-40B4-BE49-F238E27FC236}">
              <a16:creationId xmlns:a16="http://schemas.microsoft.com/office/drawing/2014/main" id="{00000000-0008-0000-0600-000077000000}"/>
            </a:ext>
          </a:extLst>
        </xdr:cNvPr>
        <xdr:cNvCxnSpPr/>
      </xdr:nvCxnSpPr>
      <xdr:spPr>
        <a:xfrm flipV="1">
          <a:off x="5295900" y="19030950"/>
          <a:ext cx="1219200" cy="295275"/>
        </a:xfrm>
        <a:prstGeom prst="bentConnector3">
          <a:avLst>
            <a:gd name="adj1" fmla="val 6562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89</xdr:row>
      <xdr:rowOff>200025</xdr:rowOff>
    </xdr:from>
    <xdr:to>
      <xdr:col>13</xdr:col>
      <xdr:colOff>0</xdr:colOff>
      <xdr:row>90</xdr:row>
      <xdr:rowOff>66675</xdr:rowOff>
    </xdr:to>
    <xdr:cxnSp macro="">
      <xdr:nvCxnSpPr>
        <xdr:cNvPr id="120" name="Łącznik łamany 119">
          <a:extLst>
            <a:ext uri="{FF2B5EF4-FFF2-40B4-BE49-F238E27FC236}">
              <a16:creationId xmlns:a16="http://schemas.microsoft.com/office/drawing/2014/main" id="{00000000-0008-0000-0600-000078000000}"/>
            </a:ext>
          </a:extLst>
        </xdr:cNvPr>
        <xdr:cNvCxnSpPr/>
      </xdr:nvCxnSpPr>
      <xdr:spPr>
        <a:xfrm>
          <a:off x="8467725" y="19059525"/>
          <a:ext cx="619125" cy="247650"/>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90</xdr:row>
      <xdr:rowOff>66675</xdr:rowOff>
    </xdr:from>
    <xdr:to>
      <xdr:col>13</xdr:col>
      <xdr:colOff>0</xdr:colOff>
      <xdr:row>91</xdr:row>
      <xdr:rowOff>209550</xdr:rowOff>
    </xdr:to>
    <xdr:cxnSp macro="">
      <xdr:nvCxnSpPr>
        <xdr:cNvPr id="121" name="Łącznik łamany 120">
          <a:extLst>
            <a:ext uri="{FF2B5EF4-FFF2-40B4-BE49-F238E27FC236}">
              <a16:creationId xmlns:a16="http://schemas.microsoft.com/office/drawing/2014/main" id="{00000000-0008-0000-0600-000079000000}"/>
            </a:ext>
          </a:extLst>
        </xdr:cNvPr>
        <xdr:cNvCxnSpPr/>
      </xdr:nvCxnSpPr>
      <xdr:spPr>
        <a:xfrm flipV="1">
          <a:off x="8467725" y="19307175"/>
          <a:ext cx="619125" cy="333375"/>
        </a:xfrm>
        <a:prstGeom prst="bentConnector3">
          <a:avLst>
            <a:gd name="adj1" fmla="val 592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90</xdr:row>
      <xdr:rowOff>104775</xdr:rowOff>
    </xdr:from>
    <xdr:to>
      <xdr:col>14</xdr:col>
      <xdr:colOff>0</xdr:colOff>
      <xdr:row>91</xdr:row>
      <xdr:rowOff>180975</xdr:rowOff>
    </xdr:to>
    <xdr:cxnSp macro="">
      <xdr:nvCxnSpPr>
        <xdr:cNvPr id="122" name="Łącznik łamany 121">
          <a:extLst>
            <a:ext uri="{FF2B5EF4-FFF2-40B4-BE49-F238E27FC236}">
              <a16:creationId xmlns:a16="http://schemas.microsoft.com/office/drawing/2014/main" id="{00000000-0008-0000-0600-00007A000000}"/>
            </a:ext>
          </a:extLst>
        </xdr:cNvPr>
        <xdr:cNvCxnSpPr/>
      </xdr:nvCxnSpPr>
      <xdr:spPr>
        <a:xfrm>
          <a:off x="10287000" y="19345275"/>
          <a:ext cx="1181100" cy="2667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91</xdr:row>
      <xdr:rowOff>180975</xdr:rowOff>
    </xdr:from>
    <xdr:to>
      <xdr:col>14</xdr:col>
      <xdr:colOff>9525</xdr:colOff>
      <xdr:row>93</xdr:row>
      <xdr:rowOff>104776</xdr:rowOff>
    </xdr:to>
    <xdr:cxnSp macro="">
      <xdr:nvCxnSpPr>
        <xdr:cNvPr id="123" name="Łącznik łamany 122">
          <a:extLst>
            <a:ext uri="{FF2B5EF4-FFF2-40B4-BE49-F238E27FC236}">
              <a16:creationId xmlns:a16="http://schemas.microsoft.com/office/drawing/2014/main" id="{00000000-0008-0000-0600-00007B000000}"/>
            </a:ext>
          </a:extLst>
        </xdr:cNvPr>
        <xdr:cNvCxnSpPr/>
      </xdr:nvCxnSpPr>
      <xdr:spPr>
        <a:xfrm flipV="1">
          <a:off x="8467725" y="19611975"/>
          <a:ext cx="3009900" cy="495301"/>
        </a:xfrm>
        <a:prstGeom prst="bentConnector3">
          <a:avLst>
            <a:gd name="adj1" fmla="val 800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xdr:colOff>
      <xdr:row>2</xdr:row>
      <xdr:rowOff>0</xdr:rowOff>
    </xdr:from>
    <xdr:to>
      <xdr:col>25</xdr:col>
      <xdr:colOff>102449</xdr:colOff>
      <xdr:row>10</xdr:row>
      <xdr:rowOff>193040</xdr:rowOff>
    </xdr:to>
    <xdr:sp macro="" textlink="">
      <xdr:nvSpPr>
        <xdr:cNvPr id="2" name="TextBox 1">
          <a:extLst>
            <a:ext uri="{FF2B5EF4-FFF2-40B4-BE49-F238E27FC236}">
              <a16:creationId xmlns:a16="http://schemas.microsoft.com/office/drawing/2014/main" id="{1DB90AF8-0672-462F-9591-45C8BFE1AFC2}"/>
            </a:ext>
          </a:extLst>
        </xdr:cNvPr>
        <xdr:cNvSpPr txBox="1"/>
      </xdr:nvSpPr>
      <xdr:spPr>
        <a:xfrm>
          <a:off x="10227734" y="389467"/>
          <a:ext cx="5055448" cy="1869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Note:</a:t>
          </a:r>
        </a:p>
        <a:p>
          <a:r>
            <a:rPr lang="en-GB" sz="1100" b="0" i="0" u="none" strike="noStrike">
              <a:solidFill>
                <a:schemeClr val="dk1"/>
              </a:solidFill>
              <a:effectLst/>
              <a:latin typeface="+mn-lt"/>
              <a:ea typeface="+mn-ea"/>
              <a:cs typeface="+mn-cs"/>
            </a:rPr>
            <a:t>1.</a:t>
          </a:r>
          <a:r>
            <a:rPr lang="en-GB" sz="1100" b="0" i="0" u="none" strike="noStrike" baseline="0">
              <a:solidFill>
                <a:schemeClr val="dk1"/>
              </a:solidFill>
              <a:effectLst/>
              <a:latin typeface="+mn-lt"/>
              <a:ea typeface="+mn-ea"/>
              <a:cs typeface="+mn-cs"/>
            </a:rPr>
            <a:t> Sales revenue experience a good growth over the year. Despite the sales growth is followed by the growth of COGS, the growth of sales is still higher than the growth of COGS which indicates that the company is becoming more efficient. this is confirmed by the increasing composition of Gross Profits Margin along with its growth over the year. Furthermore, the Operating Profit Margin and Net Profit Margin present a good contribution to the sales followed by their two-digit growths</a:t>
          </a:r>
          <a:endParaRPr lang="en-GB" sz="1100"/>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80"/>
  <sheetViews>
    <sheetView showGridLines="0" tabSelected="1" zoomScale="90" zoomScaleNormal="90" workbookViewId="0">
      <selection activeCell="S19" sqref="S19"/>
    </sheetView>
  </sheetViews>
  <sheetFormatPr defaultColWidth="9.21875" defaultRowHeight="13.8" outlineLevelCol="1" x14ac:dyDescent="0.25"/>
  <cols>
    <col min="1" max="1" width="2.77734375" style="1" customWidth="1"/>
    <col min="2" max="2" width="3.44140625" style="1" customWidth="1"/>
    <col min="3" max="3" width="28.77734375" style="1" customWidth="1"/>
    <col min="4" max="6" width="16.109375" style="1" bestFit="1" customWidth="1"/>
    <col min="7" max="7" width="8.6640625" style="1" hidden="1" customWidth="1" outlineLevel="1"/>
    <col min="8" max="8" width="8" style="1" hidden="1" customWidth="1" outlineLevel="1"/>
    <col min="9" max="9" width="10.88671875" style="1" customWidth="1" collapsed="1"/>
    <col min="10" max="10" width="11.21875" style="1" customWidth="1"/>
    <col min="11" max="11" width="10.44140625" style="1" customWidth="1"/>
    <col min="12" max="13" width="9.5546875" style="1" hidden="1" customWidth="1"/>
    <col min="14" max="14" width="14.77734375" style="1" customWidth="1"/>
    <col min="15" max="15" width="14.33203125" style="1" customWidth="1"/>
    <col min="16" max="17" width="11.77734375" style="1" hidden="1" customWidth="1"/>
    <col min="18" max="16384" width="9.21875" style="1"/>
  </cols>
  <sheetData>
    <row r="1" spans="1:29" ht="15.6" x14ac:dyDescent="0.25">
      <c r="A1" s="176" t="s">
        <v>104</v>
      </c>
      <c r="B1" s="177"/>
      <c r="C1" s="178"/>
      <c r="D1" s="183" t="s">
        <v>36</v>
      </c>
      <c r="E1" s="184"/>
      <c r="F1" s="185"/>
      <c r="G1" s="69"/>
      <c r="H1" s="69"/>
      <c r="I1" s="186" t="str">
        <f>I30</f>
        <v>structure</v>
      </c>
      <c r="J1" s="184"/>
      <c r="K1" s="184"/>
      <c r="L1" s="68"/>
      <c r="M1" s="68"/>
      <c r="N1" s="182" t="str">
        <f>N30</f>
        <v>growth</v>
      </c>
      <c r="O1" s="182"/>
      <c r="P1" s="73"/>
      <c r="Q1" s="73"/>
      <c r="R1" s="174"/>
      <c r="S1" s="175"/>
    </row>
    <row r="2" spans="1:29" ht="15.6" x14ac:dyDescent="0.25">
      <c r="A2" s="179"/>
      <c r="B2" s="180"/>
      <c r="C2" s="181"/>
      <c r="D2" s="17">
        <v>2019</v>
      </c>
      <c r="E2" s="18">
        <v>2020</v>
      </c>
      <c r="F2" s="86">
        <v>2021</v>
      </c>
      <c r="G2" s="73" t="s">
        <v>102</v>
      </c>
      <c r="H2" s="73"/>
      <c r="I2" s="17">
        <f>D2</f>
        <v>2019</v>
      </c>
      <c r="J2" s="97">
        <f>E2</f>
        <v>2020</v>
      </c>
      <c r="K2" s="97">
        <f>F2</f>
        <v>2021</v>
      </c>
      <c r="L2" s="97" t="str">
        <f>G2</f>
        <v>20XX+2</v>
      </c>
      <c r="M2" s="74"/>
      <c r="N2" s="73" t="s">
        <v>114</v>
      </c>
      <c r="O2" s="73" t="s">
        <v>115</v>
      </c>
      <c r="P2" s="73"/>
      <c r="Q2" s="73"/>
    </row>
    <row r="3" spans="1:29" ht="17.25" customHeight="1" x14ac:dyDescent="0.25">
      <c r="A3" s="67" t="s">
        <v>24</v>
      </c>
      <c r="B3" s="68"/>
      <c r="C3" s="68"/>
      <c r="D3" s="68"/>
      <c r="E3" s="68"/>
      <c r="F3" s="68"/>
      <c r="G3" s="69"/>
      <c r="H3" s="69"/>
      <c r="I3" s="68"/>
      <c r="J3" s="68"/>
      <c r="K3" s="68"/>
      <c r="L3" s="68"/>
      <c r="M3" s="68"/>
      <c r="N3" s="69"/>
      <c r="O3" s="69"/>
      <c r="P3" s="69"/>
      <c r="Q3" s="69"/>
    </row>
    <row r="4" spans="1:29" ht="17.25" customHeight="1" x14ac:dyDescent="0.3">
      <c r="A4" s="19" t="s">
        <v>0</v>
      </c>
      <c r="B4" s="169" t="s">
        <v>28</v>
      </c>
      <c r="C4" s="170"/>
      <c r="D4" s="20">
        <f>D5+D6+D9+D10+D11</f>
        <v>136866</v>
      </c>
      <c r="E4" s="20">
        <f>E5+E6+E9+E10+E11</f>
        <v>131585</v>
      </c>
      <c r="F4" s="20">
        <f>F5+F6+F9+F10+F11</f>
        <v>141868</v>
      </c>
      <c r="G4" s="20">
        <f>G5+G6+G9+G10+G11</f>
        <v>0</v>
      </c>
      <c r="H4" s="20"/>
      <c r="I4" s="21">
        <f>D4/D$27</f>
        <v>0.10782114102947896</v>
      </c>
      <c r="J4" s="21">
        <f>E4/E$27</f>
        <v>9.0577864541744907E-2</v>
      </c>
      <c r="K4" s="21">
        <f t="shared" ref="K4" si="0">F4/F$27</f>
        <v>9.3336114091800551E-2</v>
      </c>
      <c r="L4" s="22"/>
      <c r="M4" s="22"/>
      <c r="N4" s="21">
        <f>(E4-D4)/D4</f>
        <v>-3.8585185509914806E-2</v>
      </c>
      <c r="O4" s="21">
        <f>(F4-E4)/E4</f>
        <v>7.8147205228559488E-2</v>
      </c>
      <c r="P4" s="21">
        <f>G4/F4</f>
        <v>0</v>
      </c>
      <c r="Q4" s="21" t="e">
        <f t="shared" ref="P4:Q7" si="1">H4/G4</f>
        <v>#DIV/0!</v>
      </c>
    </row>
    <row r="5" spans="1:29" ht="17.25" customHeight="1" x14ac:dyDescent="0.3">
      <c r="A5" s="23"/>
      <c r="B5" s="24" t="s">
        <v>1</v>
      </c>
      <c r="C5" s="25" t="s">
        <v>99</v>
      </c>
      <c r="D5" s="26">
        <v>81230</v>
      </c>
      <c r="E5" s="26">
        <v>84780</v>
      </c>
      <c r="F5" s="26">
        <v>91088</v>
      </c>
      <c r="G5" s="26"/>
      <c r="H5" s="26"/>
      <c r="I5" s="155">
        <f>D5/D$27</f>
        <v>6.3991870046794491E-2</v>
      </c>
      <c r="J5" s="155">
        <f t="shared" ref="J5:J27" si="2">E5/E$27</f>
        <v>5.8359169782643411E-2</v>
      </c>
      <c r="K5" s="155">
        <f t="shared" ref="K5:K27" si="3">F5/F$27</f>
        <v>5.9927537995840705E-2</v>
      </c>
      <c r="L5" s="28"/>
      <c r="M5" s="28"/>
      <c r="N5" s="155">
        <f>(E5-D5)/D5</f>
        <v>4.3703065369937212E-2</v>
      </c>
      <c r="O5" s="155">
        <f>(F5-E5)/E5</f>
        <v>7.4404340646378866E-2</v>
      </c>
      <c r="P5" s="27">
        <f t="shared" si="1"/>
        <v>0</v>
      </c>
      <c r="Q5" s="27" t="e">
        <f t="shared" si="1"/>
        <v>#DIV/0!</v>
      </c>
      <c r="S5" s="156"/>
      <c r="T5" s="156"/>
      <c r="U5" s="156"/>
      <c r="V5" s="156"/>
      <c r="W5" s="156"/>
      <c r="X5" s="156"/>
      <c r="Y5" s="156"/>
      <c r="Z5" s="156"/>
      <c r="AA5" s="156"/>
      <c r="AB5" s="156"/>
      <c r="AC5" s="156"/>
    </row>
    <row r="6" spans="1:29" ht="17.25" customHeight="1" x14ac:dyDescent="0.3">
      <c r="A6" s="23"/>
      <c r="B6" s="24" t="s">
        <v>2</v>
      </c>
      <c r="C6" s="25" t="s">
        <v>100</v>
      </c>
      <c r="D6" s="29">
        <v>900</v>
      </c>
      <c r="E6" s="29">
        <v>1198</v>
      </c>
      <c r="F6" s="29">
        <v>1911</v>
      </c>
      <c r="G6" s="29"/>
      <c r="H6" s="29"/>
      <c r="I6" s="27">
        <f t="shared" ref="I6:I27" si="4">D6/D$27</f>
        <v>7.0900754699144465E-4</v>
      </c>
      <c r="J6" s="27">
        <f t="shared" si="2"/>
        <v>8.2465540693096027E-4</v>
      </c>
      <c r="K6" s="27">
        <f t="shared" si="3"/>
        <v>1.2572624836427585E-3</v>
      </c>
      <c r="L6" s="28"/>
      <c r="M6" s="28"/>
      <c r="N6" s="27">
        <f t="shared" ref="N6:N9" si="5">(E6-D6)/D6</f>
        <v>0.33111111111111113</v>
      </c>
      <c r="O6" s="27">
        <f t="shared" ref="O6:O9" si="6">(F6-E6)/E6</f>
        <v>0.59515859766277124</v>
      </c>
      <c r="P6" s="27">
        <f t="shared" si="1"/>
        <v>0</v>
      </c>
      <c r="Q6" s="27" t="e">
        <f t="shared" si="1"/>
        <v>#DIV/0!</v>
      </c>
      <c r="S6" s="156"/>
      <c r="T6" s="156"/>
      <c r="U6" s="156"/>
      <c r="V6" s="156"/>
      <c r="W6" s="156"/>
      <c r="X6" s="156"/>
      <c r="Y6" s="156"/>
      <c r="Z6" s="156"/>
      <c r="AA6" s="156"/>
      <c r="AB6" s="156"/>
      <c r="AC6" s="156"/>
    </row>
    <row r="7" spans="1:29" ht="17.25" hidden="1" customHeight="1" x14ac:dyDescent="0.3">
      <c r="A7" s="23"/>
      <c r="B7" s="24"/>
      <c r="C7" s="25" t="s">
        <v>30</v>
      </c>
      <c r="D7" s="26"/>
      <c r="E7" s="26"/>
      <c r="F7" s="26"/>
      <c r="G7" s="26"/>
      <c r="H7" s="26"/>
      <c r="I7" s="27">
        <f t="shared" si="4"/>
        <v>0</v>
      </c>
      <c r="J7" s="27">
        <f t="shared" si="2"/>
        <v>0</v>
      </c>
      <c r="K7" s="27">
        <f t="shared" si="3"/>
        <v>0</v>
      </c>
      <c r="L7" s="28"/>
      <c r="M7" s="28"/>
      <c r="N7" s="27" t="e">
        <f t="shared" si="5"/>
        <v>#DIV/0!</v>
      </c>
      <c r="O7" s="27" t="e">
        <f t="shared" si="6"/>
        <v>#DIV/0!</v>
      </c>
      <c r="P7" s="27" t="e">
        <f t="shared" si="1"/>
        <v>#DIV/0!</v>
      </c>
      <c r="Q7" s="27" t="e">
        <f t="shared" si="1"/>
        <v>#DIV/0!</v>
      </c>
      <c r="S7" s="156"/>
      <c r="T7" s="156"/>
      <c r="U7" s="156"/>
      <c r="V7" s="156"/>
      <c r="W7" s="156"/>
      <c r="X7" s="156"/>
      <c r="Y7" s="156"/>
      <c r="Z7" s="156"/>
      <c r="AA7" s="156"/>
      <c r="AB7" s="156"/>
      <c r="AC7" s="156"/>
    </row>
    <row r="8" spans="1:29" ht="17.25" hidden="1" customHeight="1" x14ac:dyDescent="0.3">
      <c r="A8" s="23"/>
      <c r="B8" s="24"/>
      <c r="C8" s="30" t="s">
        <v>31</v>
      </c>
      <c r="D8" s="26"/>
      <c r="E8" s="26"/>
      <c r="F8" s="26"/>
      <c r="G8" s="26"/>
      <c r="H8" s="26"/>
      <c r="I8" s="27">
        <f t="shared" si="4"/>
        <v>0</v>
      </c>
      <c r="J8" s="27">
        <f t="shared" si="2"/>
        <v>0</v>
      </c>
      <c r="K8" s="27">
        <f t="shared" si="3"/>
        <v>0</v>
      </c>
      <c r="L8" s="28"/>
      <c r="M8" s="28"/>
      <c r="N8" s="27" t="e">
        <f t="shared" si="5"/>
        <v>#DIV/0!</v>
      </c>
      <c r="O8" s="27" t="e">
        <f t="shared" si="6"/>
        <v>#DIV/0!</v>
      </c>
      <c r="P8" s="27" t="e">
        <f t="shared" ref="P8:Q9" si="7">G8/F8</f>
        <v>#DIV/0!</v>
      </c>
      <c r="Q8" s="27" t="e">
        <f t="shared" si="7"/>
        <v>#DIV/0!</v>
      </c>
      <c r="S8" s="156"/>
      <c r="T8" s="156"/>
      <c r="U8" s="156"/>
      <c r="V8" s="156"/>
      <c r="W8" s="156"/>
      <c r="X8" s="156"/>
      <c r="Y8" s="156"/>
      <c r="Z8" s="156"/>
      <c r="AA8" s="156"/>
      <c r="AB8" s="156"/>
      <c r="AC8" s="156"/>
    </row>
    <row r="9" spans="1:29" ht="17.25" customHeight="1" x14ac:dyDescent="0.3">
      <c r="A9" s="23"/>
      <c r="B9" s="24" t="s">
        <v>3</v>
      </c>
      <c r="C9" s="25" t="s">
        <v>32</v>
      </c>
      <c r="D9" s="26">
        <v>25390</v>
      </c>
      <c r="E9" s="26">
        <v>29950</v>
      </c>
      <c r="F9" s="26">
        <v>33780</v>
      </c>
      <c r="G9" s="26"/>
      <c r="H9" s="26"/>
      <c r="I9" s="27">
        <f t="shared" si="4"/>
        <v>2.0001890686791979E-2</v>
      </c>
      <c r="J9" s="27">
        <f t="shared" si="2"/>
        <v>2.0616385173274007E-2</v>
      </c>
      <c r="K9" s="27">
        <f t="shared" si="3"/>
        <v>2.2224137465961476E-2</v>
      </c>
      <c r="L9" s="28"/>
      <c r="M9" s="28"/>
      <c r="N9" s="27">
        <f t="shared" si="5"/>
        <v>0.17959826703426546</v>
      </c>
      <c r="O9" s="27">
        <f t="shared" si="6"/>
        <v>0.12787979966611018</v>
      </c>
      <c r="P9" s="27">
        <f t="shared" si="7"/>
        <v>0</v>
      </c>
      <c r="Q9" s="27"/>
      <c r="R9" s="1" t="s">
        <v>113</v>
      </c>
      <c r="S9" s="156"/>
      <c r="T9" s="156"/>
      <c r="U9" s="156"/>
      <c r="V9" s="156"/>
      <c r="W9" s="156"/>
      <c r="X9" s="156"/>
      <c r="Y9" s="156"/>
      <c r="Z9" s="156"/>
      <c r="AA9" s="156"/>
      <c r="AB9" s="156"/>
      <c r="AC9" s="156"/>
    </row>
    <row r="10" spans="1:29" ht="17.25" customHeight="1" x14ac:dyDescent="0.3">
      <c r="A10" s="23"/>
      <c r="B10" s="24" t="s">
        <v>4</v>
      </c>
      <c r="C10" s="25" t="s">
        <v>101</v>
      </c>
      <c r="D10" s="26">
        <v>29346</v>
      </c>
      <c r="E10" s="26">
        <v>15657</v>
      </c>
      <c r="F10" s="26">
        <v>15089</v>
      </c>
      <c r="G10" s="26"/>
      <c r="H10" s="26"/>
      <c r="I10" s="27">
        <f t="shared" si="4"/>
        <v>2.311837274890104E-2</v>
      </c>
      <c r="J10" s="27">
        <f t="shared" si="2"/>
        <v>1.0777654178896531E-2</v>
      </c>
      <c r="K10" s="27">
        <f t="shared" si="3"/>
        <v>9.9271761463556162E-3</v>
      </c>
      <c r="L10" s="28"/>
      <c r="M10" s="28"/>
      <c r="N10" s="27">
        <f t="shared" ref="N10" si="8">(E10-D10)/D10</f>
        <v>-0.46646902473931712</v>
      </c>
      <c r="O10" s="27">
        <f t="shared" ref="O10" si="9">(F10-E10)/E10</f>
        <v>-3.6277703263715912E-2</v>
      </c>
      <c r="P10" s="27">
        <f t="shared" ref="P10:P12" si="10">G10/F10</f>
        <v>0</v>
      </c>
      <c r="Q10" s="27" t="e">
        <f t="shared" ref="Q10:Q12" si="11">H10/G10</f>
        <v>#DIV/0!</v>
      </c>
      <c r="S10" s="156"/>
      <c r="T10" s="156"/>
      <c r="U10" s="156"/>
      <c r="V10" s="156"/>
      <c r="W10" s="156"/>
      <c r="X10" s="156"/>
      <c r="Y10" s="156"/>
      <c r="Z10" s="156"/>
      <c r="AA10" s="156"/>
      <c r="AB10" s="156"/>
      <c r="AC10" s="156"/>
    </row>
    <row r="11" spans="1:29" ht="17.25" hidden="1" customHeight="1" x14ac:dyDescent="0.3">
      <c r="A11" s="23"/>
      <c r="B11" s="24"/>
      <c r="C11" s="25"/>
      <c r="D11" s="29"/>
      <c r="E11" s="29"/>
      <c r="F11" s="29"/>
      <c r="G11" s="29"/>
      <c r="H11" s="29"/>
      <c r="I11" s="21">
        <f t="shared" si="4"/>
        <v>0</v>
      </c>
      <c r="J11" s="21">
        <f t="shared" si="2"/>
        <v>0</v>
      </c>
      <c r="K11" s="21">
        <f t="shared" si="3"/>
        <v>0</v>
      </c>
      <c r="L11" s="28"/>
      <c r="M11" s="28"/>
      <c r="N11" s="27"/>
      <c r="O11" s="27"/>
      <c r="P11" s="27" t="e">
        <f t="shared" si="10"/>
        <v>#DIV/0!</v>
      </c>
      <c r="Q11" s="27" t="e">
        <f t="shared" si="11"/>
        <v>#DIV/0!</v>
      </c>
      <c r="S11" s="156"/>
      <c r="T11" s="156"/>
      <c r="U11" s="156"/>
      <c r="V11" s="156"/>
      <c r="W11" s="156"/>
      <c r="X11" s="156"/>
      <c r="Y11" s="156"/>
      <c r="Z11" s="156"/>
      <c r="AA11" s="156"/>
      <c r="AB11" s="156"/>
      <c r="AC11" s="156"/>
    </row>
    <row r="12" spans="1:29" ht="17.25" hidden="1" customHeight="1" x14ac:dyDescent="0.3">
      <c r="A12" s="23"/>
      <c r="B12" s="24"/>
      <c r="C12" s="25"/>
      <c r="D12" s="26"/>
      <c r="E12" s="26"/>
      <c r="F12" s="26"/>
      <c r="G12" s="26"/>
      <c r="H12" s="26"/>
      <c r="I12" s="21">
        <f t="shared" si="4"/>
        <v>0</v>
      </c>
      <c r="J12" s="21">
        <f t="shared" si="2"/>
        <v>0</v>
      </c>
      <c r="K12" s="21">
        <f t="shared" si="3"/>
        <v>0</v>
      </c>
      <c r="L12" s="28"/>
      <c r="M12" s="28"/>
      <c r="N12" s="27"/>
      <c r="O12" s="27"/>
      <c r="P12" s="27" t="e">
        <f t="shared" si="10"/>
        <v>#DIV/0!</v>
      </c>
      <c r="Q12" s="27" t="e">
        <f t="shared" si="11"/>
        <v>#DIV/0!</v>
      </c>
      <c r="S12" s="156"/>
      <c r="T12" s="156"/>
      <c r="U12" s="156"/>
      <c r="V12" s="156"/>
      <c r="W12" s="156"/>
      <c r="X12" s="156"/>
      <c r="Y12" s="156"/>
      <c r="Z12" s="156"/>
      <c r="AA12" s="156"/>
      <c r="AB12" s="156"/>
      <c r="AC12" s="156"/>
    </row>
    <row r="13" spans="1:29" ht="17.25" hidden="1" customHeight="1" x14ac:dyDescent="0.3">
      <c r="A13" s="23"/>
      <c r="B13" s="24"/>
      <c r="C13" s="25"/>
      <c r="D13" s="26"/>
      <c r="E13" s="26"/>
      <c r="F13" s="31"/>
      <c r="G13" s="75"/>
      <c r="H13" s="75"/>
      <c r="I13" s="21">
        <f t="shared" si="4"/>
        <v>0</v>
      </c>
      <c r="J13" s="21">
        <f t="shared" si="2"/>
        <v>0</v>
      </c>
      <c r="K13" s="21">
        <f t="shared" si="3"/>
        <v>0</v>
      </c>
      <c r="L13" s="28"/>
      <c r="M13" s="28"/>
      <c r="N13" s="27"/>
      <c r="O13" s="27"/>
      <c r="P13" s="27"/>
      <c r="Q13" s="27"/>
      <c r="S13" s="156"/>
      <c r="T13" s="156"/>
      <c r="U13" s="156"/>
      <c r="V13" s="156"/>
      <c r="W13" s="156"/>
      <c r="X13" s="156"/>
      <c r="Y13" s="156"/>
      <c r="Z13" s="156"/>
      <c r="AA13" s="156"/>
      <c r="AB13" s="156"/>
      <c r="AC13" s="156"/>
    </row>
    <row r="14" spans="1:29" ht="17.25" hidden="1" customHeight="1" x14ac:dyDescent="0.3">
      <c r="A14" s="23"/>
      <c r="B14" s="24"/>
      <c r="C14" s="25"/>
      <c r="D14" s="26"/>
      <c r="E14" s="26"/>
      <c r="F14" s="31"/>
      <c r="G14" s="75"/>
      <c r="H14" s="75"/>
      <c r="I14" s="21">
        <f t="shared" si="4"/>
        <v>0</v>
      </c>
      <c r="J14" s="21">
        <f t="shared" si="2"/>
        <v>0</v>
      </c>
      <c r="K14" s="21">
        <f t="shared" si="3"/>
        <v>0</v>
      </c>
      <c r="L14" s="28"/>
      <c r="M14" s="28"/>
      <c r="N14" s="27"/>
      <c r="O14" s="27"/>
      <c r="P14" s="27"/>
      <c r="Q14" s="27"/>
      <c r="S14" s="156"/>
      <c r="T14" s="156"/>
      <c r="U14" s="156"/>
      <c r="V14" s="156"/>
      <c r="W14" s="156"/>
      <c r="X14" s="156"/>
      <c r="Y14" s="156"/>
      <c r="Z14" s="156"/>
      <c r="AA14" s="156"/>
      <c r="AB14" s="156"/>
      <c r="AC14" s="156"/>
    </row>
    <row r="15" spans="1:29" ht="17.25" hidden="1" customHeight="1" x14ac:dyDescent="0.3">
      <c r="A15" s="23"/>
      <c r="B15" s="24"/>
      <c r="C15" s="30"/>
      <c r="D15" s="26"/>
      <c r="E15" s="26"/>
      <c r="F15" s="31"/>
      <c r="G15" s="75"/>
      <c r="H15" s="75"/>
      <c r="I15" s="21">
        <f t="shared" si="4"/>
        <v>0</v>
      </c>
      <c r="J15" s="21">
        <f t="shared" si="2"/>
        <v>0</v>
      </c>
      <c r="K15" s="21">
        <f t="shared" si="3"/>
        <v>0</v>
      </c>
      <c r="L15" s="28"/>
      <c r="M15" s="28"/>
      <c r="N15" s="27"/>
      <c r="O15" s="27"/>
      <c r="P15" s="27"/>
      <c r="Q15" s="27"/>
      <c r="S15" s="156"/>
      <c r="T15" s="156"/>
      <c r="U15" s="156"/>
      <c r="V15" s="156"/>
      <c r="W15" s="156"/>
      <c r="X15" s="156"/>
      <c r="Y15" s="156"/>
      <c r="Z15" s="156"/>
      <c r="AA15" s="156"/>
      <c r="AB15" s="156"/>
      <c r="AC15" s="156"/>
    </row>
    <row r="16" spans="1:29" ht="17.25" customHeight="1" x14ac:dyDescent="0.3">
      <c r="A16" s="32" t="s">
        <v>5</v>
      </c>
      <c r="B16" s="169" t="s">
        <v>25</v>
      </c>
      <c r="C16" s="170"/>
      <c r="D16" s="33">
        <f>D17+D18+D19+D20</f>
        <v>1132514</v>
      </c>
      <c r="E16" s="33">
        <f>E17+E18+E19+E20</f>
        <v>1321143</v>
      </c>
      <c r="F16" s="33">
        <f>F17+F18+F19+F20</f>
        <v>1378101</v>
      </c>
      <c r="G16" s="33">
        <f t="shared" ref="G16" si="12">G17+G18+G21+G22+G23</f>
        <v>0</v>
      </c>
      <c r="H16" s="33"/>
      <c r="I16" s="21">
        <f t="shared" si="4"/>
        <v>0.89217885897052107</v>
      </c>
      <c r="J16" s="21">
        <f t="shared" si="2"/>
        <v>0.90942213545825512</v>
      </c>
      <c r="K16" s="21">
        <f t="shared" si="3"/>
        <v>0.90666388590819946</v>
      </c>
      <c r="L16" s="22"/>
      <c r="M16" s="22"/>
      <c r="N16" s="21">
        <f t="shared" ref="N16" si="13">(E16-D16)/D16</f>
        <v>0.16655776440732742</v>
      </c>
      <c r="O16" s="21">
        <f t="shared" ref="O16" si="14">(F16-E16)/E16</f>
        <v>4.3112668348543645E-2</v>
      </c>
      <c r="P16" s="21">
        <f t="shared" ref="P16:P23" si="15">G16/F16</f>
        <v>0</v>
      </c>
      <c r="Q16" s="21" t="e">
        <f t="shared" ref="Q16:Q23" si="16">H16/G16</f>
        <v>#DIV/0!</v>
      </c>
      <c r="S16" s="156"/>
      <c r="T16" s="156"/>
      <c r="U16" s="156"/>
      <c r="V16" s="156"/>
      <c r="W16" s="156"/>
      <c r="X16" s="156"/>
      <c r="Y16" s="156"/>
      <c r="Z16" s="156"/>
      <c r="AA16" s="156"/>
      <c r="AB16" s="156"/>
      <c r="AC16" s="156"/>
    </row>
    <row r="17" spans="1:29" ht="17.25" customHeight="1" x14ac:dyDescent="0.3">
      <c r="A17" s="23"/>
      <c r="B17" s="24" t="s">
        <v>1</v>
      </c>
      <c r="C17" s="25" t="s">
        <v>33</v>
      </c>
      <c r="D17" s="26">
        <v>313981</v>
      </c>
      <c r="E17" s="26">
        <v>329871</v>
      </c>
      <c r="F17" s="26">
        <v>336943</v>
      </c>
      <c r="G17" s="26"/>
      <c r="H17" s="26"/>
      <c r="I17" s="27">
        <f t="shared" si="4"/>
        <v>0.24734988734657865</v>
      </c>
      <c r="J17" s="27">
        <f t="shared" si="2"/>
        <v>0.22707003651062002</v>
      </c>
      <c r="K17" s="27">
        <f t="shared" si="3"/>
        <v>0.2216775473710319</v>
      </c>
      <c r="L17" s="92"/>
      <c r="M17" s="92"/>
      <c r="N17" s="27">
        <f t="shared" ref="N17:N20" si="17">(E17-D17)/D17</f>
        <v>5.0608157818466726E-2</v>
      </c>
      <c r="O17" s="27">
        <f t="shared" ref="O17:O20" si="18">(F17-E17)/E17</f>
        <v>2.1438683606621982E-2</v>
      </c>
      <c r="P17" s="27">
        <f t="shared" si="15"/>
        <v>0</v>
      </c>
      <c r="Q17" s="27" t="e">
        <f t="shared" si="16"/>
        <v>#DIV/0!</v>
      </c>
      <c r="S17" s="156"/>
      <c r="T17" s="156"/>
      <c r="U17" s="156"/>
      <c r="V17" s="156"/>
      <c r="W17" s="156"/>
      <c r="X17" s="156"/>
      <c r="Y17" s="156"/>
      <c r="Z17" s="156"/>
      <c r="AA17" s="156"/>
      <c r="AB17" s="156"/>
      <c r="AC17" s="156"/>
    </row>
    <row r="18" spans="1:29" ht="17.25" customHeight="1" x14ac:dyDescent="0.3">
      <c r="A18" s="23"/>
      <c r="B18" s="24" t="s">
        <v>2</v>
      </c>
      <c r="C18" s="25" t="s">
        <v>34</v>
      </c>
      <c r="D18" s="26">
        <v>350832</v>
      </c>
      <c r="E18" s="26">
        <v>412854</v>
      </c>
      <c r="F18" s="26">
        <v>378614</v>
      </c>
      <c r="G18" s="26"/>
      <c r="H18" s="26"/>
      <c r="I18" s="158">
        <f t="shared" si="4"/>
        <v>0.27638059525122499</v>
      </c>
      <c r="J18" s="158">
        <f t="shared" si="2"/>
        <v>0.28419222318286697</v>
      </c>
      <c r="K18" s="158">
        <f t="shared" si="3"/>
        <v>0.24909323808577674</v>
      </c>
      <c r="L18" s="92"/>
      <c r="M18" s="92"/>
      <c r="N18" s="158">
        <f t="shared" si="17"/>
        <v>0.17678546996853195</v>
      </c>
      <c r="O18" s="158">
        <f t="shared" si="18"/>
        <v>-8.2934887393606452E-2</v>
      </c>
      <c r="P18" s="27">
        <f t="shared" si="15"/>
        <v>0</v>
      </c>
      <c r="Q18" s="27" t="e">
        <f t="shared" si="16"/>
        <v>#DIV/0!</v>
      </c>
      <c r="S18" s="156"/>
      <c r="T18" s="156"/>
      <c r="U18" s="156"/>
      <c r="V18" s="156"/>
      <c r="W18" s="156"/>
      <c r="X18" s="156"/>
      <c r="Y18" s="156"/>
      <c r="Z18" s="156"/>
      <c r="AA18" s="156"/>
      <c r="AB18" s="156"/>
      <c r="AC18" s="156"/>
    </row>
    <row r="19" spans="1:29" ht="17.25" customHeight="1" x14ac:dyDescent="0.3">
      <c r="A19" s="23"/>
      <c r="B19" s="24" t="s">
        <v>3</v>
      </c>
      <c r="C19" s="34" t="s">
        <v>29</v>
      </c>
      <c r="D19" s="26">
        <v>380271</v>
      </c>
      <c r="E19" s="26">
        <v>456437</v>
      </c>
      <c r="F19" s="26">
        <v>588153</v>
      </c>
      <c r="G19" s="26"/>
      <c r="H19" s="26"/>
      <c r="I19" s="157">
        <f t="shared" si="4"/>
        <v>0.29957223211331518</v>
      </c>
      <c r="J19" s="157">
        <f t="shared" si="2"/>
        <v>0.31419302168058988</v>
      </c>
      <c r="K19" s="157">
        <f t="shared" si="3"/>
        <v>0.38695065491467262</v>
      </c>
      <c r="L19" s="92"/>
      <c r="M19" s="92"/>
      <c r="N19" s="157">
        <f t="shared" si="17"/>
        <v>0.20029400085728336</v>
      </c>
      <c r="O19" s="157">
        <f t="shared" si="18"/>
        <v>0.28857432679646916</v>
      </c>
      <c r="P19" s="27">
        <f t="shared" si="15"/>
        <v>0</v>
      </c>
      <c r="Q19" s="27" t="e">
        <f t="shared" si="16"/>
        <v>#DIV/0!</v>
      </c>
      <c r="S19" s="156"/>
      <c r="T19" s="156"/>
      <c r="U19" s="156"/>
      <c r="V19" s="156"/>
      <c r="W19" s="156"/>
      <c r="X19" s="156"/>
      <c r="Y19" s="156"/>
      <c r="Z19" s="156"/>
      <c r="AA19" s="156"/>
      <c r="AB19" s="156"/>
      <c r="AC19" s="156"/>
    </row>
    <row r="20" spans="1:29" ht="17.25" customHeight="1" x14ac:dyDescent="0.3">
      <c r="A20" s="23"/>
      <c r="B20" s="24" t="s">
        <v>4</v>
      </c>
      <c r="C20" s="34" t="s">
        <v>103</v>
      </c>
      <c r="D20" s="26">
        <v>87430</v>
      </c>
      <c r="E20" s="26">
        <v>121981</v>
      </c>
      <c r="F20" s="26">
        <v>74391</v>
      </c>
      <c r="G20" s="26"/>
      <c r="H20" s="26"/>
      <c r="I20" s="27">
        <f t="shared" si="4"/>
        <v>6.8876144259402222E-2</v>
      </c>
      <c r="J20" s="27">
        <f t="shared" si="2"/>
        <v>8.3966854084178186E-2</v>
      </c>
      <c r="K20" s="27">
        <f t="shared" si="3"/>
        <v>4.8942445536718185E-2</v>
      </c>
      <c r="L20" s="92"/>
      <c r="M20" s="92"/>
      <c r="N20" s="27">
        <f t="shared" si="17"/>
        <v>0.39518471920393455</v>
      </c>
      <c r="O20" s="27">
        <f t="shared" si="18"/>
        <v>-0.39014272714603093</v>
      </c>
      <c r="P20" s="27">
        <f t="shared" si="15"/>
        <v>0</v>
      </c>
      <c r="Q20" s="27" t="e">
        <f t="shared" si="16"/>
        <v>#DIV/0!</v>
      </c>
      <c r="S20" s="156"/>
      <c r="T20" s="156"/>
      <c r="U20" s="156"/>
      <c r="V20" s="156"/>
      <c r="W20" s="156"/>
      <c r="X20" s="156"/>
      <c r="Y20" s="156"/>
      <c r="Z20" s="156"/>
      <c r="AA20" s="156"/>
      <c r="AB20" s="156"/>
      <c r="AC20" s="156"/>
    </row>
    <row r="21" spans="1:29" ht="17.25" hidden="1" customHeight="1" x14ac:dyDescent="0.3">
      <c r="A21" s="23"/>
      <c r="B21" s="24"/>
      <c r="C21" s="25"/>
      <c r="D21" s="26"/>
      <c r="E21" s="26"/>
      <c r="F21" s="26"/>
      <c r="G21" s="26"/>
      <c r="H21" s="26" t="e">
        <f>#REF!</f>
        <v>#REF!</v>
      </c>
      <c r="I21" s="21">
        <f t="shared" si="4"/>
        <v>0</v>
      </c>
      <c r="J21" s="21">
        <f t="shared" si="2"/>
        <v>0</v>
      </c>
      <c r="K21" s="21">
        <f t="shared" si="3"/>
        <v>0</v>
      </c>
      <c r="L21" s="92"/>
      <c r="M21" s="92"/>
      <c r="N21" s="27"/>
      <c r="O21" s="27"/>
      <c r="P21" s="27" t="e">
        <f t="shared" si="15"/>
        <v>#DIV/0!</v>
      </c>
      <c r="Q21" s="27" t="e">
        <f t="shared" si="16"/>
        <v>#REF!</v>
      </c>
    </row>
    <row r="22" spans="1:29" ht="17.25" hidden="1" customHeight="1" x14ac:dyDescent="0.3">
      <c r="A22" s="23"/>
      <c r="B22" s="24"/>
      <c r="C22" s="25"/>
      <c r="D22" s="26"/>
      <c r="E22" s="26"/>
      <c r="F22" s="26"/>
      <c r="G22" s="26"/>
      <c r="H22" s="26" t="e">
        <f>#REF!</f>
        <v>#REF!</v>
      </c>
      <c r="I22" s="21">
        <f t="shared" si="4"/>
        <v>0</v>
      </c>
      <c r="J22" s="21">
        <f t="shared" si="2"/>
        <v>0</v>
      </c>
      <c r="K22" s="21">
        <f t="shared" si="3"/>
        <v>0</v>
      </c>
      <c r="L22" s="92"/>
      <c r="M22" s="92"/>
      <c r="N22" s="27"/>
      <c r="O22" s="27"/>
      <c r="P22" s="27" t="e">
        <f t="shared" si="15"/>
        <v>#DIV/0!</v>
      </c>
      <c r="Q22" s="27" t="e">
        <f t="shared" si="16"/>
        <v>#REF!</v>
      </c>
    </row>
    <row r="23" spans="1:29" ht="17.25" hidden="1" customHeight="1" x14ac:dyDescent="0.3">
      <c r="A23" s="23"/>
      <c r="B23" s="24"/>
      <c r="C23" s="34"/>
      <c r="D23" s="26"/>
      <c r="E23" s="26"/>
      <c r="F23" s="26"/>
      <c r="G23" s="26"/>
      <c r="H23" s="26" t="e">
        <f>#REF!</f>
        <v>#REF!</v>
      </c>
      <c r="I23" s="21">
        <f t="shared" si="4"/>
        <v>0</v>
      </c>
      <c r="J23" s="21">
        <f t="shared" si="2"/>
        <v>0</v>
      </c>
      <c r="K23" s="21">
        <f t="shared" si="3"/>
        <v>0</v>
      </c>
      <c r="L23" s="92"/>
      <c r="M23" s="92"/>
      <c r="N23" s="27"/>
      <c r="O23" s="27"/>
      <c r="P23" s="27" t="e">
        <f t="shared" si="15"/>
        <v>#DIV/0!</v>
      </c>
      <c r="Q23" s="27" t="e">
        <f t="shared" si="16"/>
        <v>#REF!</v>
      </c>
    </row>
    <row r="24" spans="1:29" ht="17.25" hidden="1" customHeight="1" x14ac:dyDescent="0.3">
      <c r="A24" s="23"/>
      <c r="B24" s="24"/>
      <c r="C24" s="25"/>
      <c r="D24" s="26"/>
      <c r="E24" s="26"/>
      <c r="F24" s="31"/>
      <c r="G24" s="75"/>
      <c r="H24" s="75"/>
      <c r="I24" s="21">
        <f t="shared" si="4"/>
        <v>0</v>
      </c>
      <c r="J24" s="21">
        <f t="shared" si="2"/>
        <v>0</v>
      </c>
      <c r="K24" s="21">
        <f t="shared" si="3"/>
        <v>0</v>
      </c>
      <c r="L24" s="22"/>
      <c r="M24" s="22"/>
      <c r="N24" s="27"/>
      <c r="O24" s="27"/>
      <c r="P24" s="27"/>
      <c r="Q24" s="27"/>
    </row>
    <row r="25" spans="1:29" ht="17.25" hidden="1" customHeight="1" x14ac:dyDescent="0.3">
      <c r="A25" s="23"/>
      <c r="B25" s="24"/>
      <c r="C25" s="34"/>
      <c r="D25" s="26"/>
      <c r="E25" s="26"/>
      <c r="F25" s="31"/>
      <c r="G25" s="75"/>
      <c r="H25" s="75"/>
      <c r="I25" s="21">
        <f t="shared" si="4"/>
        <v>0</v>
      </c>
      <c r="J25" s="21">
        <f t="shared" si="2"/>
        <v>0</v>
      </c>
      <c r="K25" s="21">
        <f t="shared" si="3"/>
        <v>0</v>
      </c>
      <c r="L25" s="22"/>
      <c r="M25" s="22"/>
      <c r="N25" s="27"/>
      <c r="O25" s="27"/>
      <c r="P25" s="27"/>
      <c r="Q25" s="27"/>
    </row>
    <row r="26" spans="1:29" ht="17.25" hidden="1" customHeight="1" x14ac:dyDescent="0.3">
      <c r="A26" s="23"/>
      <c r="B26" s="24"/>
      <c r="C26" s="25"/>
      <c r="D26" s="26"/>
      <c r="E26" s="26"/>
      <c r="F26" s="31"/>
      <c r="G26" s="75"/>
      <c r="H26" s="75"/>
      <c r="I26" s="21">
        <f t="shared" si="4"/>
        <v>0</v>
      </c>
      <c r="J26" s="21">
        <f t="shared" si="2"/>
        <v>0</v>
      </c>
      <c r="K26" s="21">
        <f t="shared" si="3"/>
        <v>0</v>
      </c>
      <c r="L26" s="22"/>
      <c r="M26" s="22"/>
      <c r="N26" s="27"/>
      <c r="O26" s="27"/>
      <c r="P26" s="27"/>
      <c r="Q26" s="27"/>
    </row>
    <row r="27" spans="1:29" ht="17.25" customHeight="1" x14ac:dyDescent="0.25">
      <c r="A27" s="165" t="s">
        <v>37</v>
      </c>
      <c r="B27" s="166"/>
      <c r="C27" s="166"/>
      <c r="D27" s="35">
        <f>D4+D16</f>
        <v>1269380</v>
      </c>
      <c r="E27" s="35">
        <f>E4+E16</f>
        <v>1452728</v>
      </c>
      <c r="F27" s="35">
        <f>F4+F16</f>
        <v>1519969</v>
      </c>
      <c r="G27" s="36">
        <f>G4+G16</f>
        <v>0</v>
      </c>
      <c r="H27" s="36">
        <f>H4+H16</f>
        <v>0</v>
      </c>
      <c r="I27" s="38">
        <f t="shared" si="4"/>
        <v>1</v>
      </c>
      <c r="J27" s="38">
        <f t="shared" si="2"/>
        <v>1</v>
      </c>
      <c r="K27" s="38">
        <f t="shared" si="3"/>
        <v>1</v>
      </c>
      <c r="L27" s="37"/>
      <c r="M27" s="37"/>
      <c r="N27" s="38">
        <f t="shared" ref="N27" si="19">(E27-D27)/D27</f>
        <v>0.14443901747309709</v>
      </c>
      <c r="O27" s="38">
        <f t="shared" ref="O27" si="20">(F27-E27)/E27</f>
        <v>4.628602188434449E-2</v>
      </c>
      <c r="P27" s="38">
        <f t="shared" ref="P27" si="21">G27/F27</f>
        <v>0</v>
      </c>
      <c r="Q27" s="38" t="e">
        <f t="shared" ref="Q27" si="22">H27/G27</f>
        <v>#DIV/0!</v>
      </c>
    </row>
    <row r="28" spans="1:29" x14ac:dyDescent="0.25">
      <c r="C28" s="2"/>
      <c r="D28" s="3"/>
      <c r="E28" s="3"/>
      <c r="F28" s="3"/>
      <c r="G28" s="3"/>
      <c r="H28" s="3"/>
    </row>
    <row r="29" spans="1:29" ht="15.6" x14ac:dyDescent="0.25">
      <c r="A29" s="69"/>
      <c r="B29" s="69"/>
      <c r="C29" s="69"/>
      <c r="D29" s="69"/>
      <c r="E29" s="69"/>
      <c r="F29" s="69"/>
      <c r="G29" s="69"/>
      <c r="H29" s="69"/>
      <c r="I29" s="69"/>
      <c r="J29" s="69"/>
      <c r="K29" s="69"/>
      <c r="L29" s="69"/>
      <c r="M29" s="69"/>
      <c r="N29" s="69"/>
      <c r="O29" s="69"/>
      <c r="P29" s="93"/>
      <c r="Q29" s="93"/>
    </row>
    <row r="30" spans="1:29" ht="17.25" customHeight="1" x14ac:dyDescent="0.25">
      <c r="A30" s="39"/>
      <c r="B30" s="40"/>
      <c r="C30" s="40" t="s">
        <v>104</v>
      </c>
      <c r="D30" s="67"/>
      <c r="E30" s="68" t="s">
        <v>36</v>
      </c>
      <c r="F30" s="68"/>
      <c r="G30" s="76"/>
      <c r="H30" s="76"/>
      <c r="I30" s="167" t="s">
        <v>35</v>
      </c>
      <c r="J30" s="172"/>
      <c r="K30" s="173"/>
      <c r="L30" s="87"/>
      <c r="M30" s="87"/>
      <c r="N30" s="167" t="s">
        <v>96</v>
      </c>
      <c r="O30" s="168"/>
      <c r="P30" s="94"/>
      <c r="Q30" s="94"/>
    </row>
    <row r="31" spans="1:29" ht="17.25" customHeight="1" x14ac:dyDescent="0.25">
      <c r="A31" s="69" t="s">
        <v>26</v>
      </c>
      <c r="B31" s="40"/>
      <c r="C31" s="40"/>
      <c r="D31" s="41">
        <f>D2</f>
        <v>2019</v>
      </c>
      <c r="E31" s="41">
        <f t="shared" ref="E31:F31" si="23">E2</f>
        <v>2020</v>
      </c>
      <c r="F31" s="41">
        <f t="shared" si="23"/>
        <v>2021</v>
      </c>
      <c r="G31" s="41" t="str">
        <f>G2</f>
        <v>20XX+2</v>
      </c>
      <c r="H31" s="77"/>
      <c r="I31" s="41">
        <f>I2</f>
        <v>2019</v>
      </c>
      <c r="J31" s="41">
        <f t="shared" ref="J31:L31" si="24">J2</f>
        <v>2020</v>
      </c>
      <c r="K31" s="41">
        <f t="shared" si="24"/>
        <v>2021</v>
      </c>
      <c r="L31" s="41" t="str">
        <f t="shared" si="24"/>
        <v>20XX+2</v>
      </c>
      <c r="M31" s="72"/>
      <c r="N31" s="17" t="str">
        <f>N2</f>
        <v>2019-2020</v>
      </c>
      <c r="O31" s="97" t="str">
        <f>O2</f>
        <v>2020-2021</v>
      </c>
      <c r="P31" s="80"/>
      <c r="Q31" s="80"/>
    </row>
    <row r="32" spans="1:29" s="12" customFormat="1" ht="17.25" customHeight="1" x14ac:dyDescent="0.3">
      <c r="A32" s="19" t="s">
        <v>0</v>
      </c>
      <c r="B32" s="171" t="s">
        <v>27</v>
      </c>
      <c r="C32" s="171"/>
      <c r="D32" s="56">
        <f>D33+D34</f>
        <v>609345</v>
      </c>
      <c r="E32" s="56">
        <f>E33+E34</f>
        <v>702985</v>
      </c>
      <c r="F32" s="56">
        <f>F33+F34</f>
        <v>789413</v>
      </c>
      <c r="G32" s="56">
        <f t="shared" ref="G32" si="25">G33+G34</f>
        <v>0</v>
      </c>
      <c r="H32" s="56"/>
      <c r="I32" s="159">
        <f>D32/D$51</f>
        <v>0.48003355969055761</v>
      </c>
      <c r="J32" s="159">
        <f>E32/E$51</f>
        <v>0.48390682908293914</v>
      </c>
      <c r="K32" s="159">
        <f>F32/F$51</f>
        <v>0.51936125013075929</v>
      </c>
      <c r="L32" s="88"/>
      <c r="M32" s="88"/>
      <c r="N32" s="21">
        <f>(E32-D32)/D32</f>
        <v>0.15367320647580598</v>
      </c>
      <c r="O32" s="21">
        <f>(F32-E32)/E32</f>
        <v>0.12294430179875815</v>
      </c>
      <c r="P32" s="22">
        <f>G32/F32</f>
        <v>0</v>
      </c>
      <c r="Q32" s="22" t="e">
        <f t="shared" ref="Q32:Q41" si="26">H32/G32</f>
        <v>#DIV/0!</v>
      </c>
      <c r="R32" s="64"/>
      <c r="S32" s="64"/>
    </row>
    <row r="33" spans="1:19" ht="17.25" customHeight="1" x14ac:dyDescent="0.3">
      <c r="A33" s="23"/>
      <c r="B33" s="24" t="s">
        <v>105</v>
      </c>
      <c r="C33" s="43" t="s">
        <v>106</v>
      </c>
      <c r="D33" s="26">
        <v>8000</v>
      </c>
      <c r="E33" s="26">
        <v>8000</v>
      </c>
      <c r="F33" s="26">
        <v>8000</v>
      </c>
      <c r="G33" s="26"/>
      <c r="H33" s="26"/>
      <c r="I33" s="28">
        <f t="shared" ref="I33:I34" si="27">D33/D$51</f>
        <v>6.3022893065906192E-3</v>
      </c>
      <c r="J33" s="28">
        <f t="shared" ref="J33:J34" si="28">E33/E$51</f>
        <v>5.5068808476191004E-3</v>
      </c>
      <c r="K33" s="28">
        <f t="shared" ref="K33:K34" si="29">F33/F$51</f>
        <v>5.2632652376462937E-3</v>
      </c>
      <c r="L33" s="89"/>
      <c r="M33" s="89"/>
      <c r="N33" s="27">
        <f t="shared" ref="N33:N34" si="30">(E33-D33)/D33</f>
        <v>0</v>
      </c>
      <c r="O33" s="27">
        <f t="shared" ref="O33:O34" si="31">(F33-E33)/E33</f>
        <v>0</v>
      </c>
      <c r="P33" s="28">
        <f t="shared" ref="P33:P41" si="32">G33/F33</f>
        <v>0</v>
      </c>
      <c r="Q33" s="28" t="e">
        <f t="shared" si="26"/>
        <v>#DIV/0!</v>
      </c>
      <c r="R33" s="4"/>
      <c r="S33" s="4"/>
    </row>
    <row r="34" spans="1:19" ht="17.25" customHeight="1" x14ac:dyDescent="0.3">
      <c r="A34" s="23"/>
      <c r="B34" s="24" t="s">
        <v>107</v>
      </c>
      <c r="C34" s="25" t="s">
        <v>108</v>
      </c>
      <c r="D34" s="26">
        <v>601345</v>
      </c>
      <c r="E34" s="26">
        <v>694985</v>
      </c>
      <c r="F34" s="26">
        <v>781413</v>
      </c>
      <c r="G34" s="26"/>
      <c r="H34" s="26"/>
      <c r="I34" s="28">
        <f t="shared" si="27"/>
        <v>0.47373127038396695</v>
      </c>
      <c r="J34" s="28">
        <f t="shared" si="28"/>
        <v>0.47839994823532001</v>
      </c>
      <c r="K34" s="28">
        <f t="shared" si="29"/>
        <v>0.51409798489311298</v>
      </c>
      <c r="L34" s="89"/>
      <c r="M34" s="89"/>
      <c r="N34" s="27">
        <f t="shared" si="30"/>
        <v>0.1557175997139745</v>
      </c>
      <c r="O34" s="27">
        <f t="shared" si="31"/>
        <v>0.12435951855076009</v>
      </c>
      <c r="P34" s="28">
        <f t="shared" si="32"/>
        <v>0</v>
      </c>
      <c r="Q34" s="28" t="e">
        <f t="shared" si="26"/>
        <v>#DIV/0!</v>
      </c>
      <c r="R34" s="4"/>
      <c r="S34" s="4"/>
    </row>
    <row r="35" spans="1:19" ht="17.25" customHeight="1" x14ac:dyDescent="0.3">
      <c r="A35" s="23"/>
      <c r="B35" s="24"/>
      <c r="C35" s="25"/>
      <c r="D35" s="57"/>
      <c r="E35" s="57"/>
      <c r="F35" s="57"/>
      <c r="G35" s="57"/>
      <c r="H35" s="57"/>
      <c r="I35" s="27"/>
      <c r="J35" s="27"/>
      <c r="K35" s="44"/>
      <c r="L35" s="89"/>
      <c r="M35" s="89"/>
      <c r="N35" s="28"/>
      <c r="O35" s="28"/>
      <c r="P35" s="28" t="e">
        <f t="shared" si="32"/>
        <v>#DIV/0!</v>
      </c>
      <c r="Q35" s="28" t="e">
        <f t="shared" si="26"/>
        <v>#DIV/0!</v>
      </c>
      <c r="R35" s="4"/>
      <c r="S35" s="4"/>
    </row>
    <row r="36" spans="1:19" s="12" customFormat="1" ht="17.25" customHeight="1" x14ac:dyDescent="0.3">
      <c r="A36" s="32" t="s">
        <v>5</v>
      </c>
      <c r="B36" s="169" t="s">
        <v>38</v>
      </c>
      <c r="C36" s="170"/>
      <c r="D36" s="58">
        <f>D37+D43</f>
        <v>660035</v>
      </c>
      <c r="E36" s="58">
        <f t="shared" ref="E36:G36" si="33">E37+E43</f>
        <v>749743</v>
      </c>
      <c r="F36" s="58">
        <f t="shared" si="33"/>
        <v>730556</v>
      </c>
      <c r="G36" s="58">
        <f t="shared" si="33"/>
        <v>0</v>
      </c>
      <c r="H36" s="58"/>
      <c r="I36" s="160">
        <f t="shared" ref="I36:I51" si="34">D36/D$51</f>
        <v>0.51996644030944239</v>
      </c>
      <c r="J36" s="160">
        <f t="shared" ref="J36:J51" si="35">E36/E$51</f>
        <v>0.51609317091706086</v>
      </c>
      <c r="K36" s="160">
        <f t="shared" ref="K36:K51" si="36">F36/F$51</f>
        <v>0.48063874986924077</v>
      </c>
      <c r="L36" s="90"/>
      <c r="M36" s="90"/>
      <c r="N36" s="21">
        <f t="shared" ref="N36:N46" si="37">(E36-D36)/D36</f>
        <v>0.13591400456036423</v>
      </c>
      <c r="O36" s="21">
        <f t="shared" ref="O36:O46" si="38">(F36-E36)/E36</f>
        <v>-2.5591435998735566E-2</v>
      </c>
      <c r="P36" s="22">
        <f t="shared" si="32"/>
        <v>0</v>
      </c>
      <c r="Q36" s="22" t="e">
        <f t="shared" si="26"/>
        <v>#DIV/0!</v>
      </c>
      <c r="R36" s="1" t="s">
        <v>113</v>
      </c>
      <c r="S36" s="64"/>
    </row>
    <row r="37" spans="1:19" ht="17.25" customHeight="1" x14ac:dyDescent="0.3">
      <c r="A37" s="23"/>
      <c r="B37" s="24" t="s">
        <v>1</v>
      </c>
      <c r="C37" s="25" t="s">
        <v>109</v>
      </c>
      <c r="D37" s="29">
        <f>D38+D39</f>
        <v>26676</v>
      </c>
      <c r="E37" s="29">
        <f>E38+E39</f>
        <v>36314</v>
      </c>
      <c r="F37" s="29">
        <f>F38+F39</f>
        <v>43437</v>
      </c>
      <c r="G37" s="29"/>
      <c r="H37" s="29"/>
      <c r="I37" s="28">
        <f>D37/D$51</f>
        <v>2.1014983692826419E-2</v>
      </c>
      <c r="J37" s="28">
        <f t="shared" si="35"/>
        <v>2.4997108887554999E-2</v>
      </c>
      <c r="K37" s="28">
        <f t="shared" si="36"/>
        <v>2.8577556515955258E-2</v>
      </c>
      <c r="L37" s="89"/>
      <c r="M37" s="89"/>
      <c r="N37" s="27">
        <f t="shared" si="37"/>
        <v>0.36129854550907181</v>
      </c>
      <c r="O37" s="27">
        <f t="shared" si="38"/>
        <v>0.1961502450845404</v>
      </c>
      <c r="P37" s="28">
        <f t="shared" si="32"/>
        <v>0</v>
      </c>
      <c r="Q37" s="28" t="e">
        <f t="shared" si="26"/>
        <v>#DIV/0!</v>
      </c>
      <c r="R37" s="4"/>
      <c r="S37" s="4"/>
    </row>
    <row r="38" spans="1:19" ht="17.25" customHeight="1" x14ac:dyDescent="0.3">
      <c r="A38" s="45"/>
      <c r="B38" s="46"/>
      <c r="C38" s="47" t="s">
        <v>39</v>
      </c>
      <c r="D38" s="26">
        <v>800</v>
      </c>
      <c r="E38" s="26">
        <v>695</v>
      </c>
      <c r="F38" s="26">
        <v>108</v>
      </c>
      <c r="G38" s="26"/>
      <c r="H38" s="26"/>
      <c r="I38" s="28">
        <f t="shared" si="34"/>
        <v>6.302289306590619E-4</v>
      </c>
      <c r="J38" s="28">
        <f t="shared" si="35"/>
        <v>4.7841027363690932E-4</v>
      </c>
      <c r="K38" s="28">
        <f t="shared" si="36"/>
        <v>7.1054080708224976E-5</v>
      </c>
      <c r="L38" s="89"/>
      <c r="M38" s="89"/>
      <c r="N38" s="27">
        <f t="shared" si="37"/>
        <v>-0.13125000000000001</v>
      </c>
      <c r="O38" s="27">
        <f t="shared" si="38"/>
        <v>-0.8446043165467626</v>
      </c>
      <c r="P38" s="28">
        <f t="shared" si="32"/>
        <v>0</v>
      </c>
      <c r="Q38" s="28" t="e">
        <f t="shared" si="26"/>
        <v>#DIV/0!</v>
      </c>
      <c r="R38" s="4"/>
      <c r="S38" s="4"/>
    </row>
    <row r="39" spans="1:19" ht="17.25" customHeight="1" x14ac:dyDescent="0.3">
      <c r="A39" s="23"/>
      <c r="B39" s="24"/>
      <c r="C39" s="49" t="s">
        <v>110</v>
      </c>
      <c r="D39" s="29">
        <v>25876</v>
      </c>
      <c r="E39" s="29">
        <v>35619</v>
      </c>
      <c r="F39" s="29">
        <v>43329</v>
      </c>
      <c r="G39" s="29"/>
      <c r="H39" s="29"/>
      <c r="I39" s="28">
        <f t="shared" si="34"/>
        <v>2.0384754762167358E-2</v>
      </c>
      <c r="J39" s="28">
        <f t="shared" si="35"/>
        <v>2.4518698613918092E-2</v>
      </c>
      <c r="K39" s="28">
        <f t="shared" si="36"/>
        <v>2.8506502435247036E-2</v>
      </c>
      <c r="L39" s="89"/>
      <c r="M39" s="89"/>
      <c r="N39" s="27">
        <f t="shared" si="37"/>
        <v>0.37652651105271295</v>
      </c>
      <c r="O39" s="27">
        <f t="shared" si="38"/>
        <v>0.21645750863303292</v>
      </c>
      <c r="P39" s="28">
        <f t="shared" si="32"/>
        <v>0</v>
      </c>
      <c r="Q39" s="28" t="e">
        <f t="shared" si="26"/>
        <v>#DIV/0!</v>
      </c>
      <c r="R39" s="4"/>
      <c r="S39" s="4"/>
    </row>
    <row r="40" spans="1:19" ht="17.25" hidden="1" customHeight="1" x14ac:dyDescent="0.3">
      <c r="A40" s="50"/>
      <c r="B40" s="51"/>
      <c r="C40" s="65"/>
      <c r="D40" s="26"/>
      <c r="E40" s="26"/>
      <c r="F40" s="26"/>
      <c r="G40" s="26"/>
      <c r="H40" s="26"/>
      <c r="I40" s="28">
        <f t="shared" si="34"/>
        <v>0</v>
      </c>
      <c r="J40" s="28">
        <f t="shared" si="35"/>
        <v>0</v>
      </c>
      <c r="K40" s="28">
        <f t="shared" si="36"/>
        <v>0</v>
      </c>
      <c r="L40" s="89"/>
      <c r="M40" s="89"/>
      <c r="N40" s="27" t="e">
        <f t="shared" si="37"/>
        <v>#DIV/0!</v>
      </c>
      <c r="O40" s="27" t="e">
        <f t="shared" si="38"/>
        <v>#DIV/0!</v>
      </c>
      <c r="P40" s="28" t="e">
        <f t="shared" si="32"/>
        <v>#DIV/0!</v>
      </c>
      <c r="Q40" s="28" t="e">
        <f t="shared" si="26"/>
        <v>#DIV/0!</v>
      </c>
      <c r="R40" s="4"/>
      <c r="S40" s="4"/>
    </row>
    <row r="41" spans="1:19" ht="17.25" hidden="1" customHeight="1" x14ac:dyDescent="0.3">
      <c r="A41" s="50"/>
      <c r="B41" s="51"/>
      <c r="C41" s="65"/>
      <c r="D41" s="26"/>
      <c r="E41" s="26"/>
      <c r="F41" s="26"/>
      <c r="G41" s="26"/>
      <c r="H41" s="26"/>
      <c r="I41" s="28">
        <f t="shared" si="34"/>
        <v>0</v>
      </c>
      <c r="J41" s="28">
        <f t="shared" si="35"/>
        <v>0</v>
      </c>
      <c r="K41" s="28">
        <f t="shared" si="36"/>
        <v>0</v>
      </c>
      <c r="L41" s="89"/>
      <c r="M41" s="89"/>
      <c r="N41" s="27" t="e">
        <f t="shared" si="37"/>
        <v>#DIV/0!</v>
      </c>
      <c r="O41" s="27" t="e">
        <f t="shared" si="38"/>
        <v>#DIV/0!</v>
      </c>
      <c r="P41" s="28" t="e">
        <f t="shared" si="32"/>
        <v>#DIV/0!</v>
      </c>
      <c r="Q41" s="28" t="e">
        <f t="shared" si="26"/>
        <v>#DIV/0!</v>
      </c>
      <c r="R41" s="4"/>
      <c r="S41" s="4"/>
    </row>
    <row r="42" spans="1:19" ht="17.25" hidden="1" customHeight="1" x14ac:dyDescent="0.3">
      <c r="A42" s="23"/>
      <c r="B42" s="24"/>
      <c r="C42" s="52"/>
      <c r="D42" s="59"/>
      <c r="E42" s="59"/>
      <c r="F42" s="59"/>
      <c r="G42" s="59"/>
      <c r="H42" s="59"/>
      <c r="I42" s="28">
        <f t="shared" si="34"/>
        <v>0</v>
      </c>
      <c r="J42" s="28">
        <f t="shared" si="35"/>
        <v>0</v>
      </c>
      <c r="K42" s="28">
        <f t="shared" si="36"/>
        <v>0</v>
      </c>
      <c r="L42" s="89"/>
      <c r="M42" s="89"/>
      <c r="N42" s="27" t="e">
        <f t="shared" si="37"/>
        <v>#DIV/0!</v>
      </c>
      <c r="O42" s="27" t="e">
        <f t="shared" si="38"/>
        <v>#DIV/0!</v>
      </c>
      <c r="P42" s="28" t="e">
        <f>G42/F42</f>
        <v>#DIV/0!</v>
      </c>
      <c r="Q42" s="28" t="e">
        <f>H42/G42</f>
        <v>#DIV/0!</v>
      </c>
      <c r="R42" s="4"/>
      <c r="S42" s="4"/>
    </row>
    <row r="43" spans="1:19" ht="17.25" customHeight="1" x14ac:dyDescent="0.3">
      <c r="A43" s="23"/>
      <c r="B43" s="24" t="s">
        <v>2</v>
      </c>
      <c r="C43" s="25" t="s">
        <v>111</v>
      </c>
      <c r="D43" s="29">
        <f>SUM(D44:D48)</f>
        <v>633359</v>
      </c>
      <c r="E43" s="29">
        <f t="shared" ref="E43:G43" si="39">SUM(E44:E48)</f>
        <v>713429</v>
      </c>
      <c r="F43" s="29">
        <f t="shared" si="39"/>
        <v>687119</v>
      </c>
      <c r="G43" s="29">
        <f t="shared" si="39"/>
        <v>0</v>
      </c>
      <c r="H43" s="29"/>
      <c r="I43" s="161">
        <f t="shared" si="34"/>
        <v>0.498951456616616</v>
      </c>
      <c r="J43" s="161">
        <f t="shared" si="35"/>
        <v>0.49109606202950584</v>
      </c>
      <c r="K43" s="161">
        <f t="shared" si="36"/>
        <v>0.45206119335328548</v>
      </c>
      <c r="L43" s="89"/>
      <c r="M43" s="89"/>
      <c r="N43" s="162">
        <f t="shared" si="37"/>
        <v>0.12642119240430783</v>
      </c>
      <c r="O43" s="162">
        <f t="shared" si="38"/>
        <v>-3.6878231751162345E-2</v>
      </c>
      <c r="P43" s="28">
        <f t="shared" ref="P43:P48" si="40">G43/F43</f>
        <v>0</v>
      </c>
      <c r="Q43" s="28" t="e">
        <f t="shared" ref="Q43:Q48" si="41">H43/G43</f>
        <v>#DIV/0!</v>
      </c>
      <c r="R43" s="4"/>
      <c r="S43" s="4"/>
    </row>
    <row r="44" spans="1:19" ht="17.25" customHeight="1" x14ac:dyDescent="0.3">
      <c r="A44" s="23"/>
      <c r="B44" s="24"/>
      <c r="C44" s="53" t="s">
        <v>39</v>
      </c>
      <c r="D44" s="29">
        <v>483682</v>
      </c>
      <c r="E44" s="29">
        <v>569393</v>
      </c>
      <c r="F44" s="29">
        <v>540167</v>
      </c>
      <c r="G44" s="29"/>
      <c r="H44" s="29"/>
      <c r="I44" s="161">
        <f t="shared" si="34"/>
        <v>0.38103798704879549</v>
      </c>
      <c r="J44" s="161">
        <f t="shared" si="35"/>
        <v>0.3919474258085478</v>
      </c>
      <c r="K44" s="161">
        <f t="shared" si="36"/>
        <v>0.3553802742029607</v>
      </c>
      <c r="L44" s="89"/>
      <c r="M44" s="89"/>
      <c r="N44" s="162">
        <f t="shared" si="37"/>
        <v>0.17720527123192512</v>
      </c>
      <c r="O44" s="162">
        <f t="shared" si="38"/>
        <v>-5.1328344394820452E-2</v>
      </c>
      <c r="P44" s="28">
        <f t="shared" si="40"/>
        <v>0</v>
      </c>
      <c r="Q44" s="28" t="e">
        <f t="shared" si="41"/>
        <v>#DIV/0!</v>
      </c>
      <c r="R44" s="4"/>
      <c r="S44" s="4"/>
    </row>
    <row r="45" spans="1:19" ht="17.25" customHeight="1" x14ac:dyDescent="0.3">
      <c r="A45" s="23"/>
      <c r="B45" s="24"/>
      <c r="C45" s="53" t="s">
        <v>40</v>
      </c>
      <c r="D45" s="59">
        <v>118689</v>
      </c>
      <c r="E45" s="59">
        <v>119706</v>
      </c>
      <c r="F45" s="59">
        <v>112614</v>
      </c>
      <c r="G45" s="59"/>
      <c r="H45" s="59"/>
      <c r="I45" s="28">
        <f t="shared" si="34"/>
        <v>9.3501551938741753E-2</v>
      </c>
      <c r="J45" s="28">
        <f t="shared" si="35"/>
        <v>8.2400834843136497E-2</v>
      </c>
      <c r="K45" s="28">
        <f t="shared" si="36"/>
        <v>7.408966893403747E-2</v>
      </c>
      <c r="L45" s="89"/>
      <c r="M45" s="89"/>
      <c r="N45" s="27">
        <f t="shared" si="37"/>
        <v>8.5686120870510328E-3</v>
      </c>
      <c r="O45" s="27">
        <f t="shared" si="38"/>
        <v>-5.9245150619016591E-2</v>
      </c>
      <c r="P45" s="28">
        <f t="shared" si="40"/>
        <v>0</v>
      </c>
      <c r="Q45" s="28" t="e">
        <f t="shared" si="41"/>
        <v>#DIV/0!</v>
      </c>
      <c r="R45" s="4"/>
      <c r="S45" s="4"/>
    </row>
    <row r="46" spans="1:19" ht="17.25" customHeight="1" x14ac:dyDescent="0.3">
      <c r="A46" s="23"/>
      <c r="B46" s="24"/>
      <c r="C46" s="53" t="s">
        <v>112</v>
      </c>
      <c r="D46" s="59">
        <v>30988</v>
      </c>
      <c r="E46" s="59">
        <v>24330</v>
      </c>
      <c r="F46" s="59">
        <v>34338</v>
      </c>
      <c r="G46" s="59"/>
      <c r="H46" s="59"/>
      <c r="I46" s="28">
        <f t="shared" si="34"/>
        <v>2.4411917629078763E-2</v>
      </c>
      <c r="J46" s="28">
        <f t="shared" si="35"/>
        <v>1.674780137782159E-2</v>
      </c>
      <c r="K46" s="28">
        <f t="shared" si="36"/>
        <v>2.2591250216287304E-2</v>
      </c>
      <c r="L46" s="89"/>
      <c r="M46" s="89"/>
      <c r="N46" s="27">
        <f t="shared" si="37"/>
        <v>-0.2148573641409578</v>
      </c>
      <c r="O46" s="27">
        <f t="shared" si="38"/>
        <v>0.41134401972872997</v>
      </c>
      <c r="P46" s="28">
        <f t="shared" si="40"/>
        <v>0</v>
      </c>
      <c r="Q46" s="28" t="e">
        <f t="shared" si="41"/>
        <v>#DIV/0!</v>
      </c>
      <c r="R46" s="4"/>
      <c r="S46" s="4"/>
    </row>
    <row r="47" spans="1:19" ht="17.25" hidden="1" customHeight="1" x14ac:dyDescent="0.3">
      <c r="A47" s="23"/>
      <c r="B47" s="24"/>
      <c r="C47" s="54"/>
      <c r="D47" s="59"/>
      <c r="E47" s="59"/>
      <c r="F47" s="59"/>
      <c r="G47" s="59"/>
      <c r="H47" s="59"/>
      <c r="I47" s="63">
        <f t="shared" si="34"/>
        <v>0</v>
      </c>
      <c r="J47" s="63">
        <f t="shared" si="35"/>
        <v>0</v>
      </c>
      <c r="K47" s="63">
        <f t="shared" si="36"/>
        <v>0</v>
      </c>
      <c r="L47" s="89"/>
      <c r="M47" s="89"/>
      <c r="N47" s="28"/>
      <c r="O47" s="28"/>
      <c r="P47" s="28" t="e">
        <f t="shared" si="40"/>
        <v>#DIV/0!</v>
      </c>
      <c r="Q47" s="28" t="e">
        <f t="shared" si="41"/>
        <v>#DIV/0!</v>
      </c>
      <c r="R47" s="4"/>
      <c r="S47" s="4"/>
    </row>
    <row r="48" spans="1:19" ht="17.25" hidden="1" customHeight="1" x14ac:dyDescent="0.3">
      <c r="A48" s="23"/>
      <c r="B48" s="24"/>
      <c r="C48" s="54"/>
      <c r="D48" s="59"/>
      <c r="E48" s="59"/>
      <c r="F48" s="59"/>
      <c r="G48" s="59"/>
      <c r="H48" s="59"/>
      <c r="I48" s="63">
        <f t="shared" si="34"/>
        <v>0</v>
      </c>
      <c r="J48" s="63">
        <f t="shared" si="35"/>
        <v>0</v>
      </c>
      <c r="K48" s="63">
        <f t="shared" si="36"/>
        <v>0</v>
      </c>
      <c r="L48" s="89"/>
      <c r="M48" s="89"/>
      <c r="N48" s="28"/>
      <c r="O48" s="28"/>
      <c r="P48" s="28" t="e">
        <f t="shared" si="40"/>
        <v>#DIV/0!</v>
      </c>
      <c r="Q48" s="28" t="e">
        <f t="shared" si="41"/>
        <v>#DIV/0!</v>
      </c>
      <c r="R48" s="4"/>
      <c r="S48" s="4"/>
    </row>
    <row r="49" spans="1:19" ht="15.6" hidden="1" x14ac:dyDescent="0.3">
      <c r="A49" s="23"/>
      <c r="B49" s="24"/>
      <c r="C49" s="55"/>
      <c r="D49" s="29">
        <v>0</v>
      </c>
      <c r="E49" s="29">
        <v>0</v>
      </c>
      <c r="F49" s="60">
        <v>0</v>
      </c>
      <c r="G49" s="78"/>
      <c r="H49" s="78"/>
      <c r="I49" s="63">
        <f t="shared" si="34"/>
        <v>0</v>
      </c>
      <c r="J49" s="63">
        <f t="shared" si="35"/>
        <v>0</v>
      </c>
      <c r="K49" s="63">
        <f t="shared" si="36"/>
        <v>0</v>
      </c>
      <c r="L49" s="89"/>
      <c r="M49" s="89"/>
      <c r="N49" s="48"/>
      <c r="O49" s="48"/>
      <c r="P49" s="96"/>
      <c r="Q49" s="96"/>
      <c r="R49" s="4"/>
      <c r="S49" s="4"/>
    </row>
    <row r="50" spans="1:19" ht="15.6" hidden="1" x14ac:dyDescent="0.3">
      <c r="A50" s="23"/>
      <c r="B50" s="24"/>
      <c r="C50" s="55"/>
      <c r="D50" s="59">
        <v>360898.48</v>
      </c>
      <c r="E50" s="59">
        <v>298117.25</v>
      </c>
      <c r="F50" s="61">
        <v>297956.3</v>
      </c>
      <c r="G50" s="79"/>
      <c r="H50" s="79"/>
      <c r="I50" s="63">
        <f t="shared" si="34"/>
        <v>0.28431082890860104</v>
      </c>
      <c r="J50" s="63">
        <f t="shared" si="35"/>
        <v>0.20521202179623441</v>
      </c>
      <c r="K50" s="63">
        <f t="shared" si="36"/>
        <v>0.19602787951596382</v>
      </c>
      <c r="L50" s="89"/>
      <c r="M50" s="89"/>
      <c r="N50" s="28"/>
      <c r="O50" s="28"/>
      <c r="P50" s="95"/>
      <c r="Q50" s="95"/>
      <c r="R50" s="4"/>
      <c r="S50" s="4"/>
    </row>
    <row r="51" spans="1:19" s="12" customFormat="1" ht="15.6" x14ac:dyDescent="0.25">
      <c r="A51" s="165" t="s">
        <v>45</v>
      </c>
      <c r="B51" s="166"/>
      <c r="C51" s="166"/>
      <c r="D51" s="35">
        <f>D32+D36</f>
        <v>1269380</v>
      </c>
      <c r="E51" s="35">
        <f>E32+E36</f>
        <v>1452728</v>
      </c>
      <c r="F51" s="36">
        <f t="shared" ref="F51:H51" si="42">F32+F36</f>
        <v>1519969</v>
      </c>
      <c r="G51" s="36">
        <f t="shared" si="42"/>
        <v>0</v>
      </c>
      <c r="H51" s="36">
        <f t="shared" si="42"/>
        <v>0</v>
      </c>
      <c r="I51" s="37">
        <f t="shared" si="34"/>
        <v>1</v>
      </c>
      <c r="J51" s="37">
        <f t="shared" si="35"/>
        <v>1</v>
      </c>
      <c r="K51" s="37">
        <f t="shared" si="36"/>
        <v>1</v>
      </c>
      <c r="L51" s="91"/>
      <c r="M51" s="91"/>
      <c r="N51" s="38">
        <f t="shared" ref="N51" si="43">(E51-D51)/D51</f>
        <v>0.14443901747309709</v>
      </c>
      <c r="O51" s="38">
        <f t="shared" ref="O51" si="44">(F51-E51)/E51</f>
        <v>4.628602188434449E-2</v>
      </c>
      <c r="P51" s="37">
        <f t="shared" ref="P51" si="45">G51/F51</f>
        <v>0</v>
      </c>
      <c r="Q51" s="37" t="e">
        <f t="shared" ref="Q51" si="46">H51/G51</f>
        <v>#DIV/0!</v>
      </c>
      <c r="R51" s="64"/>
      <c r="S51" s="64"/>
    </row>
    <row r="52" spans="1:19" x14ac:dyDescent="0.25">
      <c r="D52" s="62">
        <f>D27-D51</f>
        <v>0</v>
      </c>
      <c r="E52" s="62">
        <f>E27-E51</f>
        <v>0</v>
      </c>
      <c r="F52" s="62">
        <f>F27-F51</f>
        <v>0</v>
      </c>
      <c r="G52" s="62"/>
      <c r="H52" s="62"/>
    </row>
    <row r="53" spans="1:19" ht="132.44999999999999" customHeight="1" x14ac:dyDescent="0.25">
      <c r="D53" s="62"/>
      <c r="E53" s="62"/>
      <c r="F53" s="62"/>
      <c r="G53" s="62"/>
      <c r="H53" s="62"/>
    </row>
    <row r="54" spans="1:19" ht="15.6" x14ac:dyDescent="0.25">
      <c r="D54" s="41">
        <v>2014</v>
      </c>
      <c r="E54" s="42">
        <v>2015</v>
      </c>
      <c r="F54" s="17">
        <v>2016</v>
      </c>
      <c r="G54" s="80">
        <v>2017</v>
      </c>
      <c r="H54" s="80">
        <v>2018</v>
      </c>
    </row>
    <row r="55" spans="1:19" x14ac:dyDescent="0.25">
      <c r="C55" s="10" t="s">
        <v>41</v>
      </c>
      <c r="D55" s="8">
        <f>D32+D37</f>
        <v>636021</v>
      </c>
      <c r="E55" s="8">
        <f>E32+E37</f>
        <v>739299</v>
      </c>
      <c r="F55" s="8">
        <f>F32+F37</f>
        <v>832850</v>
      </c>
      <c r="G55" s="8">
        <f>G32+G37</f>
        <v>0</v>
      </c>
      <c r="H55" s="8">
        <f>H32+H37</f>
        <v>0</v>
      </c>
    </row>
    <row r="56" spans="1:19" x14ac:dyDescent="0.25">
      <c r="C56" s="10" t="s">
        <v>42</v>
      </c>
      <c r="D56" s="7"/>
      <c r="E56" s="7"/>
      <c r="F56" s="7"/>
      <c r="G56" s="82"/>
      <c r="H56" s="82"/>
    </row>
    <row r="57" spans="1:19" x14ac:dyDescent="0.25">
      <c r="C57" s="11" t="s">
        <v>43</v>
      </c>
      <c r="D57" s="8">
        <f>D16-D43</f>
        <v>499155</v>
      </c>
      <c r="E57" s="8">
        <f>E16-E43</f>
        <v>607714</v>
      </c>
      <c r="F57" s="8">
        <f>F16-F43</f>
        <v>690982</v>
      </c>
      <c r="G57" s="8">
        <f>G16-G43</f>
        <v>0</v>
      </c>
      <c r="H57" s="8">
        <f>H16-H43</f>
        <v>0</v>
      </c>
    </row>
    <row r="58" spans="1:19" x14ac:dyDescent="0.25">
      <c r="C58" s="11" t="s">
        <v>44</v>
      </c>
      <c r="D58" s="8">
        <f>D55-D4</f>
        <v>499155</v>
      </c>
      <c r="E58" s="8">
        <f>E55-E4</f>
        <v>607714</v>
      </c>
      <c r="F58" s="8">
        <f>F55-F4</f>
        <v>690982</v>
      </c>
      <c r="G58" s="8">
        <f>G55-G4</f>
        <v>0</v>
      </c>
      <c r="H58" s="8">
        <f>H55-H4</f>
        <v>0</v>
      </c>
    </row>
    <row r="59" spans="1:19" hidden="1" x14ac:dyDescent="0.25">
      <c r="C59" s="10" t="s">
        <v>6</v>
      </c>
      <c r="D59" s="8">
        <f>D57-(D24-D45-0-0)</f>
        <v>617844</v>
      </c>
      <c r="E59" s="8">
        <f>E57-(E24-E45-0-0)</f>
        <v>727420</v>
      </c>
      <c r="F59" s="8">
        <f>F57-(F24-F45-0-0)</f>
        <v>803596</v>
      </c>
      <c r="G59" s="81"/>
      <c r="H59" s="81"/>
    </row>
    <row r="60" spans="1:19" hidden="1" x14ac:dyDescent="0.25">
      <c r="C60" s="11" t="s">
        <v>7</v>
      </c>
      <c r="D60" s="9" t="s">
        <v>9</v>
      </c>
      <c r="E60" s="9" t="s">
        <v>9</v>
      </c>
      <c r="F60" s="9" t="s">
        <v>9</v>
      </c>
      <c r="G60" s="83"/>
      <c r="H60" s="83"/>
    </row>
    <row r="61" spans="1:19" hidden="1" x14ac:dyDescent="0.25">
      <c r="C61" s="11" t="s">
        <v>8</v>
      </c>
      <c r="D61" s="8">
        <f t="shared" ref="D61:F61" si="47">D57-D59</f>
        <v>-118689</v>
      </c>
      <c r="E61" s="8">
        <f t="shared" si="47"/>
        <v>-119706</v>
      </c>
      <c r="F61" s="8">
        <f t="shared" si="47"/>
        <v>-112614</v>
      </c>
      <c r="G61" s="81"/>
      <c r="H61" s="81"/>
    </row>
    <row r="63" spans="1:19" hidden="1" x14ac:dyDescent="0.25">
      <c r="C63" s="16" t="s">
        <v>10</v>
      </c>
      <c r="D63" s="5">
        <v>4238476.63</v>
      </c>
      <c r="E63" s="5">
        <v>5063393.8899999997</v>
      </c>
      <c r="F63" s="5">
        <v>7668042.3799999999</v>
      </c>
      <c r="G63" s="84"/>
      <c r="H63" s="84"/>
    </row>
    <row r="64" spans="1:19" hidden="1" x14ac:dyDescent="0.25">
      <c r="C64" s="16" t="s">
        <v>11</v>
      </c>
      <c r="D64" s="5">
        <v>-4164310.38</v>
      </c>
      <c r="E64" s="5">
        <v>-3895045.41</v>
      </c>
      <c r="F64" s="5">
        <v>-4479853.24</v>
      </c>
      <c r="G64" s="84"/>
      <c r="H64" s="84"/>
    </row>
    <row r="65" spans="2:8" hidden="1" x14ac:dyDescent="0.25">
      <c r="C65" s="16" t="s">
        <v>12</v>
      </c>
      <c r="D65" s="5">
        <v>-457687.68</v>
      </c>
      <c r="E65" s="5">
        <v>-1737833.34</v>
      </c>
      <c r="F65" s="5">
        <v>-1964773.94</v>
      </c>
      <c r="G65" s="84"/>
      <c r="H65" s="84"/>
    </row>
    <row r="67" spans="2:8" ht="15.6" x14ac:dyDescent="0.25">
      <c r="B67" s="70"/>
      <c r="C67" s="70"/>
      <c r="D67" s="66">
        <v>2014</v>
      </c>
      <c r="E67" s="66">
        <v>2015</v>
      </c>
      <c r="F67" s="17">
        <v>2016</v>
      </c>
      <c r="G67" s="80">
        <v>2017</v>
      </c>
      <c r="H67" s="80">
        <v>2018</v>
      </c>
    </row>
    <row r="68" spans="2:8" x14ac:dyDescent="0.25">
      <c r="C68" s="14" t="s">
        <v>48</v>
      </c>
      <c r="D68" s="13">
        <f>D23/D43</f>
        <v>0</v>
      </c>
      <c r="E68" s="13">
        <f t="shared" ref="E68" si="48">E23/E43</f>
        <v>0</v>
      </c>
      <c r="F68" s="13">
        <f>F23/F43</f>
        <v>0</v>
      </c>
      <c r="G68" s="13" t="e">
        <f>G23/G43</f>
        <v>#DIV/0!</v>
      </c>
      <c r="H68" s="13" t="e">
        <f t="shared" ref="H68" si="49">H23/H43</f>
        <v>#REF!</v>
      </c>
    </row>
    <row r="69" spans="2:8" x14ac:dyDescent="0.25">
      <c r="C69" s="14" t="s">
        <v>47</v>
      </c>
      <c r="D69" s="13">
        <f>(D16-D17)/D43</f>
        <v>1.2923681513959697</v>
      </c>
      <c r="E69" s="13">
        <f t="shared" ref="E69:H69" si="50">(E16-E17)/E43</f>
        <v>1.3894473030953325</v>
      </c>
      <c r="F69" s="13">
        <f t="shared" si="50"/>
        <v>1.5152513611179432</v>
      </c>
      <c r="G69" s="13" t="e">
        <f>(G16-G17)/G43</f>
        <v>#DIV/0!</v>
      </c>
      <c r="H69" s="13" t="e">
        <f t="shared" si="50"/>
        <v>#DIV/0!</v>
      </c>
    </row>
    <row r="70" spans="2:8" x14ac:dyDescent="0.25">
      <c r="C70" s="14" t="s">
        <v>46</v>
      </c>
      <c r="D70" s="13">
        <f>D16/D43</f>
        <v>1.7881075345893878</v>
      </c>
      <c r="E70" s="13">
        <f>E16/E43</f>
        <v>1.8518212744365592</v>
      </c>
      <c r="F70" s="13">
        <f>F16/F43</f>
        <v>2.0056220247147873</v>
      </c>
      <c r="G70" s="13" t="e">
        <f>G16/G43</f>
        <v>#DIV/0!</v>
      </c>
      <c r="H70" s="13" t="e">
        <f t="shared" ref="H70" si="51">H16/H43</f>
        <v>#DIV/0!</v>
      </c>
    </row>
    <row r="72" spans="2:8" ht="15.6" x14ac:dyDescent="0.25">
      <c r="B72" s="12"/>
      <c r="D72" s="66">
        <v>2014</v>
      </c>
      <c r="E72" s="42">
        <v>2015</v>
      </c>
      <c r="F72" s="17">
        <v>2016</v>
      </c>
      <c r="G72" s="80">
        <v>2017</v>
      </c>
      <c r="H72" s="80">
        <v>2018</v>
      </c>
    </row>
    <row r="73" spans="2:8" x14ac:dyDescent="0.25">
      <c r="C73" s="15" t="s">
        <v>49</v>
      </c>
      <c r="D73" s="71">
        <f>D36/D27</f>
        <v>0.51996644030944239</v>
      </c>
      <c r="E73" s="71">
        <f>E36/E27</f>
        <v>0.51609317091706086</v>
      </c>
      <c r="F73" s="71">
        <f>F36/F27</f>
        <v>0.48063874986924077</v>
      </c>
      <c r="G73" s="71" t="e">
        <f t="shared" ref="G73:H73" si="52">G36/G27</f>
        <v>#DIV/0!</v>
      </c>
      <c r="H73" s="71" t="e">
        <f t="shared" si="52"/>
        <v>#DIV/0!</v>
      </c>
    </row>
    <row r="74" spans="2:8" x14ac:dyDescent="0.25">
      <c r="C74" s="15" t="s">
        <v>50</v>
      </c>
      <c r="D74" s="71">
        <f>D37/(D32+D37)</f>
        <v>4.1942011348681883E-2</v>
      </c>
      <c r="E74" s="71">
        <f t="shared" ref="E74:H74" si="53">E37/(E32+E37)</f>
        <v>4.9119503746116254E-2</v>
      </c>
      <c r="F74" s="71">
        <f t="shared" si="53"/>
        <v>5.2154649696824158E-2</v>
      </c>
      <c r="G74" s="71" t="e">
        <f t="shared" si="53"/>
        <v>#DIV/0!</v>
      </c>
      <c r="H74" s="71" t="e">
        <f t="shared" si="53"/>
        <v>#DIV/0!</v>
      </c>
    </row>
    <row r="75" spans="2:8" x14ac:dyDescent="0.25">
      <c r="C75" s="15" t="s">
        <v>90</v>
      </c>
      <c r="D75" s="13">
        <f>D36/D32</f>
        <v>1.0831876851373197</v>
      </c>
      <c r="E75" s="13">
        <f t="shared" ref="E75:H75" si="54">E36/E32</f>
        <v>1.0665135102455956</v>
      </c>
      <c r="F75" s="13">
        <f t="shared" si="54"/>
        <v>0.92544206898036896</v>
      </c>
      <c r="G75" s="13" t="e">
        <f t="shared" si="54"/>
        <v>#DIV/0!</v>
      </c>
      <c r="H75" s="13" t="e">
        <f t="shared" si="54"/>
        <v>#DIV/0!</v>
      </c>
    </row>
    <row r="76" spans="2:8" x14ac:dyDescent="0.25">
      <c r="C76" s="15" t="s">
        <v>51</v>
      </c>
      <c r="D76" s="71">
        <f>(D38+D44)/D51</f>
        <v>0.38166821597945455</v>
      </c>
      <c r="E76" s="71">
        <f>(E38+E44)/E51</f>
        <v>0.39242583608218468</v>
      </c>
      <c r="F76" s="71">
        <f t="shared" ref="F76" si="55">(F38+F44)/F51</f>
        <v>0.35545132828366893</v>
      </c>
      <c r="G76" s="71" t="e">
        <f>(G38+G44)/G51</f>
        <v>#DIV/0!</v>
      </c>
      <c r="H76" s="71" t="e">
        <f>(H38+H44)/H51</f>
        <v>#DIV/0!</v>
      </c>
    </row>
    <row r="78" spans="2:8" x14ac:dyDescent="0.25">
      <c r="C78" s="15" t="s">
        <v>91</v>
      </c>
      <c r="D78" s="13" t="e">
        <f>'Income statement'!D11/#REF!</f>
        <v>#REF!</v>
      </c>
      <c r="E78" s="13" t="e">
        <f>'Income statement'!E11/#REF!</f>
        <v>#REF!</v>
      </c>
      <c r="F78" s="13" t="e">
        <f>'Income statement'!F11/#REF!</f>
        <v>#REF!</v>
      </c>
      <c r="G78" s="13" t="e">
        <f>'Income statement'!G11/#REF!</f>
        <v>#REF!</v>
      </c>
      <c r="H78" s="13" t="e">
        <f>'Income statement'!H11/#REF!</f>
        <v>#REF!</v>
      </c>
    </row>
    <row r="79" spans="2:8" x14ac:dyDescent="0.25">
      <c r="C79" s="15" t="s">
        <v>92</v>
      </c>
      <c r="D79" s="13" t="e">
        <f>('Income statement'!D11+#REF!)/#REF!</f>
        <v>#REF!</v>
      </c>
      <c r="E79" s="13" t="e">
        <f>('Income statement'!E11+#REF!)/#REF!</f>
        <v>#REF!</v>
      </c>
      <c r="F79" s="13" t="e">
        <f>('Income statement'!F11+#REF!)/#REF!</f>
        <v>#REF!</v>
      </c>
      <c r="G79" s="13" t="e">
        <f>('Income statement'!G11+#REF!)/#REF!</f>
        <v>#REF!</v>
      </c>
      <c r="H79" s="13" t="e">
        <f>('Income statement'!H11+#REF!)/#REF!</f>
        <v>#REF!</v>
      </c>
    </row>
    <row r="80" spans="2:8" hidden="1" x14ac:dyDescent="0.25">
      <c r="C80" s="15"/>
      <c r="D80" s="6"/>
      <c r="E80" s="6"/>
      <c r="F80" s="6"/>
      <c r="G80" s="85"/>
      <c r="H80" s="85"/>
    </row>
  </sheetData>
  <mergeCells count="13">
    <mergeCell ref="R1:S1"/>
    <mergeCell ref="A1:C2"/>
    <mergeCell ref="B4:C4"/>
    <mergeCell ref="B16:C16"/>
    <mergeCell ref="N1:O1"/>
    <mergeCell ref="D1:F1"/>
    <mergeCell ref="I1:K1"/>
    <mergeCell ref="A27:C27"/>
    <mergeCell ref="N30:O30"/>
    <mergeCell ref="B36:C36"/>
    <mergeCell ref="A51:C51"/>
    <mergeCell ref="B32:C32"/>
    <mergeCell ref="I30:K30"/>
  </mergeCells>
  <pageMargins left="0.7" right="0.7" top="0.75" bottom="0.75" header="0.3" footer="0.3"/>
  <pageSetup paperSize="9" scale="52" fitToHeight="0" orientation="landscape" horizontalDpi="4294967293" verticalDpi="4294967293"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95"/>
  <sheetViews>
    <sheetView topLeftCell="A22" zoomScale="90" zoomScaleNormal="90" workbookViewId="0">
      <selection activeCell="T14" sqref="T14"/>
    </sheetView>
  </sheetViews>
  <sheetFormatPr defaultColWidth="9.21875" defaultRowHeight="15.6" x14ac:dyDescent="0.3"/>
  <cols>
    <col min="1" max="2" width="2.77734375" style="43" customWidth="1"/>
    <col min="3" max="3" width="27.88671875" style="43" customWidth="1"/>
    <col min="4" max="4" width="13.21875" style="43" customWidth="1"/>
    <col min="5" max="5" width="13.33203125" style="43" customWidth="1"/>
    <col min="6" max="6" width="12.5546875" style="43" customWidth="1"/>
    <col min="7" max="8" width="16.77734375" style="43" hidden="1" customWidth="1"/>
    <col min="9" max="9" width="13.77734375" style="43" customWidth="1"/>
    <col min="10" max="10" width="12.6640625" style="43" customWidth="1"/>
    <col min="11" max="11" width="11.21875" style="43" customWidth="1"/>
    <col min="12" max="13" width="11.21875" style="43" hidden="1" customWidth="1"/>
    <col min="14" max="14" width="13.77734375" style="43" customWidth="1"/>
    <col min="15" max="15" width="13.44140625" style="43" customWidth="1"/>
    <col min="16" max="17" width="13.44140625" style="43" hidden="1" customWidth="1"/>
    <col min="18" max="18" width="9.5546875" style="43" customWidth="1"/>
    <col min="19" max="21" width="11.77734375" style="43" customWidth="1"/>
    <col min="22" max="16384" width="9.21875" style="43"/>
  </cols>
  <sheetData>
    <row r="1" spans="1:18" x14ac:dyDescent="0.3">
      <c r="A1" s="176" t="s">
        <v>104</v>
      </c>
      <c r="B1" s="177"/>
      <c r="C1" s="178"/>
      <c r="D1" s="101"/>
      <c r="E1" s="68" t="s">
        <v>36</v>
      </c>
      <c r="F1" s="102"/>
      <c r="G1" s="68"/>
      <c r="H1" s="68"/>
      <c r="I1" s="183" t="s">
        <v>35</v>
      </c>
      <c r="J1" s="184"/>
      <c r="K1" s="192"/>
      <c r="L1" s="100"/>
      <c r="M1" s="100"/>
      <c r="N1" s="182" t="s">
        <v>96</v>
      </c>
      <c r="O1" s="182"/>
      <c r="P1" s="99"/>
      <c r="Q1" s="99"/>
    </row>
    <row r="2" spans="1:18" x14ac:dyDescent="0.3">
      <c r="A2" s="196"/>
      <c r="B2" s="197"/>
      <c r="C2" s="198"/>
      <c r="D2" s="103">
        <f>'Balance sheet'!D2</f>
        <v>2019</v>
      </c>
      <c r="E2" s="103">
        <f>'Balance sheet'!E2</f>
        <v>2020</v>
      </c>
      <c r="F2" s="103">
        <f>'Balance sheet'!F2</f>
        <v>2021</v>
      </c>
      <c r="G2" s="98"/>
      <c r="H2" s="98"/>
      <c r="I2" s="103">
        <f>D2</f>
        <v>2019</v>
      </c>
      <c r="J2" s="103">
        <f t="shared" ref="J2:K2" si="0">E2</f>
        <v>2020</v>
      </c>
      <c r="K2" s="103">
        <f t="shared" si="0"/>
        <v>2021</v>
      </c>
      <c r="L2" s="98">
        <v>2017</v>
      </c>
      <c r="M2" s="98">
        <v>2018</v>
      </c>
      <c r="N2" s="99" t="str">
        <f>'Balance sheet'!N2</f>
        <v>2019-2020</v>
      </c>
      <c r="O2" s="99" t="str">
        <f>'Balance sheet'!O2</f>
        <v>2020-2021</v>
      </c>
      <c r="P2" s="99"/>
      <c r="Q2" s="99"/>
    </row>
    <row r="3" spans="1:18" x14ac:dyDescent="0.3">
      <c r="A3" s="193"/>
      <c r="B3" s="194"/>
      <c r="C3" s="195"/>
      <c r="D3" s="104"/>
      <c r="E3" s="104"/>
      <c r="F3" s="104"/>
      <c r="G3" s="104"/>
      <c r="H3" s="104"/>
      <c r="I3" s="104"/>
      <c r="J3" s="104"/>
      <c r="K3" s="104"/>
      <c r="L3" s="104"/>
      <c r="M3" s="104"/>
      <c r="N3" s="104"/>
      <c r="O3" s="104"/>
      <c r="P3" s="104"/>
      <c r="Q3" s="104"/>
    </row>
    <row r="4" spans="1:18" ht="16.95" customHeight="1" x14ac:dyDescent="0.3">
      <c r="A4" s="23"/>
      <c r="B4" s="188" t="s">
        <v>73</v>
      </c>
      <c r="C4" s="189" t="s">
        <v>53</v>
      </c>
      <c r="D4" s="105">
        <v>584661</v>
      </c>
      <c r="E4" s="105">
        <v>612228</v>
      </c>
      <c r="F4" s="106">
        <v>667554</v>
      </c>
      <c r="G4" s="107" t="e">
        <f>#REF!</f>
        <v>#REF!</v>
      </c>
      <c r="H4" s="107" t="e">
        <f>#REF!</f>
        <v>#REF!</v>
      </c>
      <c r="I4" s="108">
        <f>D4/D$4</f>
        <v>1</v>
      </c>
      <c r="J4" s="108">
        <f t="shared" ref="J4:K4" si="1">E4/E$4</f>
        <v>1</v>
      </c>
      <c r="K4" s="108">
        <f t="shared" si="1"/>
        <v>1</v>
      </c>
      <c r="L4" s="108"/>
      <c r="M4" s="108"/>
      <c r="N4" s="163">
        <f>(E4-D4)/D4</f>
        <v>4.7150399975370343E-2</v>
      </c>
      <c r="O4" s="163">
        <f>(F4-E4)/E4</f>
        <v>9.0368294164918955E-2</v>
      </c>
      <c r="P4" s="108" t="e">
        <f t="shared" ref="P4:P16" si="2">G4/F4</f>
        <v>#REF!</v>
      </c>
      <c r="Q4" s="108" t="e">
        <f t="shared" ref="Q4:Q16" si="3">H4/G4</f>
        <v>#REF!</v>
      </c>
    </row>
    <row r="5" spans="1:18" ht="16.95" customHeight="1" x14ac:dyDescent="0.3">
      <c r="A5" s="23"/>
      <c r="B5" s="188" t="s">
        <v>84</v>
      </c>
      <c r="C5" s="189" t="s">
        <v>54</v>
      </c>
      <c r="D5" s="57">
        <v>396321</v>
      </c>
      <c r="E5" s="57">
        <v>410938</v>
      </c>
      <c r="F5" s="106">
        <v>446345</v>
      </c>
      <c r="G5" s="107" t="e">
        <f>#REF!</f>
        <v>#REF!</v>
      </c>
      <c r="H5" s="107" t="e">
        <f>#REF!</f>
        <v>#REF!</v>
      </c>
      <c r="I5" s="108">
        <f t="shared" ref="I5:I16" si="4">D5/D$4</f>
        <v>0.6778646087219774</v>
      </c>
      <c r="J5" s="108">
        <f>E5/E$4</f>
        <v>0.67121725892967976</v>
      </c>
      <c r="K5" s="108">
        <f>F5/F$4</f>
        <v>0.66862755672200302</v>
      </c>
      <c r="L5" s="108"/>
      <c r="M5" s="108"/>
      <c r="N5" s="108">
        <f t="shared" ref="N5:N16" si="5">(E5-D5)/D5</f>
        <v>3.688171961616972E-2</v>
      </c>
      <c r="O5" s="108">
        <f>(F5-E5)/E5</f>
        <v>8.6161416077364467E-2</v>
      </c>
      <c r="P5" s="108" t="e">
        <f t="shared" si="2"/>
        <v>#REF!</v>
      </c>
      <c r="Q5" s="108" t="e">
        <f t="shared" si="3"/>
        <v>#REF!</v>
      </c>
    </row>
    <row r="6" spans="1:18" s="113" customFormat="1" ht="16.95" customHeight="1" x14ac:dyDescent="0.3">
      <c r="A6" s="109"/>
      <c r="B6" s="190" t="s">
        <v>55</v>
      </c>
      <c r="C6" s="191" t="s">
        <v>55</v>
      </c>
      <c r="D6" s="110">
        <f>D4-D5</f>
        <v>188340</v>
      </c>
      <c r="E6" s="110">
        <f t="shared" ref="E6:H6" si="6">E4-E5</f>
        <v>201290</v>
      </c>
      <c r="F6" s="111">
        <f t="shared" si="6"/>
        <v>221209</v>
      </c>
      <c r="G6" s="111" t="e">
        <f t="shared" si="6"/>
        <v>#REF!</v>
      </c>
      <c r="H6" s="111" t="e">
        <f t="shared" si="6"/>
        <v>#REF!</v>
      </c>
      <c r="I6" s="164">
        <f t="shared" si="4"/>
        <v>0.32213539127802265</v>
      </c>
      <c r="J6" s="164">
        <f t="shared" ref="J6:J16" si="7">E6/E$4</f>
        <v>0.32878274107032018</v>
      </c>
      <c r="K6" s="164">
        <f t="shared" ref="K6:K16" si="8">F6/F$4</f>
        <v>0.33137244327799698</v>
      </c>
      <c r="L6" s="154"/>
      <c r="M6" s="154"/>
      <c r="N6" s="164">
        <f t="shared" si="5"/>
        <v>6.8758628013167677E-2</v>
      </c>
      <c r="O6" s="164">
        <f t="shared" ref="O6:O16" si="9">(F6-E6)/E6</f>
        <v>9.8956729097322269E-2</v>
      </c>
      <c r="P6" s="112" t="e">
        <f t="shared" si="2"/>
        <v>#REF!</v>
      </c>
      <c r="Q6" s="112" t="e">
        <f t="shared" si="3"/>
        <v>#REF!</v>
      </c>
    </row>
    <row r="7" spans="1:18" ht="16.95" customHeight="1" x14ac:dyDescent="0.3">
      <c r="A7" s="23"/>
      <c r="B7" s="188" t="s">
        <v>56</v>
      </c>
      <c r="C7" s="189" t="s">
        <v>56</v>
      </c>
      <c r="D7" s="114">
        <v>45889</v>
      </c>
      <c r="E7" s="114">
        <v>42847</v>
      </c>
      <c r="F7" s="115">
        <v>47795</v>
      </c>
      <c r="G7" s="116" t="e">
        <f>#REF!</f>
        <v>#REF!</v>
      </c>
      <c r="H7" s="116" t="e">
        <f>#REF!</f>
        <v>#REF!</v>
      </c>
      <c r="I7" s="108">
        <f t="shared" si="4"/>
        <v>7.8488217958782955E-2</v>
      </c>
      <c r="J7" s="108">
        <f t="shared" si="7"/>
        <v>6.998536492940538E-2</v>
      </c>
      <c r="K7" s="108">
        <f t="shared" si="8"/>
        <v>7.1597204121314525E-2</v>
      </c>
      <c r="L7" s="108"/>
      <c r="M7" s="108"/>
      <c r="N7" s="108">
        <f t="shared" si="5"/>
        <v>-6.6290396391292028E-2</v>
      </c>
      <c r="O7" s="108">
        <f t="shared" si="9"/>
        <v>0.11548066375708918</v>
      </c>
      <c r="P7" s="108" t="e">
        <f t="shared" si="2"/>
        <v>#REF!</v>
      </c>
      <c r="Q7" s="108" t="e">
        <f t="shared" si="3"/>
        <v>#REF!</v>
      </c>
      <c r="R7" s="1" t="s">
        <v>113</v>
      </c>
    </row>
    <row r="8" spans="1:18" ht="16.95" customHeight="1" x14ac:dyDescent="0.3">
      <c r="A8" s="23"/>
      <c r="B8" s="188" t="s">
        <v>57</v>
      </c>
      <c r="C8" s="189" t="s">
        <v>57</v>
      </c>
      <c r="D8" s="117">
        <v>6532</v>
      </c>
      <c r="E8" s="117">
        <v>7332</v>
      </c>
      <c r="F8" s="118">
        <v>8954</v>
      </c>
      <c r="G8" s="119" t="e">
        <f>#REF!</f>
        <v>#REF!</v>
      </c>
      <c r="H8" s="119" t="e">
        <f>#REF!</f>
        <v>#REF!</v>
      </c>
      <c r="I8" s="108">
        <f t="shared" si="4"/>
        <v>1.1172286162408644E-2</v>
      </c>
      <c r="J8" s="108">
        <f t="shared" si="7"/>
        <v>1.1975930535682786E-2</v>
      </c>
      <c r="K8" s="108">
        <f t="shared" si="8"/>
        <v>1.3413147101208292E-2</v>
      </c>
      <c r="L8" s="108"/>
      <c r="M8" s="108"/>
      <c r="N8" s="108">
        <f t="shared" si="5"/>
        <v>0.1224739742804654</v>
      </c>
      <c r="O8" s="108">
        <f t="shared" si="9"/>
        <v>0.22122204037097654</v>
      </c>
      <c r="P8" s="108" t="e">
        <f t="shared" si="2"/>
        <v>#REF!</v>
      </c>
      <c r="Q8" s="108" t="e">
        <f t="shared" si="3"/>
        <v>#REF!</v>
      </c>
    </row>
    <row r="9" spans="1:18" ht="16.95" customHeight="1" x14ac:dyDescent="0.3">
      <c r="A9" s="23"/>
      <c r="B9" s="188" t="s">
        <v>58</v>
      </c>
      <c r="C9" s="189"/>
      <c r="D9" s="57">
        <v>12886</v>
      </c>
      <c r="E9" s="57">
        <v>14219</v>
      </c>
      <c r="F9" s="106">
        <v>15397</v>
      </c>
      <c r="G9" s="107" t="e">
        <f>#REF!</f>
        <v>#REF!</v>
      </c>
      <c r="H9" s="107" t="e">
        <f>#REF!</f>
        <v>#REF!</v>
      </c>
      <c r="I9" s="108">
        <f t="shared" si="4"/>
        <v>2.2040122395713072E-2</v>
      </c>
      <c r="J9" s="108">
        <f t="shared" si="7"/>
        <v>2.3225007676878549E-2</v>
      </c>
      <c r="K9" s="108">
        <f t="shared" si="8"/>
        <v>2.3064800750201481E-2</v>
      </c>
      <c r="L9" s="108"/>
      <c r="M9" s="108"/>
      <c r="N9" s="108">
        <f t="shared" si="5"/>
        <v>0.10344559987583424</v>
      </c>
      <c r="O9" s="108">
        <f t="shared" si="9"/>
        <v>8.2846894999648354E-2</v>
      </c>
      <c r="P9" s="108" t="e">
        <f t="shared" si="2"/>
        <v>#REF!</v>
      </c>
      <c r="Q9" s="108" t="e">
        <f t="shared" si="3"/>
        <v>#REF!</v>
      </c>
    </row>
    <row r="10" spans="1:18" ht="16.95" customHeight="1" x14ac:dyDescent="0.3">
      <c r="A10" s="23"/>
      <c r="B10" s="188" t="s">
        <v>59</v>
      </c>
      <c r="C10" s="189"/>
      <c r="D10" s="57">
        <v>80938</v>
      </c>
      <c r="E10" s="57">
        <v>72704</v>
      </c>
      <c r="F10" s="106">
        <v>68007</v>
      </c>
      <c r="G10" s="107" t="e">
        <f>#REF!</f>
        <v>#REF!</v>
      </c>
      <c r="H10" s="107" t="e">
        <f>#REF!</f>
        <v>#REF!</v>
      </c>
      <c r="I10" s="108">
        <f t="shared" si="4"/>
        <v>0.13843577731369119</v>
      </c>
      <c r="J10" s="108">
        <f t="shared" si="7"/>
        <v>0.11875314425344806</v>
      </c>
      <c r="K10" s="108">
        <f t="shared" si="8"/>
        <v>0.10187490450210769</v>
      </c>
      <c r="L10" s="108"/>
      <c r="M10" s="108"/>
      <c r="N10" s="108">
        <f t="shared" si="5"/>
        <v>-0.10173219007141268</v>
      </c>
      <c r="O10" s="108">
        <f t="shared" si="9"/>
        <v>-6.4604423415492954E-2</v>
      </c>
      <c r="P10" s="108" t="e">
        <f t="shared" si="2"/>
        <v>#REF!</v>
      </c>
      <c r="Q10" s="108" t="e">
        <f t="shared" si="3"/>
        <v>#REF!</v>
      </c>
    </row>
    <row r="11" spans="1:18" s="113" customFormat="1" ht="16.95" customHeight="1" x14ac:dyDescent="0.3">
      <c r="A11" s="109"/>
      <c r="B11" s="190" t="s">
        <v>60</v>
      </c>
      <c r="C11" s="191"/>
      <c r="D11" s="110">
        <f>D6+D7-D8-D9-D10</f>
        <v>133873</v>
      </c>
      <c r="E11" s="110">
        <f t="shared" ref="E11:H11" si="10">E6+E7-E8-E9-E10</f>
        <v>149882</v>
      </c>
      <c r="F11" s="111">
        <f t="shared" si="10"/>
        <v>176646</v>
      </c>
      <c r="G11" s="111" t="e">
        <f t="shared" si="10"/>
        <v>#REF!</v>
      </c>
      <c r="H11" s="111" t="e">
        <f t="shared" si="10"/>
        <v>#REF!</v>
      </c>
      <c r="I11" s="164">
        <f t="shared" si="4"/>
        <v>0.22897542336499271</v>
      </c>
      <c r="J11" s="164">
        <f t="shared" si="7"/>
        <v>0.2448140235337162</v>
      </c>
      <c r="K11" s="164">
        <f t="shared" si="8"/>
        <v>0.26461679504579405</v>
      </c>
      <c r="L11" s="154"/>
      <c r="M11" s="154"/>
      <c r="N11" s="164">
        <f t="shared" si="5"/>
        <v>0.11958348584105831</v>
      </c>
      <c r="O11" s="164">
        <f t="shared" si="9"/>
        <v>0.17856713948305999</v>
      </c>
      <c r="P11" s="112" t="e">
        <f t="shared" si="2"/>
        <v>#REF!</v>
      </c>
      <c r="Q11" s="112" t="e">
        <f t="shared" si="3"/>
        <v>#REF!</v>
      </c>
    </row>
    <row r="12" spans="1:18" ht="16.95" customHeight="1" x14ac:dyDescent="0.3">
      <c r="A12" s="23"/>
      <c r="B12" s="188" t="s">
        <v>61</v>
      </c>
      <c r="C12" s="189"/>
      <c r="D12" s="57">
        <v>90</v>
      </c>
      <c r="E12" s="57">
        <v>121</v>
      </c>
      <c r="F12" s="106">
        <v>87</v>
      </c>
      <c r="G12" s="107" t="e">
        <f>#REF!</f>
        <v>#REF!</v>
      </c>
      <c r="H12" s="107" t="e">
        <f>#REF!</f>
        <v>#REF!</v>
      </c>
      <c r="I12" s="108">
        <f t="shared" si="4"/>
        <v>1.5393535741224402E-4</v>
      </c>
      <c r="J12" s="108">
        <f t="shared" si="7"/>
        <v>1.9763878816388665E-4</v>
      </c>
      <c r="K12" s="108">
        <f t="shared" si="8"/>
        <v>1.3032653538140734E-4</v>
      </c>
      <c r="L12" s="108"/>
      <c r="M12" s="108"/>
      <c r="N12" s="108">
        <f t="shared" si="5"/>
        <v>0.34444444444444444</v>
      </c>
      <c r="O12" s="108">
        <f t="shared" si="9"/>
        <v>-0.28099173553719009</v>
      </c>
      <c r="P12" s="108" t="e">
        <f t="shared" si="2"/>
        <v>#REF!</v>
      </c>
      <c r="Q12" s="108" t="e">
        <f t="shared" si="3"/>
        <v>#REF!</v>
      </c>
    </row>
    <row r="13" spans="1:18" ht="16.95" customHeight="1" x14ac:dyDescent="0.3">
      <c r="A13" s="23"/>
      <c r="B13" s="188" t="s">
        <v>62</v>
      </c>
      <c r="C13" s="189"/>
      <c r="D13" s="57">
        <v>250</v>
      </c>
      <c r="E13" s="57">
        <v>339</v>
      </c>
      <c r="F13" s="106">
        <v>138</v>
      </c>
      <c r="G13" s="107" t="e">
        <f>#REF!</f>
        <v>#REF!</v>
      </c>
      <c r="H13" s="107" t="e">
        <f>#REF!</f>
        <v>#REF!</v>
      </c>
      <c r="I13" s="108">
        <f t="shared" si="4"/>
        <v>4.2759821503401117E-4</v>
      </c>
      <c r="J13" s="108">
        <f t="shared" si="7"/>
        <v>5.5371528254179821E-4</v>
      </c>
      <c r="K13" s="108">
        <f t="shared" si="8"/>
        <v>2.0672484922568062E-4</v>
      </c>
      <c r="L13" s="108"/>
      <c r="M13" s="108"/>
      <c r="N13" s="108">
        <f t="shared" si="5"/>
        <v>0.35599999999999998</v>
      </c>
      <c r="O13" s="108">
        <f t="shared" si="9"/>
        <v>-0.59292035398230092</v>
      </c>
      <c r="P13" s="108" t="e">
        <f t="shared" si="2"/>
        <v>#REF!</v>
      </c>
      <c r="Q13" s="108" t="e">
        <f t="shared" si="3"/>
        <v>#REF!</v>
      </c>
    </row>
    <row r="14" spans="1:18" s="113" customFormat="1" ht="16.95" customHeight="1" x14ac:dyDescent="0.3">
      <c r="A14" s="109"/>
      <c r="B14" s="190" t="s">
        <v>63</v>
      </c>
      <c r="C14" s="191"/>
      <c r="D14" s="110">
        <f>D11+D12-D13</f>
        <v>133713</v>
      </c>
      <c r="E14" s="110">
        <f t="shared" ref="E14:F14" si="11">E11+E12-E13</f>
        <v>149664</v>
      </c>
      <c r="F14" s="110">
        <f t="shared" si="11"/>
        <v>176595</v>
      </c>
      <c r="G14" s="111" t="e">
        <f>G11+G12-G13</f>
        <v>#REF!</v>
      </c>
      <c r="H14" s="111" t="e">
        <f>H11+H12-H13</f>
        <v>#REF!</v>
      </c>
      <c r="I14" s="154">
        <f t="shared" si="4"/>
        <v>0.22870176050737093</v>
      </c>
      <c r="J14" s="154">
        <f t="shared" si="7"/>
        <v>0.24445794703933829</v>
      </c>
      <c r="K14" s="154">
        <f t="shared" si="8"/>
        <v>0.26454039673194979</v>
      </c>
      <c r="L14" s="154"/>
      <c r="M14" s="154"/>
      <c r="N14" s="154">
        <f t="shared" si="5"/>
        <v>0.11929281371295236</v>
      </c>
      <c r="O14" s="154">
        <f t="shared" si="9"/>
        <v>0.17994307248236049</v>
      </c>
      <c r="P14" s="108" t="e">
        <f t="shared" si="2"/>
        <v>#REF!</v>
      </c>
      <c r="Q14" s="108" t="e">
        <f t="shared" si="3"/>
        <v>#REF!</v>
      </c>
    </row>
    <row r="15" spans="1:18" ht="16.95" customHeight="1" x14ac:dyDescent="0.3">
      <c r="A15" s="23"/>
      <c r="B15" s="188" t="s">
        <v>64</v>
      </c>
      <c r="C15" s="189"/>
      <c r="D15" s="57">
        <v>23559</v>
      </c>
      <c r="E15" s="57">
        <v>24311</v>
      </c>
      <c r="F15" s="106">
        <v>29944</v>
      </c>
      <c r="G15" s="107" t="e">
        <f>#REF!</f>
        <v>#REF!</v>
      </c>
      <c r="H15" s="107" t="e">
        <f>#REF!</f>
        <v>#REF!</v>
      </c>
      <c r="I15" s="108">
        <f t="shared" si="4"/>
        <v>4.0295145391945078E-2</v>
      </c>
      <c r="J15" s="108">
        <f t="shared" si="7"/>
        <v>3.9709062636795439E-2</v>
      </c>
      <c r="K15" s="108">
        <f t="shared" si="8"/>
        <v>4.4856296269665079E-2</v>
      </c>
      <c r="L15" s="108"/>
      <c r="M15" s="108"/>
      <c r="N15" s="108">
        <f t="shared" si="5"/>
        <v>3.1919860775075345E-2</v>
      </c>
      <c r="O15" s="108">
        <f t="shared" si="9"/>
        <v>0.23170581218378511</v>
      </c>
      <c r="P15" s="108" t="e">
        <f t="shared" si="2"/>
        <v>#REF!</v>
      </c>
      <c r="Q15" s="108" t="e">
        <f t="shared" si="3"/>
        <v>#REF!</v>
      </c>
    </row>
    <row r="16" spans="1:18" s="113" customFormat="1" ht="16.95" customHeight="1" x14ac:dyDescent="0.3">
      <c r="A16" s="109"/>
      <c r="B16" s="190" t="s">
        <v>65</v>
      </c>
      <c r="C16" s="191"/>
      <c r="D16" s="110">
        <f>D14-D15</f>
        <v>110154</v>
      </c>
      <c r="E16" s="110">
        <f t="shared" ref="E16:F16" si="12">E14-E15</f>
        <v>125353</v>
      </c>
      <c r="F16" s="110">
        <f t="shared" si="12"/>
        <v>146651</v>
      </c>
      <c r="G16" s="111" t="e">
        <f t="shared" ref="G16:H16" si="13">G14-G15</f>
        <v>#REF!</v>
      </c>
      <c r="H16" s="111" t="e">
        <f t="shared" si="13"/>
        <v>#REF!</v>
      </c>
      <c r="I16" s="164">
        <f t="shared" si="4"/>
        <v>0.18840661511542586</v>
      </c>
      <c r="J16" s="164">
        <f t="shared" si="7"/>
        <v>0.20474888440254285</v>
      </c>
      <c r="K16" s="164">
        <f t="shared" si="8"/>
        <v>0.2196841004622847</v>
      </c>
      <c r="L16" s="154"/>
      <c r="M16" s="154"/>
      <c r="N16" s="164">
        <f t="shared" si="5"/>
        <v>0.137979555894475</v>
      </c>
      <c r="O16" s="164">
        <f t="shared" si="9"/>
        <v>0.16990419056584205</v>
      </c>
      <c r="P16" s="108" t="e">
        <f t="shared" si="2"/>
        <v>#REF!</v>
      </c>
      <c r="Q16" s="108" t="e">
        <f t="shared" si="3"/>
        <v>#REF!</v>
      </c>
    </row>
    <row r="17" spans="1:17" hidden="1" x14ac:dyDescent="0.3">
      <c r="A17" s="23"/>
      <c r="B17" s="188" t="s">
        <v>66</v>
      </c>
      <c r="C17" s="189"/>
      <c r="D17" s="57"/>
      <c r="E17" s="57"/>
      <c r="F17" s="106"/>
      <c r="G17" s="107"/>
      <c r="H17" s="107"/>
      <c r="I17" s="108"/>
      <c r="J17" s="108"/>
      <c r="K17" s="108"/>
      <c r="L17" s="112"/>
      <c r="M17" s="112"/>
      <c r="N17" s="120"/>
      <c r="O17" s="120"/>
      <c r="P17" s="121"/>
      <c r="Q17" s="121"/>
    </row>
    <row r="18" spans="1:17" hidden="1" x14ac:dyDescent="0.3">
      <c r="A18" s="23"/>
      <c r="B18" s="188" t="s">
        <v>67</v>
      </c>
      <c r="C18" s="189"/>
      <c r="D18" s="57"/>
      <c r="E18" s="57"/>
      <c r="F18" s="106"/>
      <c r="G18" s="107" t="e">
        <f>#REF!</f>
        <v>#REF!</v>
      </c>
      <c r="H18" s="107" t="e">
        <f>#REF!</f>
        <v>#REF!</v>
      </c>
      <c r="I18" s="108">
        <f>D18/$D$4</f>
        <v>0</v>
      </c>
      <c r="J18" s="108">
        <f>E18/$E$4</f>
        <v>0</v>
      </c>
      <c r="K18" s="108">
        <f>F18/$F$4</f>
        <v>0</v>
      </c>
      <c r="L18" s="108" t="e">
        <f>G18/$G$4</f>
        <v>#REF!</v>
      </c>
      <c r="M18" s="108" t="e">
        <f>H18/$H$4</f>
        <v>#REF!</v>
      </c>
      <c r="N18" s="108" t="e">
        <f>E18/D18</f>
        <v>#DIV/0!</v>
      </c>
      <c r="O18" s="108" t="e">
        <f>F18/E18</f>
        <v>#DIV/0!</v>
      </c>
      <c r="P18" s="122"/>
      <c r="Q18" s="122"/>
    </row>
    <row r="19" spans="1:17" hidden="1" x14ac:dyDescent="0.3">
      <c r="A19" s="23"/>
      <c r="B19" s="188" t="s">
        <v>68</v>
      </c>
      <c r="C19" s="189"/>
      <c r="D19" s="117"/>
      <c r="E19" s="117"/>
      <c r="F19" s="118"/>
      <c r="G19" s="119" t="e">
        <f>#REF!</f>
        <v>#REF!</v>
      </c>
      <c r="H19" s="119"/>
      <c r="I19" s="108">
        <f>D19/$D$4</f>
        <v>0</v>
      </c>
      <c r="J19" s="108">
        <f>E19/$E$4</f>
        <v>0</v>
      </c>
      <c r="K19" s="108">
        <f>F19/$F$4</f>
        <v>0</v>
      </c>
      <c r="L19" s="108" t="e">
        <f>G19/$G$4</f>
        <v>#REF!</v>
      </c>
      <c r="M19" s="108" t="e">
        <f>H19/$H$4</f>
        <v>#REF!</v>
      </c>
      <c r="N19" s="108" t="e">
        <f>E19/D19</f>
        <v>#DIV/0!</v>
      </c>
      <c r="O19" s="123" t="s">
        <v>69</v>
      </c>
      <c r="P19" s="121"/>
      <c r="Q19" s="121"/>
    </row>
    <row r="21" spans="1:17" ht="112.05" customHeight="1" x14ac:dyDescent="0.3"/>
    <row r="23" spans="1:17" x14ac:dyDescent="0.3">
      <c r="B23" s="113" t="s">
        <v>52</v>
      </c>
      <c r="D23" s="103">
        <v>2014</v>
      </c>
      <c r="E23" s="103">
        <v>2015</v>
      </c>
      <c r="F23" s="124">
        <v>2016</v>
      </c>
      <c r="G23" s="80">
        <v>2017</v>
      </c>
      <c r="H23" s="80">
        <v>2018</v>
      </c>
    </row>
    <row r="24" spans="1:17" x14ac:dyDescent="0.3">
      <c r="C24" s="125" t="s">
        <v>89</v>
      </c>
      <c r="D24" s="108">
        <f>D5/D4</f>
        <v>0.6778646087219774</v>
      </c>
      <c r="E24" s="108">
        <f t="shared" ref="E24:F24" si="14">E5/E4</f>
        <v>0.67121725892967976</v>
      </c>
      <c r="F24" s="108">
        <f t="shared" si="14"/>
        <v>0.66862755672200302</v>
      </c>
      <c r="G24" s="108" t="e">
        <f>G5/G4</f>
        <v>#REF!</v>
      </c>
      <c r="H24" s="108" t="e">
        <f>H5/H4</f>
        <v>#REF!</v>
      </c>
    </row>
    <row r="25" spans="1:17" ht="14.25" customHeight="1" x14ac:dyDescent="0.3">
      <c r="C25" s="125"/>
      <c r="D25" s="108"/>
      <c r="E25" s="108"/>
      <c r="F25" s="108"/>
      <c r="G25" s="122"/>
      <c r="H25" s="122"/>
    </row>
    <row r="26" spans="1:17" x14ac:dyDescent="0.3">
      <c r="C26" s="126"/>
      <c r="D26" s="108"/>
      <c r="E26" s="108"/>
      <c r="F26" s="108"/>
      <c r="G26" s="122"/>
      <c r="H26" s="122"/>
    </row>
    <row r="27" spans="1:17" x14ac:dyDescent="0.3">
      <c r="C27" s="125"/>
      <c r="D27" s="108"/>
      <c r="E27" s="108"/>
      <c r="F27" s="108"/>
      <c r="G27" s="122"/>
      <c r="H27" s="122"/>
    </row>
    <row r="28" spans="1:17" x14ac:dyDescent="0.3">
      <c r="C28" s="125"/>
      <c r="D28" s="108"/>
      <c r="E28" s="108"/>
      <c r="F28" s="108"/>
      <c r="G28" s="122"/>
      <c r="H28" s="122"/>
    </row>
    <row r="29" spans="1:17" x14ac:dyDescent="0.3">
      <c r="C29" s="125"/>
      <c r="D29" s="108"/>
      <c r="E29" s="108"/>
      <c r="F29" s="108"/>
      <c r="G29" s="122"/>
      <c r="H29" s="122"/>
    </row>
    <row r="30" spans="1:17" s="127" customFormat="1" x14ac:dyDescent="0.3">
      <c r="C30" s="128"/>
      <c r="D30" s="129"/>
      <c r="E30" s="130"/>
      <c r="F30" s="130"/>
      <c r="G30" s="129"/>
      <c r="H30" s="129"/>
    </row>
    <row r="31" spans="1:17" x14ac:dyDescent="0.3">
      <c r="D31" s="103">
        <v>2014</v>
      </c>
      <c r="E31" s="103">
        <v>2015</v>
      </c>
      <c r="F31" s="124">
        <v>2016</v>
      </c>
      <c r="G31" s="80">
        <v>2017</v>
      </c>
      <c r="H31" s="80">
        <v>2018</v>
      </c>
    </row>
    <row r="32" spans="1:17" x14ac:dyDescent="0.3">
      <c r="C32" s="125" t="s">
        <v>82</v>
      </c>
      <c r="D32" s="131">
        <f>D4/'Balance sheet'!D27</f>
        <v>0.46058784603507225</v>
      </c>
      <c r="E32" s="131">
        <f>E4/'Balance sheet'!E27</f>
        <v>0.42143333094701829</v>
      </c>
      <c r="F32" s="131">
        <f>F4/'Balance sheet'!F27</f>
        <v>0.43918922030646679</v>
      </c>
      <c r="G32" s="131" t="e">
        <f>G4/'Balance sheet'!G27</f>
        <v>#REF!</v>
      </c>
      <c r="H32" s="131" t="e">
        <f>H4/'Balance sheet'!H27</f>
        <v>#REF!</v>
      </c>
    </row>
    <row r="33" spans="2:13" x14ac:dyDescent="0.3">
      <c r="C33" s="125" t="s">
        <v>97</v>
      </c>
      <c r="D33" s="131"/>
      <c r="E33" s="131">
        <f>E4/(('Balance sheet'!D27+'Balance sheet'!E27)/2)</f>
        <v>0.44981903730491224</v>
      </c>
      <c r="F33" s="131">
        <f>F4/(('Balance sheet'!E27+'Balance sheet'!F27)/2)</f>
        <v>0.4491234727252727</v>
      </c>
      <c r="G33" s="131" t="e">
        <f>G4/(('Balance sheet'!F27+'Balance sheet'!G27)/2)</f>
        <v>#REF!</v>
      </c>
      <c r="H33" s="131" t="e">
        <f>H4/(('Balance sheet'!G27+'Balance sheet'!H27)/2)</f>
        <v>#REF!</v>
      </c>
    </row>
    <row r="34" spans="2:13" x14ac:dyDescent="0.3">
      <c r="C34" s="125" t="s">
        <v>80</v>
      </c>
      <c r="D34" s="131">
        <f>D4/'Balance sheet'!D4</f>
        <v>4.2717767743632455</v>
      </c>
      <c r="E34" s="131">
        <f>E4/'Balance sheet'!E4</f>
        <v>4.6527187749363526</v>
      </c>
      <c r="F34" s="131">
        <f>F4/'Balance sheet'!F4</f>
        <v>4.7054585953139538</v>
      </c>
      <c r="G34" s="131" t="e">
        <f>G4/'Balance sheet'!G4</f>
        <v>#REF!</v>
      </c>
      <c r="H34" s="131" t="e">
        <f>H4/'Balance sheet'!H4</f>
        <v>#REF!</v>
      </c>
    </row>
    <row r="35" spans="2:13" x14ac:dyDescent="0.3">
      <c r="C35" s="125" t="s">
        <v>81</v>
      </c>
      <c r="D35" s="131">
        <f>D4/'Balance sheet'!D16</f>
        <v>0.51625057173686151</v>
      </c>
      <c r="E35" s="131">
        <f>E4/'Balance sheet'!E16</f>
        <v>0.46340782186334106</v>
      </c>
      <c r="F35" s="131">
        <f>F4/'Balance sheet'!F16</f>
        <v>0.48440136100329367</v>
      </c>
      <c r="G35" s="131" t="e">
        <f>G4/'Balance sheet'!G16</f>
        <v>#REF!</v>
      </c>
      <c r="H35" s="131" t="e">
        <f>H4/'Balance sheet'!H16</f>
        <v>#REF!</v>
      </c>
    </row>
    <row r="36" spans="2:13" x14ac:dyDescent="0.3">
      <c r="C36" s="125" t="s">
        <v>87</v>
      </c>
      <c r="D36" s="131">
        <f>D4/('Balance sheet'!D51-'Balance sheet'!D43)</f>
        <v>0.91924794936016263</v>
      </c>
      <c r="E36" s="131">
        <f>E4/('Balance sheet'!E51-'Balance sheet'!E43)</f>
        <v>0.82811961060409933</v>
      </c>
      <c r="F36" s="131">
        <f>F4/('Balance sheet'!F51-'Balance sheet'!F43)</f>
        <v>0.80152968721858675</v>
      </c>
      <c r="G36" s="131" t="e">
        <f>G4/('Balance sheet'!G51-'Balance sheet'!G43)</f>
        <v>#REF!</v>
      </c>
      <c r="H36" s="131" t="e">
        <f>H4/('Balance sheet'!H51-'Balance sheet'!H43)</f>
        <v>#REF!</v>
      </c>
    </row>
    <row r="37" spans="2:13" x14ac:dyDescent="0.3">
      <c r="C37" s="125" t="str">
        <f>C24</f>
        <v>Cost-of-Goods-Sold Analysis</v>
      </c>
      <c r="D37" s="108">
        <f>D24</f>
        <v>0.6778646087219774</v>
      </c>
      <c r="E37" s="108">
        <f>E24</f>
        <v>0.67121725892967976</v>
      </c>
      <c r="F37" s="108">
        <f>F24</f>
        <v>0.66862755672200302</v>
      </c>
      <c r="G37" s="108" t="e">
        <f t="shared" ref="G37:H37" si="15">G24</f>
        <v>#REF!</v>
      </c>
      <c r="H37" s="108" t="e">
        <f t="shared" si="15"/>
        <v>#REF!</v>
      </c>
    </row>
    <row r="38" spans="2:13" s="127" customFormat="1" x14ac:dyDescent="0.3">
      <c r="C38" s="128"/>
      <c r="D38" s="128"/>
      <c r="E38" s="132"/>
      <c r="F38" s="132"/>
      <c r="G38" s="133"/>
      <c r="H38" s="133"/>
      <c r="I38" s="133"/>
    </row>
    <row r="39" spans="2:13" x14ac:dyDescent="0.3">
      <c r="D39" s="103">
        <v>2014</v>
      </c>
      <c r="E39" s="103">
        <v>2015</v>
      </c>
      <c r="F39" s="98">
        <v>2016</v>
      </c>
      <c r="G39" s="98">
        <v>2017</v>
      </c>
      <c r="H39" s="124">
        <v>2018</v>
      </c>
    </row>
    <row r="40" spans="2:13" x14ac:dyDescent="0.3">
      <c r="C40" s="134" t="s">
        <v>83</v>
      </c>
      <c r="D40" s="131">
        <f>'Balance sheet'!D17/('Income statement'!D5)*365</f>
        <v>289.16727854441223</v>
      </c>
      <c r="E40" s="131">
        <f>('Balance sheet'!E17/('Income statement'!E5))*365</f>
        <v>292.99533019579599</v>
      </c>
      <c r="F40" s="131">
        <f>('Balance sheet'!F17/('Income statement'!F5))*365</f>
        <v>275.53617717236665</v>
      </c>
      <c r="G40" s="131" t="e">
        <f>('Balance sheet'!G17/('Income statement'!G5))*365</f>
        <v>#REF!</v>
      </c>
      <c r="H40" s="131" t="e">
        <f>('Balance sheet'!H17/('Income statement'!H5))*365</f>
        <v>#REF!</v>
      </c>
      <c r="I40" s="131">
        <f>'Balance sheet'!D17/('Income statement'!D5)*365</f>
        <v>289.16727854441223</v>
      </c>
      <c r="J40" s="131">
        <f>'Balance sheet'!E17/('Income statement'!E5)*365</f>
        <v>292.99533019579599</v>
      </c>
      <c r="K40" s="131"/>
      <c r="L40" s="131"/>
      <c r="M40" s="131">
        <f>'Balance sheet'!F17/('Income statement'!F5)*365</f>
        <v>275.53617717236665</v>
      </c>
    </row>
    <row r="41" spans="2:13" x14ac:dyDescent="0.3">
      <c r="C41" s="134" t="s">
        <v>83</v>
      </c>
      <c r="D41" s="131"/>
      <c r="E41" s="131">
        <f>(('Balance sheet'!D17+'Balance sheet'!E17)/2)/('Income statement'!E5)*365</f>
        <v>285.93848707104235</v>
      </c>
      <c r="F41" s="131">
        <f>(('Balance sheet'!E17+'Balance sheet'!F17)/2)/('Income statement'!F5)*365</f>
        <v>272.64460226954486</v>
      </c>
      <c r="G41" s="131" t="e">
        <f>(('Balance sheet'!F17+'Balance sheet'!G17)/2)/('Income statement'!G5)*365</f>
        <v>#REF!</v>
      </c>
      <c r="H41" s="131" t="e">
        <f>(('Balance sheet'!G17+'Balance sheet'!H17)/2)/('Income statement'!H5)*365</f>
        <v>#REF!</v>
      </c>
    </row>
    <row r="42" spans="2:13" x14ac:dyDescent="0.3">
      <c r="C42" s="134" t="s">
        <v>85</v>
      </c>
      <c r="D42" s="131">
        <f>'Balance sheet'!D19/'Income statement'!D4*365</f>
        <v>237.40067321062975</v>
      </c>
      <c r="E42" s="131">
        <f>'Balance sheet'!E19/'Income statement'!E4*365</f>
        <v>272.1200353463089</v>
      </c>
      <c r="F42" s="131">
        <f>'Balance sheet'!F19/'Income statement'!F4*365</f>
        <v>321.58573688420711</v>
      </c>
      <c r="G42" s="131" t="e">
        <f>'Balance sheet'!G19/'Income statement'!G4*365</f>
        <v>#REF!</v>
      </c>
      <c r="H42" s="131" t="e">
        <f>'Balance sheet'!H19/'Income statement'!H4*365</f>
        <v>#REF!</v>
      </c>
    </row>
    <row r="43" spans="2:13" x14ac:dyDescent="0.3">
      <c r="C43" s="134" t="s">
        <v>85</v>
      </c>
      <c r="D43" s="131"/>
      <c r="E43" s="131">
        <f>(('Balance sheet'!D19+'Balance sheet'!E19)/2)/'Income statement'!E4*365</f>
        <v>249.4155935370483</v>
      </c>
      <c r="F43" s="131">
        <f>(('Balance sheet'!E19+'Balance sheet'!F19)/2)/'Income statement'!F4*365</f>
        <v>285.57641029789352</v>
      </c>
      <c r="G43" s="131" t="e">
        <f>(('Balance sheet'!F19+'Balance sheet'!G19)/2)/'Income statement'!G4*365</f>
        <v>#REF!</v>
      </c>
      <c r="H43" s="131" t="e">
        <f>(('Balance sheet'!G19+'Balance sheet'!H19)/2)/'Income statement'!H4*365</f>
        <v>#REF!</v>
      </c>
    </row>
    <row r="44" spans="2:13" x14ac:dyDescent="0.3">
      <c r="C44" s="134" t="s">
        <v>86</v>
      </c>
      <c r="D44" s="135">
        <f>'Balance sheet'!D45/('Income statement'!D5)*365</f>
        <v>109.30908278895137</v>
      </c>
      <c r="E44" s="131">
        <f>'Balance sheet'!E45/('Income statement'!E5)*365</f>
        <v>106.32428736208382</v>
      </c>
      <c r="F44" s="131">
        <f>'Balance sheet'!F45/('Income statement'!F5)*365</f>
        <v>92.090445731440937</v>
      </c>
      <c r="G44" s="131" t="e">
        <f>'Balance sheet'!G45/('Income statement'!G5)*365</f>
        <v>#REF!</v>
      </c>
      <c r="H44" s="131" t="e">
        <f>'Balance sheet'!H45/('Income statement'!H5)*365</f>
        <v>#REF!</v>
      </c>
      <c r="I44" s="135">
        <f>'Balance sheet'!D45/('Income statement'!D5)*365</f>
        <v>109.30908278895137</v>
      </c>
      <c r="J44" s="135">
        <f>'Balance sheet'!E45/('Income statement'!E5)*365</f>
        <v>106.32428736208382</v>
      </c>
      <c r="K44" s="135"/>
      <c r="L44" s="135"/>
      <c r="M44" s="135">
        <f>'Balance sheet'!F45/('Income statement'!F5)*365</f>
        <v>92.090445731440937</v>
      </c>
    </row>
    <row r="45" spans="2:13" x14ac:dyDescent="0.3">
      <c r="C45" s="134" t="s">
        <v>86</v>
      </c>
      <c r="D45" s="131"/>
      <c r="E45" s="131">
        <f>(('Balance sheet'!D45+'Balance sheet'!E45)/2)/('Income statement'!E5)*365</f>
        <v>105.87263163786264</v>
      </c>
      <c r="F45" s="131">
        <f>(('Balance sheet'!E45+'Balance sheet'!F45)/2)/('Income statement'!F5)*365</f>
        <v>94.990198165096501</v>
      </c>
      <c r="G45" s="131" t="e">
        <f>(('Balance sheet'!F45+'Balance sheet'!G45)/2)/('Income statement'!G5)*365</f>
        <v>#REF!</v>
      </c>
      <c r="H45" s="131" t="e">
        <f>(('Balance sheet'!G45+'Balance sheet'!H45)/2)/('Income statement'!H5)*365</f>
        <v>#REF!</v>
      </c>
    </row>
    <row r="47" spans="2:13" x14ac:dyDescent="0.3">
      <c r="B47" s="113"/>
      <c r="D47" s="103">
        <v>2014</v>
      </c>
      <c r="E47" s="103">
        <v>2015</v>
      </c>
      <c r="F47" s="124">
        <v>2016</v>
      </c>
      <c r="G47" s="80">
        <v>2017</v>
      </c>
      <c r="H47" s="80">
        <v>2018</v>
      </c>
    </row>
    <row r="48" spans="2:13" x14ac:dyDescent="0.3">
      <c r="C48" s="136" t="s">
        <v>70</v>
      </c>
      <c r="D48" s="108">
        <f>D11/('Balance sheet'!D51-'Balance sheet'!D43)</f>
        <v>0.21048518838214461</v>
      </c>
      <c r="E48" s="108">
        <f>E11/('Balance sheet'!E51-'Balance sheet'!E43)</f>
        <v>0.20273529383916386</v>
      </c>
      <c r="F48" s="108">
        <f>F11/('Balance sheet'!F51-'Balance sheet'!F43)</f>
        <v>0.21209821696584019</v>
      </c>
      <c r="G48" s="108" t="e">
        <f>G11/('Balance sheet'!G51-'Balance sheet'!G43)</f>
        <v>#REF!</v>
      </c>
      <c r="H48" s="108" t="e">
        <f>H11/('Balance sheet'!H51-'Balance sheet'!H43)</f>
        <v>#REF!</v>
      </c>
    </row>
    <row r="49" spans="2:9" x14ac:dyDescent="0.3">
      <c r="C49" s="136" t="s">
        <v>71</v>
      </c>
      <c r="D49" s="108">
        <f>D11/D4</f>
        <v>0.22897542336499271</v>
      </c>
      <c r="E49" s="108">
        <f t="shared" ref="E49:H49" si="16">E11/E4</f>
        <v>0.2448140235337162</v>
      </c>
      <c r="F49" s="108">
        <f t="shared" si="16"/>
        <v>0.26461679504579405</v>
      </c>
      <c r="G49" s="108" t="e">
        <f t="shared" si="16"/>
        <v>#REF!</v>
      </c>
      <c r="H49" s="108" t="e">
        <f t="shared" si="16"/>
        <v>#REF!</v>
      </c>
    </row>
    <row r="50" spans="2:9" x14ac:dyDescent="0.3">
      <c r="C50" s="136" t="s">
        <v>72</v>
      </c>
      <c r="D50" s="108">
        <f>D6/D4</f>
        <v>0.32213539127802265</v>
      </c>
      <c r="E50" s="108">
        <f t="shared" ref="E50:H50" si="17">E6/E4</f>
        <v>0.32878274107032018</v>
      </c>
      <c r="F50" s="108">
        <f t="shared" si="17"/>
        <v>0.33137244327799698</v>
      </c>
      <c r="G50" s="108" t="e">
        <f t="shared" si="17"/>
        <v>#REF!</v>
      </c>
      <c r="H50" s="108" t="e">
        <f t="shared" si="17"/>
        <v>#REF!</v>
      </c>
    </row>
    <row r="51" spans="2:9" x14ac:dyDescent="0.3">
      <c r="C51" s="136" t="s">
        <v>74</v>
      </c>
      <c r="D51" s="108">
        <f>D16/D4</f>
        <v>0.18840661511542586</v>
      </c>
      <c r="E51" s="108">
        <f t="shared" ref="E51:H51" si="18">E16/E4</f>
        <v>0.20474888440254285</v>
      </c>
      <c r="F51" s="108">
        <f t="shared" si="18"/>
        <v>0.2196841004622847</v>
      </c>
      <c r="G51" s="108" t="e">
        <f t="shared" si="18"/>
        <v>#REF!</v>
      </c>
      <c r="H51" s="108" t="e">
        <f t="shared" si="18"/>
        <v>#REF!</v>
      </c>
    </row>
    <row r="52" spans="2:9" x14ac:dyDescent="0.3">
      <c r="C52" s="136" t="s">
        <v>20</v>
      </c>
      <c r="D52" s="108">
        <f>D16/'Balance sheet'!D51</f>
        <v>8.6777797034772883E-2</v>
      </c>
      <c r="E52" s="108">
        <f>E16/'Balance sheet'!E51</f>
        <v>8.6288004361449636E-2</v>
      </c>
      <c r="F52" s="108">
        <f>F16/'Balance sheet'!F51</f>
        <v>9.6482888795758337E-2</v>
      </c>
      <c r="G52" s="108" t="e">
        <f>G16/'Balance sheet'!G51</f>
        <v>#REF!</v>
      </c>
      <c r="H52" s="108" t="e">
        <f>H16/'Balance sheet'!H51</f>
        <v>#REF!</v>
      </c>
    </row>
    <row r="53" spans="2:9" x14ac:dyDescent="0.3">
      <c r="C53" s="136" t="s">
        <v>21</v>
      </c>
      <c r="D53" s="108">
        <f>D16/'Balance sheet'!D32</f>
        <v>0.18077443812618468</v>
      </c>
      <c r="E53" s="108">
        <f>E16/'Balance sheet'!E32</f>
        <v>0.17831532678506654</v>
      </c>
      <c r="F53" s="108">
        <f>F16/'Balance sheet'!F32</f>
        <v>0.18577221302410779</v>
      </c>
      <c r="G53" s="108" t="e">
        <f>G16/'Balance sheet'!G32</f>
        <v>#REF!</v>
      </c>
      <c r="H53" s="108" t="e">
        <f>H16/'Balance sheet'!H32</f>
        <v>#REF!</v>
      </c>
    </row>
    <row r="55" spans="2:9" x14ac:dyDescent="0.3">
      <c r="B55" s="137"/>
      <c r="E55" s="103">
        <v>2015</v>
      </c>
      <c r="F55" s="124">
        <v>2016</v>
      </c>
      <c r="G55" s="138">
        <v>2017</v>
      </c>
      <c r="H55" s="138">
        <v>2018</v>
      </c>
    </row>
    <row r="56" spans="2:9" x14ac:dyDescent="0.3">
      <c r="C56" s="139" t="s">
        <v>93</v>
      </c>
      <c r="D56" s="140"/>
      <c r="E56" s="131" t="e">
        <f>#REF!/('Income statement'!E16*1000)</f>
        <v>#REF!</v>
      </c>
      <c r="F56" s="131" t="e">
        <f>#REF!/('Income statement'!F16*1000)</f>
        <v>#REF!</v>
      </c>
      <c r="G56" s="131" t="e">
        <f>#REF!/('Income statement'!G16*1000)</f>
        <v>#REF!</v>
      </c>
      <c r="H56" s="131" t="e">
        <f>#REF!/('Income statement'!H16*1000)</f>
        <v>#REF!</v>
      </c>
    </row>
    <row r="57" spans="2:9" x14ac:dyDescent="0.3">
      <c r="C57" s="139" t="s">
        <v>94</v>
      </c>
      <c r="D57" s="140"/>
      <c r="E57" s="131" t="e">
        <f>E16*1000/#REF!</f>
        <v>#REF!</v>
      </c>
      <c r="F57" s="131" t="e">
        <f>F16*1000/#REF!</f>
        <v>#REF!</v>
      </c>
      <c r="G57" s="131" t="e">
        <f>G16*1000/#REF!</f>
        <v>#REF!</v>
      </c>
      <c r="H57" s="131" t="e">
        <f>H16*1000/#REF!</f>
        <v>#REF!</v>
      </c>
    </row>
    <row r="58" spans="2:9" x14ac:dyDescent="0.3">
      <c r="C58" s="139" t="s">
        <v>95</v>
      </c>
      <c r="D58" s="140"/>
      <c r="E58" s="141" t="e">
        <f>E59</f>
        <v>#REF!</v>
      </c>
      <c r="F58" s="141" t="e">
        <f>F59</f>
        <v>#REF!</v>
      </c>
      <c r="G58" s="141" t="e">
        <f t="shared" ref="G58:H58" si="19">G59</f>
        <v>#REF!</v>
      </c>
      <c r="H58" s="141" t="e">
        <f t="shared" si="19"/>
        <v>#REF!</v>
      </c>
    </row>
    <row r="59" spans="2:9" x14ac:dyDescent="0.3">
      <c r="E59" s="142" t="e">
        <f>#REF!/'Income statement'!E57</f>
        <v>#REF!</v>
      </c>
      <c r="F59" s="142" t="e">
        <f>#REF!/'Income statement'!F57</f>
        <v>#REF!</v>
      </c>
      <c r="G59" s="142" t="e">
        <f>#REF!/'Income statement'!G57</f>
        <v>#REF!</v>
      </c>
      <c r="H59" s="142" t="e">
        <f>#REF!/'Income statement'!H57</f>
        <v>#REF!</v>
      </c>
      <c r="I59" s="142"/>
    </row>
    <row r="64" spans="2:9" x14ac:dyDescent="0.3">
      <c r="B64" s="113" t="s">
        <v>98</v>
      </c>
    </row>
    <row r="65" spans="3:18" ht="15" hidden="1" customHeight="1" x14ac:dyDescent="0.3">
      <c r="C65" s="187"/>
      <c r="D65" s="143" t="s">
        <v>13</v>
      </c>
      <c r="E65" s="144" t="e">
        <f>#REF!</f>
        <v>#REF!</v>
      </c>
      <c r="F65" s="145"/>
      <c r="G65" s="145"/>
      <c r="H65" s="145"/>
      <c r="I65" s="145"/>
      <c r="J65" s="145"/>
      <c r="K65" s="145"/>
      <c r="L65" s="145"/>
      <c r="M65" s="145"/>
      <c r="N65" s="145"/>
      <c r="O65" s="145"/>
      <c r="P65" s="145"/>
      <c r="Q65" s="145"/>
      <c r="R65" s="145"/>
    </row>
    <row r="66" spans="3:18" ht="46.8" hidden="1" x14ac:dyDescent="0.3">
      <c r="C66" s="187"/>
      <c r="D66" s="145"/>
      <c r="E66" s="145"/>
      <c r="F66" s="145" t="s">
        <v>22</v>
      </c>
      <c r="G66" s="145"/>
      <c r="H66" s="145"/>
      <c r="I66" s="146" t="s">
        <v>17</v>
      </c>
      <c r="J66" s="48" t="e">
        <f>E65/E67</f>
        <v>#REF!</v>
      </c>
      <c r="K66" s="145"/>
      <c r="L66" s="145"/>
      <c r="M66" s="145"/>
      <c r="N66" s="145"/>
      <c r="O66" s="145"/>
      <c r="P66" s="145"/>
      <c r="Q66" s="145"/>
      <c r="R66" s="145"/>
    </row>
    <row r="67" spans="3:18" hidden="1" x14ac:dyDescent="0.3">
      <c r="C67" s="187"/>
      <c r="D67" s="143" t="s">
        <v>14</v>
      </c>
      <c r="E67" s="144" t="e">
        <f>#REF!</f>
        <v>#REF!</v>
      </c>
      <c r="F67" s="145"/>
      <c r="G67" s="145"/>
      <c r="H67" s="145"/>
      <c r="I67" s="145"/>
      <c r="J67" s="145"/>
      <c r="K67" s="145" t="s">
        <v>23</v>
      </c>
      <c r="L67" s="145"/>
      <c r="M67" s="145"/>
      <c r="N67" s="145"/>
      <c r="O67" s="145"/>
      <c r="P67" s="145"/>
      <c r="Q67" s="145"/>
      <c r="R67" s="145"/>
    </row>
    <row r="68" spans="3:18" ht="46.8" hidden="1" x14ac:dyDescent="0.3">
      <c r="C68" s="187"/>
      <c r="D68" s="145"/>
      <c r="E68" s="145"/>
      <c r="F68" s="145" t="s">
        <v>22</v>
      </c>
      <c r="G68" s="145"/>
      <c r="H68" s="145"/>
      <c r="I68" s="146" t="s">
        <v>18</v>
      </c>
      <c r="J68" s="147" t="e">
        <f>E67/E69</f>
        <v>#REF!</v>
      </c>
      <c r="K68" s="145"/>
      <c r="L68" s="145"/>
      <c r="M68" s="145"/>
      <c r="N68" s="145"/>
      <c r="O68" s="143" t="s">
        <v>21</v>
      </c>
      <c r="P68" s="143"/>
      <c r="Q68" s="143"/>
      <c r="R68" s="48" t="e">
        <f>#REF!*J70</f>
        <v>#REF!</v>
      </c>
    </row>
    <row r="69" spans="3:18" hidden="1" x14ac:dyDescent="0.3">
      <c r="C69" s="187"/>
      <c r="D69" s="143" t="s">
        <v>15</v>
      </c>
      <c r="E69" s="144" t="e">
        <f>'Balance sheet'!#REF!</f>
        <v>#REF!</v>
      </c>
      <c r="F69" s="145"/>
      <c r="G69" s="145"/>
      <c r="H69" s="145"/>
      <c r="I69" s="145"/>
      <c r="J69" s="145"/>
      <c r="K69" s="145"/>
      <c r="L69" s="145"/>
      <c r="M69" s="145"/>
      <c r="N69" s="145"/>
      <c r="O69" s="145"/>
      <c r="P69" s="145"/>
      <c r="Q69" s="145"/>
      <c r="R69" s="145"/>
    </row>
    <row r="70" spans="3:18" ht="31.2" hidden="1" x14ac:dyDescent="0.3">
      <c r="C70" s="187"/>
      <c r="D70" s="145"/>
      <c r="E70" s="145"/>
      <c r="F70" s="145" t="s">
        <v>22</v>
      </c>
      <c r="G70" s="145"/>
      <c r="H70" s="145"/>
      <c r="I70" s="146" t="s">
        <v>19</v>
      </c>
      <c r="J70" s="147" t="e">
        <f>E69/E71</f>
        <v>#REF!</v>
      </c>
      <c r="K70" s="145"/>
      <c r="L70" s="145"/>
      <c r="M70" s="145"/>
      <c r="N70" s="145"/>
      <c r="O70" s="145"/>
      <c r="P70" s="145"/>
      <c r="Q70" s="145"/>
      <c r="R70" s="145"/>
    </row>
    <row r="71" spans="3:18" hidden="1" x14ac:dyDescent="0.3">
      <c r="C71" s="187"/>
      <c r="D71" s="143" t="s">
        <v>16</v>
      </c>
      <c r="E71" s="144" t="e">
        <f>'Balance sheet'!#REF!</f>
        <v>#REF!</v>
      </c>
      <c r="F71" s="145"/>
      <c r="G71" s="145"/>
      <c r="H71" s="145"/>
      <c r="I71" s="145"/>
      <c r="J71" s="145"/>
      <c r="K71" s="145"/>
      <c r="L71" s="145"/>
      <c r="M71" s="145"/>
      <c r="N71" s="145"/>
      <c r="O71" s="145"/>
      <c r="P71" s="145"/>
      <c r="Q71" s="145"/>
      <c r="R71" s="145"/>
    </row>
    <row r="73" spans="3:18" x14ac:dyDescent="0.3">
      <c r="C73" s="187">
        <v>2014</v>
      </c>
      <c r="D73" s="148" t="s">
        <v>75</v>
      </c>
      <c r="E73" s="144">
        <f>D16</f>
        <v>110154</v>
      </c>
      <c r="F73" s="145"/>
      <c r="G73" s="145"/>
      <c r="H73" s="145"/>
      <c r="I73" s="145"/>
      <c r="J73" s="145"/>
      <c r="K73" s="145"/>
      <c r="L73" s="145"/>
      <c r="M73" s="145"/>
      <c r="N73" s="145"/>
      <c r="O73" s="145"/>
      <c r="P73" s="145"/>
      <c r="Q73" s="145"/>
      <c r="R73" s="145"/>
    </row>
    <row r="74" spans="3:18" x14ac:dyDescent="0.3">
      <c r="C74" s="187"/>
      <c r="D74" s="145"/>
      <c r="E74" s="145"/>
      <c r="F74" s="145" t="s">
        <v>22</v>
      </c>
      <c r="G74" s="145"/>
      <c r="H74" s="145"/>
      <c r="I74" s="149" t="s">
        <v>74</v>
      </c>
      <c r="J74" s="48">
        <f>E73/E75</f>
        <v>0.18840661511542586</v>
      </c>
      <c r="K74" s="145"/>
      <c r="L74" s="145"/>
      <c r="M74" s="145"/>
      <c r="N74" s="145"/>
      <c r="O74" s="145"/>
      <c r="P74" s="145"/>
      <c r="Q74" s="145"/>
      <c r="R74" s="145"/>
    </row>
    <row r="75" spans="3:18" x14ac:dyDescent="0.3">
      <c r="C75" s="187"/>
      <c r="D75" s="148" t="s">
        <v>76</v>
      </c>
      <c r="E75" s="144">
        <f>D4</f>
        <v>584661</v>
      </c>
      <c r="F75" s="145"/>
      <c r="G75" s="145"/>
      <c r="H75" s="145"/>
      <c r="I75" s="145"/>
      <c r="J75" s="145"/>
      <c r="K75" s="145" t="s">
        <v>23</v>
      </c>
      <c r="L75" s="145"/>
      <c r="M75" s="145"/>
      <c r="N75" s="145"/>
      <c r="O75" s="145"/>
      <c r="P75" s="145"/>
      <c r="Q75" s="145"/>
      <c r="R75" s="145"/>
    </row>
    <row r="76" spans="3:18" ht="25.5" customHeight="1" x14ac:dyDescent="0.3">
      <c r="C76" s="187"/>
      <c r="D76" s="145"/>
      <c r="E76" s="145"/>
      <c r="F76" s="145" t="s">
        <v>22</v>
      </c>
      <c r="G76" s="145"/>
      <c r="H76" s="145"/>
      <c r="I76" s="149" t="s">
        <v>79</v>
      </c>
      <c r="J76" s="147">
        <f>E75/E77</f>
        <v>0.46058784603507225</v>
      </c>
      <c r="K76" s="145"/>
      <c r="L76" s="145"/>
      <c r="M76" s="145"/>
      <c r="N76" s="145"/>
      <c r="O76" s="148" t="s">
        <v>21</v>
      </c>
      <c r="P76" s="148"/>
      <c r="Q76" s="148"/>
      <c r="R76" s="48" t="e">
        <f>#REF!*J78</f>
        <v>#REF!</v>
      </c>
    </row>
    <row r="77" spans="3:18" x14ac:dyDescent="0.3">
      <c r="C77" s="187"/>
      <c r="D77" s="148" t="s">
        <v>77</v>
      </c>
      <c r="E77" s="144">
        <f>'Balance sheet'!D27</f>
        <v>1269380</v>
      </c>
      <c r="F77" s="145"/>
      <c r="G77" s="145"/>
      <c r="H77" s="145"/>
      <c r="I77" s="145"/>
      <c r="J77" s="145"/>
      <c r="K77" s="145"/>
      <c r="L77" s="145"/>
      <c r="M77" s="145"/>
      <c r="N77" s="145"/>
      <c r="O77" s="145"/>
      <c r="P77" s="145"/>
      <c r="Q77" s="145"/>
      <c r="R77" s="145"/>
    </row>
    <row r="78" spans="3:18" ht="24" customHeight="1" x14ac:dyDescent="0.3">
      <c r="C78" s="187"/>
      <c r="D78" s="145"/>
      <c r="E78" s="145"/>
      <c r="F78" s="145" t="s">
        <v>22</v>
      </c>
      <c r="G78" s="145"/>
      <c r="H78" s="145"/>
      <c r="I78" s="149" t="s">
        <v>88</v>
      </c>
      <c r="J78" s="147">
        <f>E77/E79</f>
        <v>2.0831876851373194</v>
      </c>
      <c r="K78" s="145"/>
      <c r="L78" s="145"/>
      <c r="M78" s="145"/>
      <c r="N78" s="145"/>
      <c r="O78" s="145"/>
      <c r="P78" s="145"/>
      <c r="Q78" s="145"/>
      <c r="R78" s="145"/>
    </row>
    <row r="79" spans="3:18" x14ac:dyDescent="0.3">
      <c r="C79" s="187"/>
      <c r="D79" s="148" t="s">
        <v>78</v>
      </c>
      <c r="E79" s="144">
        <f>'Balance sheet'!D32</f>
        <v>609345</v>
      </c>
      <c r="F79" s="145"/>
      <c r="G79" s="145"/>
      <c r="H79" s="145"/>
      <c r="I79" s="145"/>
      <c r="J79" s="145"/>
      <c r="K79" s="145"/>
      <c r="L79" s="145"/>
      <c r="M79" s="145"/>
      <c r="N79" s="145"/>
      <c r="O79" s="145"/>
      <c r="P79" s="145"/>
      <c r="Q79" s="145"/>
      <c r="R79" s="145"/>
    </row>
    <row r="81" spans="3:18" x14ac:dyDescent="0.3">
      <c r="C81" s="187">
        <v>2015</v>
      </c>
      <c r="D81" s="150" t="s">
        <v>75</v>
      </c>
      <c r="E81" s="144">
        <f>E16</f>
        <v>125353</v>
      </c>
      <c r="F81" s="145"/>
      <c r="G81" s="145"/>
      <c r="H81" s="145"/>
      <c r="I81" s="145"/>
      <c r="J81" s="145"/>
      <c r="K81" s="145"/>
      <c r="L81" s="145"/>
      <c r="M81" s="145"/>
      <c r="N81" s="145"/>
      <c r="O81" s="145"/>
      <c r="P81" s="145"/>
      <c r="Q81" s="145"/>
      <c r="R81" s="145"/>
    </row>
    <row r="82" spans="3:18" x14ac:dyDescent="0.3">
      <c r="C82" s="187"/>
      <c r="D82" s="145"/>
      <c r="E82" s="145"/>
      <c r="F82" s="145" t="s">
        <v>22</v>
      </c>
      <c r="G82" s="145"/>
      <c r="H82" s="145"/>
      <c r="I82" s="151" t="s">
        <v>74</v>
      </c>
      <c r="J82" s="48">
        <f>E81/E83</f>
        <v>0.20474888440254285</v>
      </c>
      <c r="K82" s="145"/>
      <c r="L82" s="145"/>
      <c r="M82" s="145"/>
      <c r="N82" s="145"/>
      <c r="O82" s="145"/>
      <c r="P82" s="145"/>
      <c r="Q82" s="145"/>
      <c r="R82" s="145"/>
    </row>
    <row r="83" spans="3:18" x14ac:dyDescent="0.3">
      <c r="C83" s="187"/>
      <c r="D83" s="150" t="s">
        <v>76</v>
      </c>
      <c r="E83" s="144">
        <f>E4</f>
        <v>612228</v>
      </c>
      <c r="F83" s="145"/>
      <c r="G83" s="145"/>
      <c r="H83" s="145"/>
      <c r="I83" s="145"/>
      <c r="J83" s="145"/>
      <c r="K83" s="145" t="s">
        <v>23</v>
      </c>
      <c r="L83" s="145"/>
      <c r="M83" s="145"/>
      <c r="N83" s="145"/>
      <c r="O83" s="145"/>
      <c r="P83" s="145"/>
      <c r="Q83" s="145"/>
      <c r="R83" s="145"/>
    </row>
    <row r="84" spans="3:18" ht="31.2" x14ac:dyDescent="0.3">
      <c r="C84" s="187"/>
      <c r="D84" s="145"/>
      <c r="E84" s="145"/>
      <c r="F84" s="145" t="s">
        <v>22</v>
      </c>
      <c r="G84" s="145"/>
      <c r="H84" s="145"/>
      <c r="I84" s="151" t="s">
        <v>79</v>
      </c>
      <c r="J84" s="147">
        <f>E83/E85</f>
        <v>0.42143333094701829</v>
      </c>
      <c r="K84" s="145"/>
      <c r="L84" s="145"/>
      <c r="M84" s="145"/>
      <c r="N84" s="145"/>
      <c r="O84" s="150" t="s">
        <v>21</v>
      </c>
      <c r="P84" s="150"/>
      <c r="Q84" s="150"/>
      <c r="R84" s="48" t="e">
        <f>#REF!*J86</f>
        <v>#REF!</v>
      </c>
    </row>
    <row r="85" spans="3:18" x14ac:dyDescent="0.3">
      <c r="C85" s="187"/>
      <c r="D85" s="150" t="s">
        <v>77</v>
      </c>
      <c r="E85" s="144">
        <f>'Balance sheet'!E27</f>
        <v>1452728</v>
      </c>
      <c r="F85" s="145"/>
      <c r="G85" s="145"/>
      <c r="H85" s="145"/>
      <c r="I85" s="145"/>
      <c r="J85" s="145"/>
      <c r="K85" s="145"/>
      <c r="L85" s="145"/>
      <c r="M85" s="145"/>
      <c r="N85" s="145"/>
      <c r="O85" s="145"/>
      <c r="P85" s="145"/>
      <c r="Q85" s="145"/>
      <c r="R85" s="145"/>
    </row>
    <row r="86" spans="3:18" ht="31.2" x14ac:dyDescent="0.3">
      <c r="C86" s="187"/>
      <c r="D86" s="145"/>
      <c r="E86" s="145"/>
      <c r="F86" s="145" t="s">
        <v>22</v>
      </c>
      <c r="G86" s="145"/>
      <c r="H86" s="145"/>
      <c r="I86" s="151" t="s">
        <v>88</v>
      </c>
      <c r="J86" s="147">
        <f>E85/E87</f>
        <v>2.0665135102455956</v>
      </c>
      <c r="K86" s="145"/>
      <c r="L86" s="145"/>
      <c r="M86" s="145"/>
      <c r="N86" s="145"/>
      <c r="O86" s="145"/>
      <c r="P86" s="145"/>
      <c r="Q86" s="145"/>
      <c r="R86" s="145"/>
    </row>
    <row r="87" spans="3:18" x14ac:dyDescent="0.3">
      <c r="C87" s="187"/>
      <c r="D87" s="150" t="s">
        <v>78</v>
      </c>
      <c r="E87" s="144">
        <f>'Balance sheet'!E32</f>
        <v>702985</v>
      </c>
      <c r="F87" s="145"/>
      <c r="G87" s="145"/>
      <c r="H87" s="145"/>
      <c r="I87" s="145"/>
      <c r="J87" s="145"/>
      <c r="K87" s="145"/>
      <c r="L87" s="145"/>
      <c r="M87" s="145"/>
      <c r="N87" s="145"/>
      <c r="O87" s="145"/>
      <c r="P87" s="145"/>
      <c r="Q87" s="145"/>
      <c r="R87" s="145"/>
    </row>
    <row r="88" spans="3:18" x14ac:dyDescent="0.3">
      <c r="N88" s="127"/>
    </row>
    <row r="89" spans="3:18" x14ac:dyDescent="0.3">
      <c r="C89" s="187">
        <v>2016</v>
      </c>
      <c r="D89" s="152" t="s">
        <v>75</v>
      </c>
      <c r="E89" s="144">
        <f>F16</f>
        <v>146651</v>
      </c>
      <c r="F89" s="145"/>
      <c r="G89" s="145"/>
      <c r="H89" s="145"/>
      <c r="I89" s="145"/>
      <c r="J89" s="145"/>
      <c r="K89" s="145"/>
      <c r="L89" s="145"/>
      <c r="M89" s="145"/>
      <c r="N89" s="145"/>
      <c r="O89" s="145"/>
      <c r="P89" s="145"/>
      <c r="Q89" s="145"/>
      <c r="R89" s="145"/>
    </row>
    <row r="90" spans="3:18" x14ac:dyDescent="0.3">
      <c r="C90" s="187"/>
      <c r="D90" s="145"/>
      <c r="E90" s="145"/>
      <c r="F90" s="145" t="s">
        <v>22</v>
      </c>
      <c r="G90" s="145"/>
      <c r="H90" s="145"/>
      <c r="I90" s="153" t="s">
        <v>74</v>
      </c>
      <c r="J90" s="48">
        <f>E89/E91</f>
        <v>0.2196841004622847</v>
      </c>
      <c r="K90" s="145"/>
      <c r="L90" s="145"/>
      <c r="M90" s="145"/>
      <c r="N90" s="145"/>
      <c r="O90" s="145"/>
      <c r="P90" s="145"/>
      <c r="Q90" s="145"/>
      <c r="R90" s="145"/>
    </row>
    <row r="91" spans="3:18" x14ac:dyDescent="0.3">
      <c r="C91" s="187"/>
      <c r="D91" s="152" t="s">
        <v>76</v>
      </c>
      <c r="E91" s="144">
        <f>F4</f>
        <v>667554</v>
      </c>
      <c r="F91" s="145"/>
      <c r="G91" s="145"/>
      <c r="H91" s="145"/>
      <c r="I91" s="145"/>
      <c r="J91" s="145"/>
      <c r="K91" s="145" t="s">
        <v>23</v>
      </c>
      <c r="L91" s="145"/>
      <c r="M91" s="145"/>
      <c r="N91" s="145"/>
      <c r="O91" s="145"/>
      <c r="P91" s="145"/>
      <c r="Q91" s="145"/>
      <c r="R91" s="145"/>
    </row>
    <row r="92" spans="3:18" ht="31.2" x14ac:dyDescent="0.3">
      <c r="C92" s="187"/>
      <c r="D92" s="145"/>
      <c r="E92" s="145"/>
      <c r="F92" s="145" t="s">
        <v>22</v>
      </c>
      <c r="G92" s="145"/>
      <c r="H92" s="145"/>
      <c r="I92" s="153" t="s">
        <v>79</v>
      </c>
      <c r="J92" s="147">
        <f>E91/E93</f>
        <v>0.43918922030646679</v>
      </c>
      <c r="K92" s="145"/>
      <c r="L92" s="145"/>
      <c r="M92" s="145"/>
      <c r="N92" s="145"/>
      <c r="O92" s="152" t="s">
        <v>21</v>
      </c>
      <c r="P92" s="152"/>
      <c r="Q92" s="152"/>
      <c r="R92" s="48" t="e">
        <f>#REF!*J94</f>
        <v>#REF!</v>
      </c>
    </row>
    <row r="93" spans="3:18" x14ac:dyDescent="0.3">
      <c r="C93" s="187"/>
      <c r="D93" s="152" t="s">
        <v>77</v>
      </c>
      <c r="E93" s="144">
        <f>'Balance sheet'!F27</f>
        <v>1519969</v>
      </c>
      <c r="F93" s="145"/>
      <c r="G93" s="145"/>
      <c r="H93" s="145"/>
      <c r="I93" s="145"/>
      <c r="J93" s="145"/>
      <c r="K93" s="145"/>
      <c r="L93" s="145"/>
      <c r="M93" s="145"/>
      <c r="N93" s="145"/>
      <c r="O93" s="145"/>
      <c r="P93" s="145"/>
      <c r="Q93" s="145"/>
      <c r="R93" s="145"/>
    </row>
    <row r="94" spans="3:18" ht="31.2" x14ac:dyDescent="0.3">
      <c r="C94" s="187"/>
      <c r="D94" s="145"/>
      <c r="E94" s="145"/>
      <c r="F94" s="145" t="s">
        <v>22</v>
      </c>
      <c r="G94" s="145"/>
      <c r="H94" s="145"/>
      <c r="I94" s="153" t="s">
        <v>88</v>
      </c>
      <c r="J94" s="147">
        <f>E93/E95</f>
        <v>1.9254420689803688</v>
      </c>
      <c r="K94" s="145"/>
      <c r="L94" s="145"/>
      <c r="M94" s="145"/>
      <c r="N94" s="145"/>
      <c r="O94" s="145"/>
      <c r="P94" s="145"/>
      <c r="Q94" s="145"/>
      <c r="R94" s="145"/>
    </row>
    <row r="95" spans="3:18" x14ac:dyDescent="0.3">
      <c r="C95" s="187"/>
      <c r="D95" s="152" t="s">
        <v>78</v>
      </c>
      <c r="E95" s="144">
        <f>'Balance sheet'!F32</f>
        <v>789413</v>
      </c>
      <c r="F95" s="145"/>
      <c r="G95" s="145"/>
      <c r="H95" s="145"/>
      <c r="I95" s="145"/>
      <c r="J95" s="145"/>
      <c r="K95" s="145"/>
      <c r="L95" s="145"/>
      <c r="M95" s="145"/>
      <c r="N95" s="145"/>
      <c r="O95" s="145"/>
      <c r="P95" s="145"/>
      <c r="Q95" s="145"/>
      <c r="R95" s="145"/>
    </row>
  </sheetData>
  <mergeCells count="24">
    <mergeCell ref="N1:O1"/>
    <mergeCell ref="B15:C15"/>
    <mergeCell ref="A3:C3"/>
    <mergeCell ref="B8:C8"/>
    <mergeCell ref="B9:C9"/>
    <mergeCell ref="A1:C2"/>
    <mergeCell ref="B4:C4"/>
    <mergeCell ref="B5:C5"/>
    <mergeCell ref="B6:C6"/>
    <mergeCell ref="B7:C7"/>
    <mergeCell ref="B16:C16"/>
    <mergeCell ref="B17:C17"/>
    <mergeCell ref="B18:C18"/>
    <mergeCell ref="I1:K1"/>
    <mergeCell ref="B10:C10"/>
    <mergeCell ref="B11:C11"/>
    <mergeCell ref="B12:C12"/>
    <mergeCell ref="B13:C13"/>
    <mergeCell ref="B14:C14"/>
    <mergeCell ref="C65:C71"/>
    <mergeCell ref="C73:C79"/>
    <mergeCell ref="C81:C87"/>
    <mergeCell ref="C89:C95"/>
    <mergeCell ref="B19:C19"/>
  </mergeCells>
  <pageMargins left="0.7" right="0.7" top="0.75" bottom="0.75" header="0.3" footer="0.3"/>
  <pageSetup paperSize="9" orientation="portrait" horizontalDpi="4294967293" verticalDpi="4294967293"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Balance sheet</vt:lpstr>
      <vt:lpstr>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dc:creator>
  <cp:lastModifiedBy>Budiman Budiman</cp:lastModifiedBy>
  <cp:lastPrinted>2017-04-01T12:38:37Z</cp:lastPrinted>
  <dcterms:created xsi:type="dcterms:W3CDTF">2017-04-01T09:53:45Z</dcterms:created>
  <dcterms:modified xsi:type="dcterms:W3CDTF">2023-04-28T19:48:55Z</dcterms:modified>
</cp:coreProperties>
</file>