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ink/ink1.xml" ContentType="application/inkml+xml"/>
  <Override PartName="/xl/ink/ink2.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D:\EDUCATION\02-Nicolaus Copernicus University\02-Year\02-Summer Semester\FAMA\FA\New folder\"/>
    </mc:Choice>
  </mc:AlternateContent>
  <xr:revisionPtr revIDLastSave="0" documentId="13_ncr:1_{B49475A7-675D-4BCF-93DB-4A2BC92C7D94}" xr6:coauthVersionLast="47" xr6:coauthVersionMax="47" xr10:uidLastSave="{00000000-0000-0000-0000-000000000000}"/>
  <bookViews>
    <workbookView xWindow="-108" yWindow="-108" windowWidth="23256" windowHeight="12456" activeTab="1" xr2:uid="{822BC06D-3829-4245-94AE-2E12DDF3C403}"/>
  </bookViews>
  <sheets>
    <sheet name="Financial Statements" sheetId="2" r:id="rId1"/>
    <sheet name="Ratio Analysis"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V31" i="1" l="1"/>
  <c r="AW9" i="1" l="1"/>
  <c r="AY44" i="1"/>
  <c r="AX44" i="1"/>
  <c r="AW44" i="1"/>
  <c r="F79" i="2"/>
  <c r="F10" i="2"/>
  <c r="AX36" i="1" l="1"/>
  <c r="AY36" i="1"/>
  <c r="AW36" i="1"/>
  <c r="AY37" i="1"/>
  <c r="AX37" i="1"/>
  <c r="AW37" i="1"/>
  <c r="AX29" i="1"/>
  <c r="AY29" i="1"/>
  <c r="AY31" i="1" s="1"/>
  <c r="AW29" i="1"/>
  <c r="AK24" i="1"/>
  <c r="AL24" i="1"/>
  <c r="AJ24" i="1"/>
  <c r="AK23" i="1"/>
  <c r="AL23" i="1"/>
  <c r="AJ23" i="1"/>
  <c r="AK16" i="1"/>
  <c r="AL16" i="1"/>
  <c r="AJ16" i="1"/>
  <c r="AK8" i="1"/>
  <c r="AK17" i="1" s="1"/>
  <c r="AL8" i="1"/>
  <c r="AL17" i="1" s="1"/>
  <c r="AJ8" i="1"/>
  <c r="AJ17" i="1" s="1"/>
  <c r="AK7" i="1"/>
  <c r="AK15" i="1" s="1"/>
  <c r="AL7" i="1"/>
  <c r="AJ7" i="1"/>
  <c r="AX43" i="1"/>
  <c r="AY43" i="1"/>
  <c r="AW43" i="1"/>
  <c r="AX30" i="1"/>
  <c r="AY30" i="1"/>
  <c r="AW30" i="1"/>
  <c r="AX22" i="1"/>
  <c r="AY22" i="1"/>
  <c r="AW22" i="1"/>
  <c r="AX16" i="1"/>
  <c r="AY16" i="1"/>
  <c r="AW16" i="1"/>
  <c r="AX15" i="1"/>
  <c r="AY15" i="1"/>
  <c r="AW15" i="1"/>
  <c r="AX8" i="1"/>
  <c r="AY8" i="1"/>
  <c r="AY23" i="1" s="1"/>
  <c r="AW8" i="1"/>
  <c r="AW23" i="1" s="1"/>
  <c r="AX7" i="1"/>
  <c r="AY7" i="1"/>
  <c r="AW7" i="1"/>
  <c r="AK22" i="1"/>
  <c r="AL22" i="1" s="1"/>
  <c r="AK14" i="1"/>
  <c r="AL14" i="1" s="1"/>
  <c r="AK6" i="1"/>
  <c r="AL6" i="1" s="1"/>
  <c r="AV43" i="1"/>
  <c r="AX21" i="1"/>
  <c r="AY21" i="1" s="1"/>
  <c r="AX42" i="1"/>
  <c r="AY42" i="1" s="1"/>
  <c r="AX35" i="1"/>
  <c r="AY35" i="1" s="1"/>
  <c r="AX28" i="1"/>
  <c r="AY28" i="1" s="1"/>
  <c r="AX14" i="1"/>
  <c r="AY14" i="1" s="1"/>
  <c r="AX6" i="1"/>
  <c r="AY6" i="1" s="1"/>
  <c r="W36" i="1"/>
  <c r="X36" i="1"/>
  <c r="V36" i="1"/>
  <c r="W29" i="1"/>
  <c r="X29" i="1"/>
  <c r="V29" i="1"/>
  <c r="W23" i="1"/>
  <c r="W37" i="1" s="1"/>
  <c r="W43" i="1" s="1"/>
  <c r="X23" i="1"/>
  <c r="X37" i="1" s="1"/>
  <c r="X43" i="1" s="1"/>
  <c r="V23" i="1"/>
  <c r="V37" i="1" s="1"/>
  <c r="V43" i="1" s="1"/>
  <c r="W22" i="1"/>
  <c r="X22" i="1"/>
  <c r="V22" i="1"/>
  <c r="W7" i="1"/>
  <c r="X7" i="1"/>
  <c r="X15" i="1" s="1"/>
  <c r="V7" i="1"/>
  <c r="V15" i="1" s="1"/>
  <c r="V30" i="1" s="1"/>
  <c r="V44" i="1" s="1"/>
  <c r="J16" i="1"/>
  <c r="J23" i="1" s="1"/>
  <c r="K16" i="1"/>
  <c r="K23" i="1" s="1"/>
  <c r="I16" i="1"/>
  <c r="I23" i="1" s="1"/>
  <c r="I30" i="1" s="1"/>
  <c r="C119" i="2"/>
  <c r="J9" i="1" s="1"/>
  <c r="D119" i="2"/>
  <c r="K9" i="1" s="1"/>
  <c r="C108" i="2"/>
  <c r="D108" i="2"/>
  <c r="B119" i="2"/>
  <c r="I9" i="1" s="1"/>
  <c r="B108" i="2"/>
  <c r="C91" i="2"/>
  <c r="D91" i="2" s="1"/>
  <c r="C90" i="2"/>
  <c r="D90" i="2" s="1"/>
  <c r="B95" i="2"/>
  <c r="B97" i="2" s="1"/>
  <c r="I44" i="1" s="1"/>
  <c r="C84" i="2"/>
  <c r="D84" i="2"/>
  <c r="B84" i="2"/>
  <c r="D73" i="2"/>
  <c r="C73" i="2"/>
  <c r="B73" i="2"/>
  <c r="D27" i="2"/>
  <c r="D16" i="2"/>
  <c r="D22" i="2" s="1"/>
  <c r="K7" i="1" s="1"/>
  <c r="K15" i="1" s="1"/>
  <c r="C27" i="2"/>
  <c r="C16" i="2"/>
  <c r="C22" i="2" s="1"/>
  <c r="J7" i="1" s="1"/>
  <c r="J15" i="1" s="1"/>
  <c r="B27" i="2"/>
  <c r="B16" i="2"/>
  <c r="B22" i="2" s="1"/>
  <c r="I7" i="1" s="1"/>
  <c r="I15" i="1" s="1"/>
  <c r="J42" i="1"/>
  <c r="K42" i="1" s="1"/>
  <c r="J35" i="1"/>
  <c r="K35" i="1" s="1"/>
  <c r="J28" i="1"/>
  <c r="K28" i="1" s="1"/>
  <c r="J21" i="1"/>
  <c r="K21" i="1" s="1"/>
  <c r="J14" i="1"/>
  <c r="K14" i="1" s="1"/>
  <c r="J6" i="1"/>
  <c r="K6" i="1" s="1"/>
  <c r="W42" i="1"/>
  <c r="X42" i="1" s="1"/>
  <c r="W35" i="1"/>
  <c r="X35" i="1" s="1"/>
  <c r="W28" i="1"/>
  <c r="X28" i="1" s="1"/>
  <c r="W21" i="1"/>
  <c r="X21" i="1" s="1"/>
  <c r="W14" i="1"/>
  <c r="X14" i="1" s="1"/>
  <c r="W6" i="1"/>
  <c r="X6" i="1" s="1"/>
  <c r="AW45" i="1" l="1"/>
  <c r="AW31" i="1"/>
  <c r="AY45" i="1"/>
  <c r="AX45" i="1"/>
  <c r="AY38" i="1"/>
  <c r="AX31" i="1"/>
  <c r="AW38" i="1"/>
  <c r="AX38" i="1"/>
  <c r="AW17" i="1"/>
  <c r="AJ25" i="1"/>
  <c r="AY17" i="1"/>
  <c r="AL25" i="1"/>
  <c r="AK25" i="1"/>
  <c r="AX17" i="1"/>
  <c r="AJ9" i="1"/>
  <c r="AK18" i="1"/>
  <c r="AL9" i="1"/>
  <c r="AX9" i="1"/>
  <c r="AK9" i="1"/>
  <c r="AJ15" i="1"/>
  <c r="AJ18" i="1" s="1"/>
  <c r="AY9" i="1"/>
  <c r="AL15" i="1"/>
  <c r="AL18" i="1" s="1"/>
  <c r="AW24" i="1"/>
  <c r="AY24" i="1"/>
  <c r="AX23" i="1"/>
  <c r="AX24" i="1" s="1"/>
  <c r="V24" i="1"/>
  <c r="K22" i="1"/>
  <c r="K24" i="1" s="1"/>
  <c r="J22" i="1"/>
  <c r="J24" i="1" s="1"/>
  <c r="C86" i="2"/>
  <c r="J8" i="1" s="1"/>
  <c r="J37" i="1" s="1"/>
  <c r="I22" i="1"/>
  <c r="I24" i="1" s="1"/>
  <c r="C120" i="2"/>
  <c r="X24" i="1"/>
  <c r="W24" i="1"/>
  <c r="W15" i="1"/>
  <c r="K17" i="1"/>
  <c r="J17" i="1"/>
  <c r="I17" i="1"/>
  <c r="D95" i="2"/>
  <c r="D97" i="2" s="1"/>
  <c r="K44" i="1" s="1"/>
  <c r="B120" i="2"/>
  <c r="B122" i="2" s="1"/>
  <c r="B29" i="2"/>
  <c r="B31" i="2" s="1"/>
  <c r="C29" i="2"/>
  <c r="C31" i="2" s="1"/>
  <c r="C41" i="2" s="1"/>
  <c r="C49" i="2" s="1"/>
  <c r="B86" i="2"/>
  <c r="D120" i="2"/>
  <c r="D86" i="2"/>
  <c r="C95" i="2"/>
  <c r="C97" i="2" s="1"/>
  <c r="D29" i="2"/>
  <c r="D31" i="2" s="1"/>
  <c r="K29" i="1" s="1"/>
  <c r="K36" i="1" s="1"/>
  <c r="K43" i="1" s="1"/>
  <c r="K30" i="1"/>
  <c r="J30" i="1"/>
  <c r="X30" i="1"/>
  <c r="X44" i="1" s="1"/>
  <c r="X45" i="1" s="1"/>
  <c r="V38" i="1"/>
  <c r="X38" i="1"/>
  <c r="W38" i="1"/>
  <c r="J10" i="1" l="1"/>
  <c r="K45" i="1"/>
  <c r="W16" i="1"/>
  <c r="W17" i="1" s="1"/>
  <c r="W8" i="1"/>
  <c r="W9" i="1" s="1"/>
  <c r="C45" i="2"/>
  <c r="J29" i="1"/>
  <c r="J36" i="1" s="1"/>
  <c r="X16" i="1"/>
  <c r="X17" i="1" s="1"/>
  <c r="X8" i="1"/>
  <c r="X9" i="1" s="1"/>
  <c r="K8" i="1"/>
  <c r="B45" i="2"/>
  <c r="I29" i="1"/>
  <c r="K31" i="1"/>
  <c r="C122" i="2"/>
  <c r="J44" i="1"/>
  <c r="V16" i="1"/>
  <c r="V17" i="1" s="1"/>
  <c r="V8" i="1"/>
  <c r="V9" i="1" s="1"/>
  <c r="I8" i="1"/>
  <c r="I10" i="1" s="1"/>
  <c r="W30" i="1"/>
  <c r="W44" i="1" s="1"/>
  <c r="W45" i="1" s="1"/>
  <c r="D122" i="2"/>
  <c r="B41" i="2"/>
  <c r="B49" i="2" s="1"/>
  <c r="D45" i="2"/>
  <c r="D41" i="2"/>
  <c r="D49" i="2" s="1"/>
  <c r="V45" i="1"/>
  <c r="X31" i="1"/>
  <c r="J31" i="1" l="1"/>
  <c r="I36" i="1"/>
  <c r="I43" i="1" s="1"/>
  <c r="I45" i="1" s="1"/>
  <c r="I31" i="1"/>
  <c r="K37" i="1"/>
  <c r="K38" i="1" s="1"/>
  <c r="K10" i="1"/>
  <c r="I37" i="1"/>
  <c r="J43" i="1"/>
  <c r="J45" i="1" s="1"/>
  <c r="J38" i="1"/>
  <c r="W31" i="1"/>
  <c r="I38" i="1" l="1"/>
</calcChain>
</file>

<file path=xl/sharedStrings.xml><?xml version="1.0" encoding="utf-8"?>
<sst xmlns="http://schemas.openxmlformats.org/spreadsheetml/2006/main" count="233" uniqueCount="145">
  <si>
    <t>EFFICIENCY RATIO</t>
  </si>
  <si>
    <t>Year</t>
  </si>
  <si>
    <t>Sales revenue</t>
  </si>
  <si>
    <t>Total asset</t>
  </si>
  <si>
    <t>Sales Revenue to Capital Employed (Asset Turnover)</t>
  </si>
  <si>
    <t>Sales Revenue</t>
  </si>
  <si>
    <t>Capital Employed</t>
  </si>
  <si>
    <t>Ratio</t>
  </si>
  <si>
    <t>Average Inventories (Stocks) Turnover Period</t>
  </si>
  <si>
    <t>Trade receivables</t>
  </si>
  <si>
    <t>Inventories held</t>
  </si>
  <si>
    <t>Average Settlement Period for Receivables</t>
  </si>
  <si>
    <t>Average Settlement Period for Payables</t>
  </si>
  <si>
    <t>Trade Payables</t>
  </si>
  <si>
    <t>COGS Analysis</t>
  </si>
  <si>
    <t>Operating profit</t>
  </si>
  <si>
    <t>Total assets</t>
  </si>
  <si>
    <t>Current liabilities</t>
  </si>
  <si>
    <t>Ratio (ROCE)</t>
  </si>
  <si>
    <t>Net Profit Margin/Operating Profit Margin</t>
  </si>
  <si>
    <t>Operating Profit</t>
  </si>
  <si>
    <t>Gross Profit</t>
  </si>
  <si>
    <t>ROS</t>
  </si>
  <si>
    <t>Net profit</t>
  </si>
  <si>
    <t>ROA</t>
  </si>
  <si>
    <t>ROE</t>
  </si>
  <si>
    <t>Equity</t>
  </si>
  <si>
    <t>Revenue from sales</t>
  </si>
  <si>
    <t>Cost of sales</t>
  </si>
  <si>
    <t>Revenue/(cost) of compensation for stranded costs</t>
  </si>
  <si>
    <t>Gross profit on sales</t>
  </si>
  <si>
    <t>Other operating income</t>
  </si>
  <si>
    <t>Selling and distribution expenses</t>
  </si>
  <si>
    <t>General and administrative expenses</t>
  </si>
  <si>
    <t>Other operating expenses</t>
  </si>
  <si>
    <t>Finance income</t>
  </si>
  <si>
    <t>Including: interest income</t>
  </si>
  <si>
    <t>Finance expenses</t>
  </si>
  <si>
    <t>Net finance income</t>
  </si>
  <si>
    <t>Profit before tax</t>
  </si>
  <si>
    <t>Income tax</t>
  </si>
  <si>
    <t>Other comprehensive income, net of tax</t>
  </si>
  <si>
    <t>Items that may be reclassified to profit or loss in the future:</t>
  </si>
  <si>
    <t>Valuation of hedging instruments</t>
  </si>
  <si>
    <t>Deferred tax</t>
  </si>
  <si>
    <t>Items that will not be reclassified to profit or loss in the future:</t>
  </si>
  <si>
    <t>Actuarial gains/(losses) related to employee benefits</t>
  </si>
  <si>
    <t>Total comprehensive income</t>
  </si>
  <si>
    <t>the ordinary shareholders</t>
  </si>
  <si>
    <t>non-controlling interests</t>
  </si>
  <si>
    <t>Net profit attributable to:</t>
  </si>
  <si>
    <t>Total comprehensive income attributable to:</t>
  </si>
  <si>
    <t xml:space="preserve">Basic and diluted earnings per share attributable to </t>
  </si>
  <si>
    <t>shareholders of the Parent Company (in PLN)</t>
  </si>
  <si>
    <t>Note</t>
  </si>
  <si>
    <t>For the year ended 31 December 2020</t>
  </si>
  <si>
    <t>For the year ended 31 December 2022</t>
  </si>
  <si>
    <t>For the year ended 31 December 2021</t>
  </si>
  <si>
    <t>Non-Current Assets</t>
  </si>
  <si>
    <t>Property, plant and equipment</t>
  </si>
  <si>
    <t>Intangible assets, inlcuding:</t>
  </si>
  <si>
    <t>goodwill on related prices</t>
  </si>
  <si>
    <t>Right-of-use assets</t>
  </si>
  <si>
    <t>Investment property</t>
  </si>
  <si>
    <t>Financial receivables</t>
  </si>
  <si>
    <t>Shares, interests and other capital instruments</t>
  </si>
  <si>
    <t>Other non-current assets</t>
  </si>
  <si>
    <t>Deferred tax assets</t>
  </si>
  <si>
    <t>Total Non-Current Assets</t>
  </si>
  <si>
    <t>Current Assets</t>
  </si>
  <si>
    <t>Inventories</t>
  </si>
  <si>
    <t>Carbon-dioxide emission rights acquired for redemption</t>
  </si>
  <si>
    <t>Derivatives and other assets measured at fiar value</t>
  </si>
  <si>
    <t>through profit and loss</t>
  </si>
  <si>
    <t>Income tax receivables</t>
  </si>
  <si>
    <t>Trade receivables and other financial receivables</t>
  </si>
  <si>
    <t>Other current assets</t>
  </si>
  <si>
    <t>Cash and cash equivalents</t>
  </si>
  <si>
    <t>Total Current Assets</t>
  </si>
  <si>
    <t>Total Assets</t>
  </si>
  <si>
    <t>Share capital</t>
  </si>
  <si>
    <t>Share premium</t>
  </si>
  <si>
    <t>Hedging reserve</t>
  </si>
  <si>
    <t>Other reserve capital</t>
  </si>
  <si>
    <t>Retained earnings</t>
  </si>
  <si>
    <t>Equity attributable to ordinary shareholders</t>
  </si>
  <si>
    <t>Non-controlling interests</t>
  </si>
  <si>
    <t>Total Equity</t>
  </si>
  <si>
    <t>Liabilities</t>
  </si>
  <si>
    <t>Non-Current Liabilities</t>
  </si>
  <si>
    <t>Long-term lease liabilities</t>
  </si>
  <si>
    <t>Derivatives</t>
  </si>
  <si>
    <t>Deferred tax liability</t>
  </si>
  <si>
    <t>Deferred income and government grants</t>
  </si>
  <si>
    <t>Other financial liabilities</t>
  </si>
  <si>
    <t>Employee benefit liabilities</t>
  </si>
  <si>
    <t>Long-term provisions</t>
  </si>
  <si>
    <t>Total Non-Current Liabilities</t>
  </si>
  <si>
    <t>Current Liabilities</t>
  </si>
  <si>
    <t>Short-term lease liabilities</t>
  </si>
  <si>
    <t>Income tax payables</t>
  </si>
  <si>
    <t>Trade payables and other financial liabilities</t>
  </si>
  <si>
    <t>Short-tem provisions</t>
  </si>
  <si>
    <t>Total Current Liabilities</t>
  </si>
  <si>
    <t>Total Equity and Liabilities</t>
  </si>
  <si>
    <t>Total Liabilities</t>
  </si>
  <si>
    <t>KOGENERACJA S.A. Group</t>
  </si>
  <si>
    <t>Per 31 December 2022</t>
  </si>
  <si>
    <t>Income Statement</t>
  </si>
  <si>
    <t>Balance Sheet</t>
  </si>
  <si>
    <t xml:space="preserve"> &gt;&gt;&gt;&gt;&gt;</t>
  </si>
  <si>
    <t>LEVERAGE RATIO</t>
  </si>
  <si>
    <t>long-term liabilities</t>
  </si>
  <si>
    <t>Total liabilities</t>
  </si>
  <si>
    <t>Total debt/liabilities</t>
  </si>
  <si>
    <t>Bank loans and borrowings</t>
  </si>
  <si>
    <t>EBIT/Net operating profit</t>
  </si>
  <si>
    <t>Interest payables</t>
  </si>
  <si>
    <t>Depreciation and amortisation</t>
  </si>
  <si>
    <t>Current assets</t>
  </si>
  <si>
    <t>Cash and cash equivalent</t>
  </si>
  <si>
    <t>Current Ratio</t>
  </si>
  <si>
    <t>Quick Ratio</t>
  </si>
  <si>
    <t>Cash Ratio</t>
  </si>
  <si>
    <t>Leverage Ratio</t>
  </si>
  <si>
    <t>Total Debt Ratio</t>
  </si>
  <si>
    <t>Debt to Equity</t>
  </si>
  <si>
    <t>Bank Loans and Borrowings to Total Assets</t>
  </si>
  <si>
    <t>Interest Coverage Ratio</t>
  </si>
  <si>
    <t>Cash Coverage Ratio</t>
  </si>
  <si>
    <t>LIQUIDITY RATIO</t>
  </si>
  <si>
    <t>Team Members</t>
  </si>
  <si>
    <t>Name</t>
  </si>
  <si>
    <t>Student ID</t>
  </si>
  <si>
    <t>Budiman</t>
  </si>
  <si>
    <t>Lin Jin</t>
  </si>
  <si>
    <t>Jingbo Zhang</t>
  </si>
  <si>
    <t>Shubo He</t>
  </si>
  <si>
    <t>Tangible Asset Depreciation</t>
  </si>
  <si>
    <t>Intangile Assets Amortisation</t>
  </si>
  <si>
    <t>PROFITABILITY RATIO</t>
  </si>
  <si>
    <t>Return on Capital Employed (ROCE)</t>
  </si>
  <si>
    <t>Gross Profit Margin (GPM)</t>
  </si>
  <si>
    <t>Total Asset Turnover Ratio (TATO)</t>
  </si>
  <si>
    <t>Cost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</si>
</sst>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_-* #,##0_-;\-* #,##0_-;_-* &quot;-&quot;??_-;_-@_-"/>
    <numFmt numFmtId="165" formatCode="#.##\ &quot;%&quot;"/>
    <numFmt numFmtId="166" formatCode="##\ &quot;Days&quot;"/>
    <numFmt numFmtId="167" formatCode="0.##"/>
    <numFmt numFmtId="168" formatCode="0\ &quot;Days&quot;"/>
    <numFmt numFmtId="169" formatCode="##.00\ &quot;%&quot;"/>
    <numFmt numFmtId="170" formatCode="#.##"/>
  </numFmts>
  <fonts count="13"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i/>
      <sz val="11"/>
      <color theme="1"/>
      <name val="Calibri"/>
      <family val="2"/>
      <scheme val="minor"/>
    </font>
    <font>
      <i/>
      <sz val="9"/>
      <color theme="1"/>
      <name val="Calibri"/>
      <family val="2"/>
      <scheme val="minor"/>
    </font>
    <font>
      <b/>
      <sz val="12"/>
      <color theme="0"/>
      <name val="Calibri"/>
      <family val="2"/>
      <scheme val="minor"/>
    </font>
    <font>
      <b/>
      <i/>
      <sz val="12"/>
      <color theme="1"/>
      <name val="Calibri"/>
      <family val="2"/>
      <scheme val="minor"/>
    </font>
    <font>
      <b/>
      <sz val="18"/>
      <color rgb="FF002060"/>
      <name val="Calibri"/>
      <family val="2"/>
      <scheme val="minor"/>
    </font>
    <font>
      <sz val="18"/>
      <color rgb="FF002060"/>
      <name val="Calibri"/>
      <family val="2"/>
      <scheme val="minor"/>
    </font>
    <font>
      <b/>
      <sz val="11"/>
      <color rgb="FF002060"/>
      <name val="Calibri"/>
      <family val="2"/>
      <scheme val="minor"/>
    </font>
    <font>
      <b/>
      <i/>
      <sz val="12"/>
      <color theme="0"/>
      <name val="Calibri"/>
      <family val="2"/>
      <scheme val="minor"/>
    </font>
    <font>
      <b/>
      <sz val="12"/>
      <color theme="1"/>
      <name val="Calibri"/>
      <family val="2"/>
      <scheme val="minor"/>
    </font>
  </fonts>
  <fills count="7">
    <fill>
      <patternFill patternType="none"/>
    </fill>
    <fill>
      <patternFill patternType="gray125"/>
    </fill>
    <fill>
      <patternFill patternType="solid">
        <fgColor rgb="FF002060"/>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8" tint="0.59999389629810485"/>
        <bgColor indexed="64"/>
      </patternFill>
    </fill>
  </fills>
  <borders count="16">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double">
        <color auto="1"/>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rgb="FF002060"/>
      </bottom>
      <diagonal/>
    </border>
  </borders>
  <cellStyleXfs count="2">
    <xf numFmtId="0" fontId="0" fillId="0" borderId="0"/>
    <xf numFmtId="43" fontId="1" fillId="0" borderId="0" applyFont="0" applyFill="0" applyBorder="0" applyAlignment="0" applyProtection="0"/>
  </cellStyleXfs>
  <cellXfs count="68">
    <xf numFmtId="0" fontId="0" fillId="0" borderId="0" xfId="0"/>
    <xf numFmtId="164" fontId="0" fillId="0" borderId="0" xfId="1" applyNumberFormat="1" applyFont="1"/>
    <xf numFmtId="43" fontId="0" fillId="0" borderId="0" xfId="1" applyNumberFormat="1" applyFont="1"/>
    <xf numFmtId="0" fontId="2" fillId="2" borderId="1" xfId="0" applyFont="1" applyFill="1" applyBorder="1" applyAlignment="1">
      <alignment horizontal="left"/>
    </xf>
    <xf numFmtId="0" fontId="2" fillId="2" borderId="1" xfId="0" applyFont="1" applyFill="1" applyBorder="1" applyAlignment="1"/>
    <xf numFmtId="0" fontId="4" fillId="0" borderId="0" xfId="0" applyFont="1" applyBorder="1" applyAlignment="1">
      <alignment horizontal="center"/>
    </xf>
    <xf numFmtId="0" fontId="0" fillId="0" borderId="0" xfId="0" applyBorder="1"/>
    <xf numFmtId="0" fontId="3" fillId="0" borderId="0" xfId="0" applyFont="1" applyFill="1" applyBorder="1"/>
    <xf numFmtId="0" fontId="0" fillId="0" borderId="0" xfId="0" applyFill="1"/>
    <xf numFmtId="0" fontId="0" fillId="0" borderId="0" xfId="0" applyAlignment="1">
      <alignment horizontal="right"/>
    </xf>
    <xf numFmtId="164" fontId="3" fillId="0" borderId="0" xfId="1" applyNumberFormat="1" applyFont="1" applyAlignment="1">
      <alignment horizontal="right" vertical="center"/>
    </xf>
    <xf numFmtId="164" fontId="3" fillId="0" borderId="0" xfId="1" applyNumberFormat="1" applyFont="1" applyAlignment="1">
      <alignment horizontal="center" vertical="center" wrapText="1"/>
    </xf>
    <xf numFmtId="164" fontId="3" fillId="0" borderId="0" xfId="1" applyNumberFormat="1" applyFont="1"/>
    <xf numFmtId="164" fontId="0" fillId="0" borderId="0" xfId="1" applyNumberFormat="1" applyFont="1" applyAlignment="1">
      <alignment horizontal="left" indent="1"/>
    </xf>
    <xf numFmtId="43" fontId="1" fillId="0" borderId="0" xfId="1" applyNumberFormat="1" applyFont="1"/>
    <xf numFmtId="164" fontId="5" fillId="0" borderId="0" xfId="1" applyNumberFormat="1" applyFont="1" applyAlignment="1">
      <alignment horizontal="left" indent="1"/>
    </xf>
    <xf numFmtId="164" fontId="5" fillId="0" borderId="0" xfId="1" applyNumberFormat="1" applyFont="1"/>
    <xf numFmtId="164" fontId="1" fillId="0" borderId="0" xfId="1" applyNumberFormat="1" applyFont="1" applyAlignment="1">
      <alignment horizontal="left"/>
    </xf>
    <xf numFmtId="164" fontId="0" fillId="0" borderId="1" xfId="1" applyNumberFormat="1" applyFont="1" applyBorder="1"/>
    <xf numFmtId="164" fontId="3" fillId="0" borderId="5" xfId="1" applyNumberFormat="1" applyFont="1" applyBorder="1"/>
    <xf numFmtId="164" fontId="3" fillId="0" borderId="3" xfId="1" applyNumberFormat="1" applyFont="1" applyBorder="1"/>
    <xf numFmtId="164" fontId="3" fillId="3" borderId="1" xfId="1" applyNumberFormat="1" applyFont="1" applyFill="1" applyBorder="1" applyAlignment="1">
      <alignment horizontal="right" vertical="center"/>
    </xf>
    <xf numFmtId="164" fontId="3" fillId="3" borderId="1" xfId="1" applyNumberFormat="1" applyFont="1" applyFill="1" applyBorder="1" applyAlignment="1">
      <alignment horizontal="center" vertical="center" wrapText="1"/>
    </xf>
    <xf numFmtId="0" fontId="4" fillId="0" borderId="0" xfId="0" applyFont="1" applyBorder="1" applyAlignment="1">
      <alignment horizontal="right"/>
    </xf>
    <xf numFmtId="43" fontId="3" fillId="0" borderId="0" xfId="1" applyNumberFormat="1" applyFont="1" applyFill="1" applyBorder="1" applyAlignment="1">
      <alignment horizontal="right"/>
    </xf>
    <xf numFmtId="164" fontId="0" fillId="0" borderId="0" xfId="1" applyNumberFormat="1" applyFont="1" applyAlignment="1">
      <alignment horizontal="right"/>
    </xf>
    <xf numFmtId="43" fontId="0" fillId="0" borderId="0" xfId="1" applyNumberFormat="1" applyFont="1" applyBorder="1" applyAlignment="1">
      <alignment horizontal="right"/>
    </xf>
    <xf numFmtId="0" fontId="0" fillId="3" borderId="0" xfId="0" applyFill="1"/>
    <xf numFmtId="0" fontId="0" fillId="3" borderId="0" xfId="0" applyFont="1" applyFill="1"/>
    <xf numFmtId="0" fontId="0" fillId="0" borderId="5" xfId="0" applyFont="1" applyFill="1" applyBorder="1"/>
    <xf numFmtId="165" fontId="1" fillId="0" borderId="5" xfId="1" applyNumberFormat="1" applyFont="1" applyFill="1" applyBorder="1" applyAlignment="1">
      <alignment horizontal="right"/>
    </xf>
    <xf numFmtId="166" fontId="1" fillId="0" borderId="5" xfId="1" applyNumberFormat="1" applyFont="1" applyFill="1" applyBorder="1"/>
    <xf numFmtId="0" fontId="0" fillId="3" borderId="0" xfId="0" applyFill="1" applyAlignment="1">
      <alignment horizontal="right" vertical="center"/>
    </xf>
    <xf numFmtId="0" fontId="0" fillId="3" borderId="0" xfId="0" applyFill="1" applyAlignment="1">
      <alignment horizontal="right"/>
    </xf>
    <xf numFmtId="0" fontId="2" fillId="2" borderId="1" xfId="0" applyFont="1" applyFill="1" applyBorder="1" applyAlignment="1">
      <alignment horizontal="left"/>
    </xf>
    <xf numFmtId="167" fontId="1" fillId="0" borderId="5" xfId="1" applyNumberFormat="1" applyFont="1" applyFill="1" applyBorder="1" applyAlignment="1">
      <alignment horizontal="right"/>
    </xf>
    <xf numFmtId="168" fontId="1" fillId="0" borderId="5" xfId="1" applyNumberFormat="1" applyFont="1" applyFill="1" applyBorder="1"/>
    <xf numFmtId="169" fontId="1" fillId="0" borderId="5" xfId="1" applyNumberFormat="1" applyFont="1" applyFill="1" applyBorder="1"/>
    <xf numFmtId="164" fontId="0" fillId="4" borderId="0" xfId="1" applyNumberFormat="1" applyFont="1" applyFill="1"/>
    <xf numFmtId="170" fontId="1" fillId="0" borderId="5" xfId="1" applyNumberFormat="1" applyFont="1" applyFill="1" applyBorder="1"/>
    <xf numFmtId="164" fontId="0" fillId="0" borderId="0" xfId="0" applyNumberFormat="1"/>
    <xf numFmtId="167" fontId="1" fillId="0" borderId="5" xfId="1" applyNumberFormat="1" applyFont="1" applyFill="1"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164" fontId="0" fillId="5" borderId="0" xfId="1" applyNumberFormat="1" applyFont="1" applyFill="1"/>
    <xf numFmtId="164" fontId="3" fillId="5" borderId="0" xfId="1" applyNumberFormat="1" applyFont="1" applyFill="1"/>
    <xf numFmtId="164" fontId="0" fillId="6" borderId="0" xfId="1" applyNumberFormat="1" applyFont="1" applyFill="1"/>
    <xf numFmtId="164" fontId="12" fillId="6" borderId="0" xfId="1" applyNumberFormat="1" applyFont="1" applyFill="1"/>
    <xf numFmtId="164" fontId="12" fillId="4" borderId="0" xfId="1" applyNumberFormat="1" applyFont="1" applyFill="1"/>
    <xf numFmtId="0" fontId="10" fillId="0" borderId="15" xfId="0" applyFont="1" applyBorder="1"/>
    <xf numFmtId="0" fontId="3" fillId="0" borderId="0" xfId="0" applyFont="1"/>
    <xf numFmtId="164" fontId="6" fillId="2" borderId="0" xfId="1" applyNumberFormat="1" applyFont="1" applyFill="1" applyAlignment="1">
      <alignment horizontal="center"/>
    </xf>
    <xf numFmtId="164" fontId="8" fillId="0" borderId="0" xfId="1" applyNumberFormat="1" applyFont="1" applyAlignment="1">
      <alignment horizontal="left" vertical="center"/>
    </xf>
    <xf numFmtId="164" fontId="9" fillId="0" borderId="0" xfId="1" applyNumberFormat="1" applyFont="1" applyAlignment="1">
      <alignment horizontal="left" vertical="center"/>
    </xf>
    <xf numFmtId="164" fontId="8" fillId="0" borderId="0" xfId="1" applyNumberFormat="1" applyFont="1" applyAlignment="1">
      <alignment horizontal="right" vertical="center"/>
    </xf>
    <xf numFmtId="0" fontId="2" fillId="2" borderId="1" xfId="0" applyFont="1" applyFill="1" applyBorder="1" applyAlignment="1">
      <alignment horizontal="left"/>
    </xf>
    <xf numFmtId="0" fontId="7" fillId="0" borderId="2" xfId="0" applyFont="1" applyBorder="1" applyAlignment="1">
      <alignment horizontal="center"/>
    </xf>
    <xf numFmtId="0" fontId="7" fillId="0" borderId="3" xfId="0" applyFont="1" applyBorder="1" applyAlignment="1">
      <alignment horizontal="center"/>
    </xf>
    <xf numFmtId="0" fontId="7" fillId="0" borderId="4" xfId="0" applyFont="1" applyBorder="1" applyAlignment="1">
      <alignment horizontal="center"/>
    </xf>
    <xf numFmtId="0" fontId="11" fillId="2" borderId="2" xfId="0" applyFont="1" applyFill="1" applyBorder="1" applyAlignment="1">
      <alignment horizontal="center"/>
    </xf>
    <xf numFmtId="0" fontId="11" fillId="2" borderId="4" xfId="0" applyFont="1" applyFill="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3" Type="http://schemas.openxmlformats.org/officeDocument/2006/relationships/customXml" Target="../ink/ink1.xml"/><Relationship Id="rId7" Type="http://schemas.openxmlformats.org/officeDocument/2006/relationships/image" Target="../media/image13.png"/><Relationship Id="rId2" Type="http://schemas.openxmlformats.org/officeDocument/2006/relationships/image" Target="../media/image4.png"/><Relationship Id="rId1" Type="http://schemas.openxmlformats.org/officeDocument/2006/relationships/image" Target="../media/image1.jpeg"/><Relationship Id="rId6" Type="http://schemas.openxmlformats.org/officeDocument/2006/relationships/image" Target="../media/image12.png"/><Relationship Id="rId5" Type="http://schemas.openxmlformats.org/officeDocument/2006/relationships/customXml" Target="../ink/ink2.xml"/><Relationship Id="rId4"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editAs="oneCell">
    <xdr:from>
      <xdr:col>1</xdr:col>
      <xdr:colOff>716280</xdr:colOff>
      <xdr:row>1</xdr:row>
      <xdr:rowOff>22860</xdr:rowOff>
    </xdr:from>
    <xdr:to>
      <xdr:col>3</xdr:col>
      <xdr:colOff>1162897</xdr:colOff>
      <xdr:row>3</xdr:row>
      <xdr:rowOff>175260</xdr:rowOff>
    </xdr:to>
    <xdr:pic>
      <xdr:nvPicPr>
        <xdr:cNvPr id="2" name="Obraz 2" descr="logo">
          <a:extLst>
            <a:ext uri="{FF2B5EF4-FFF2-40B4-BE49-F238E27FC236}">
              <a16:creationId xmlns:a16="http://schemas.microsoft.com/office/drawing/2014/main" id="{BB7E371E-3383-460C-AB7C-B301FDACFBCA}"/>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19600" y="205740"/>
          <a:ext cx="2960370" cy="518160"/>
        </a:xfrm>
        <a:prstGeom prst="rect">
          <a:avLst/>
        </a:prstGeom>
        <a:noFill/>
        <a:ln>
          <a:noFill/>
        </a:ln>
      </xdr:spPr>
    </xdr:pic>
    <xdr:clientData/>
  </xdr:twoCellAnchor>
  <xdr:twoCellAnchor editAs="oneCell">
    <xdr:from>
      <xdr:col>5</xdr:col>
      <xdr:colOff>21773</xdr:colOff>
      <xdr:row>32</xdr:row>
      <xdr:rowOff>107036</xdr:rowOff>
    </xdr:from>
    <xdr:to>
      <xdr:col>19</xdr:col>
      <xdr:colOff>15283</xdr:colOff>
      <xdr:row>56</xdr:row>
      <xdr:rowOff>157837</xdr:rowOff>
    </xdr:to>
    <xdr:pic>
      <xdr:nvPicPr>
        <xdr:cNvPr id="3" name="Picture 2">
          <a:extLst>
            <a:ext uri="{FF2B5EF4-FFF2-40B4-BE49-F238E27FC236}">
              <a16:creationId xmlns:a16="http://schemas.microsoft.com/office/drawing/2014/main" id="{72667AB1-BABA-F4FA-1DA2-7B80E707211D}"/>
            </a:ext>
          </a:extLst>
        </xdr:cNvPr>
        <xdr:cNvPicPr>
          <a:picLocks noChangeAspect="1"/>
        </xdr:cNvPicPr>
      </xdr:nvPicPr>
      <xdr:blipFill>
        <a:blip xmlns:r="http://schemas.openxmlformats.org/officeDocument/2006/relationships" r:embed="rId2"/>
        <a:stretch>
          <a:fillRect/>
        </a:stretch>
      </xdr:blipFill>
      <xdr:spPr>
        <a:xfrm>
          <a:off x="8124373" y="6063336"/>
          <a:ext cx="8629510" cy="4343401"/>
        </a:xfrm>
        <a:prstGeom prst="rect">
          <a:avLst/>
        </a:prstGeom>
      </xdr:spPr>
    </xdr:pic>
    <xdr:clientData/>
  </xdr:twoCellAnchor>
  <xdr:twoCellAnchor editAs="oneCell">
    <xdr:from>
      <xdr:col>5</xdr:col>
      <xdr:colOff>21777</xdr:colOff>
      <xdr:row>57</xdr:row>
      <xdr:rowOff>19950</xdr:rowOff>
    </xdr:from>
    <xdr:to>
      <xdr:col>18</xdr:col>
      <xdr:colOff>576945</xdr:colOff>
      <xdr:row>72</xdr:row>
      <xdr:rowOff>166176</xdr:rowOff>
    </xdr:to>
    <xdr:pic>
      <xdr:nvPicPr>
        <xdr:cNvPr id="4" name="Picture 3">
          <a:extLst>
            <a:ext uri="{FF2B5EF4-FFF2-40B4-BE49-F238E27FC236}">
              <a16:creationId xmlns:a16="http://schemas.microsoft.com/office/drawing/2014/main" id="{D66752CC-E0B3-13F8-F284-97D82B2DAB14}"/>
            </a:ext>
          </a:extLst>
        </xdr:cNvPr>
        <xdr:cNvPicPr>
          <a:picLocks noChangeAspect="1"/>
        </xdr:cNvPicPr>
      </xdr:nvPicPr>
      <xdr:blipFill>
        <a:blip xmlns:r="http://schemas.openxmlformats.org/officeDocument/2006/relationships" r:embed="rId3"/>
        <a:stretch>
          <a:fillRect/>
        </a:stretch>
      </xdr:blipFill>
      <xdr:spPr>
        <a:xfrm>
          <a:off x="8124377" y="10472050"/>
          <a:ext cx="8581568" cy="3029126"/>
        </a:xfrm>
        <a:prstGeom prst="rect">
          <a:avLst/>
        </a:prstGeom>
      </xdr:spPr>
    </xdr:pic>
    <xdr:clientData/>
  </xdr:twoCellAnchor>
  <xdr:twoCellAnchor editAs="oneCell">
    <xdr:from>
      <xdr:col>5</xdr:col>
      <xdr:colOff>10885</xdr:colOff>
      <xdr:row>10</xdr:row>
      <xdr:rowOff>21776</xdr:rowOff>
    </xdr:from>
    <xdr:to>
      <xdr:col>18</xdr:col>
      <xdr:colOff>564236</xdr:colOff>
      <xdr:row>32</xdr:row>
      <xdr:rowOff>58515</xdr:rowOff>
    </xdr:to>
    <xdr:pic>
      <xdr:nvPicPr>
        <xdr:cNvPr id="5" name="Picture 4">
          <a:extLst>
            <a:ext uri="{FF2B5EF4-FFF2-40B4-BE49-F238E27FC236}">
              <a16:creationId xmlns:a16="http://schemas.microsoft.com/office/drawing/2014/main" id="{6B644785-D0A9-A144-EDB0-226067007FB5}"/>
            </a:ext>
          </a:extLst>
        </xdr:cNvPr>
        <xdr:cNvPicPr>
          <a:picLocks noChangeAspect="1"/>
        </xdr:cNvPicPr>
      </xdr:nvPicPr>
      <xdr:blipFill>
        <a:blip xmlns:r="http://schemas.openxmlformats.org/officeDocument/2006/relationships" r:embed="rId4"/>
        <a:stretch>
          <a:fillRect/>
        </a:stretch>
      </xdr:blipFill>
      <xdr:spPr>
        <a:xfrm>
          <a:off x="8113485" y="2066476"/>
          <a:ext cx="8579751" cy="3948339"/>
        </a:xfrm>
        <a:prstGeom prst="rect">
          <a:avLst/>
        </a:prstGeom>
      </xdr:spPr>
    </xdr:pic>
    <xdr:clientData/>
  </xdr:twoCellAnchor>
  <xdr:twoCellAnchor editAs="oneCell">
    <xdr:from>
      <xdr:col>0</xdr:col>
      <xdr:colOff>0</xdr:colOff>
      <xdr:row>139</xdr:row>
      <xdr:rowOff>85725</xdr:rowOff>
    </xdr:from>
    <xdr:to>
      <xdr:col>4</xdr:col>
      <xdr:colOff>9525</xdr:colOff>
      <xdr:row>164</xdr:row>
      <xdr:rowOff>95029</xdr:rowOff>
    </xdr:to>
    <xdr:pic>
      <xdr:nvPicPr>
        <xdr:cNvPr id="12" name="Picture 11">
          <a:extLst>
            <a:ext uri="{FF2B5EF4-FFF2-40B4-BE49-F238E27FC236}">
              <a16:creationId xmlns:a16="http://schemas.microsoft.com/office/drawing/2014/main" id="{BC553470-700B-4A95-A2A7-DC2F2C672D5D}"/>
            </a:ext>
          </a:extLst>
        </xdr:cNvPr>
        <xdr:cNvPicPr>
          <a:picLocks noChangeAspect="1"/>
        </xdr:cNvPicPr>
      </xdr:nvPicPr>
      <xdr:blipFill>
        <a:blip xmlns:r="http://schemas.openxmlformats.org/officeDocument/2006/relationships" r:embed="rId5"/>
        <a:stretch>
          <a:fillRect/>
        </a:stretch>
      </xdr:blipFill>
      <xdr:spPr>
        <a:xfrm>
          <a:off x="0" y="25774650"/>
          <a:ext cx="7505700" cy="4533679"/>
        </a:xfrm>
        <a:prstGeom prst="rect">
          <a:avLst/>
        </a:prstGeom>
      </xdr:spPr>
    </xdr:pic>
    <xdr:clientData/>
  </xdr:twoCellAnchor>
  <xdr:twoCellAnchor editAs="oneCell">
    <xdr:from>
      <xdr:col>0</xdr:col>
      <xdr:colOff>0</xdr:colOff>
      <xdr:row>176</xdr:row>
      <xdr:rowOff>36285</xdr:rowOff>
    </xdr:from>
    <xdr:to>
      <xdr:col>4</xdr:col>
      <xdr:colOff>0</xdr:colOff>
      <xdr:row>194</xdr:row>
      <xdr:rowOff>25192</xdr:rowOff>
    </xdr:to>
    <xdr:pic>
      <xdr:nvPicPr>
        <xdr:cNvPr id="13" name="Picture 12">
          <a:extLst>
            <a:ext uri="{FF2B5EF4-FFF2-40B4-BE49-F238E27FC236}">
              <a16:creationId xmlns:a16="http://schemas.microsoft.com/office/drawing/2014/main" id="{81527BD8-6157-48DE-A02D-C40B10F8517D}"/>
            </a:ext>
          </a:extLst>
        </xdr:cNvPr>
        <xdr:cNvPicPr>
          <a:picLocks noChangeAspect="1"/>
        </xdr:cNvPicPr>
      </xdr:nvPicPr>
      <xdr:blipFill>
        <a:blip xmlns:r="http://schemas.openxmlformats.org/officeDocument/2006/relationships" r:embed="rId6"/>
        <a:stretch>
          <a:fillRect/>
        </a:stretch>
      </xdr:blipFill>
      <xdr:spPr>
        <a:xfrm>
          <a:off x="0" y="32421285"/>
          <a:ext cx="7496175" cy="3246457"/>
        </a:xfrm>
        <a:prstGeom prst="rect">
          <a:avLst/>
        </a:prstGeom>
      </xdr:spPr>
    </xdr:pic>
    <xdr:clientData/>
  </xdr:twoCellAnchor>
  <xdr:twoCellAnchor editAs="oneCell">
    <xdr:from>
      <xdr:col>0</xdr:col>
      <xdr:colOff>9525</xdr:colOff>
      <xdr:row>128</xdr:row>
      <xdr:rowOff>13608</xdr:rowOff>
    </xdr:from>
    <xdr:to>
      <xdr:col>4</xdr:col>
      <xdr:colOff>19050</xdr:colOff>
      <xdr:row>139</xdr:row>
      <xdr:rowOff>29657</xdr:rowOff>
    </xdr:to>
    <xdr:pic>
      <xdr:nvPicPr>
        <xdr:cNvPr id="14" name="Picture 13">
          <a:extLst>
            <a:ext uri="{FF2B5EF4-FFF2-40B4-BE49-F238E27FC236}">
              <a16:creationId xmlns:a16="http://schemas.microsoft.com/office/drawing/2014/main" id="{7C1B4877-6FE9-4B21-9D77-C0FF350633D2}"/>
            </a:ext>
          </a:extLst>
        </xdr:cNvPr>
        <xdr:cNvPicPr>
          <a:picLocks noChangeAspect="1"/>
        </xdr:cNvPicPr>
      </xdr:nvPicPr>
      <xdr:blipFill>
        <a:blip xmlns:r="http://schemas.openxmlformats.org/officeDocument/2006/relationships" r:embed="rId7"/>
        <a:stretch>
          <a:fillRect/>
        </a:stretch>
      </xdr:blipFill>
      <xdr:spPr>
        <a:xfrm>
          <a:off x="9525" y="23711808"/>
          <a:ext cx="7505700" cy="2006774"/>
        </a:xfrm>
        <a:prstGeom prst="rect">
          <a:avLst/>
        </a:prstGeom>
      </xdr:spPr>
    </xdr:pic>
    <xdr:clientData/>
  </xdr:twoCellAnchor>
  <xdr:twoCellAnchor editAs="oneCell">
    <xdr:from>
      <xdr:col>0</xdr:col>
      <xdr:colOff>0</xdr:colOff>
      <xdr:row>169</xdr:row>
      <xdr:rowOff>139700</xdr:rowOff>
    </xdr:from>
    <xdr:to>
      <xdr:col>4</xdr:col>
      <xdr:colOff>28575</xdr:colOff>
      <xdr:row>175</xdr:row>
      <xdr:rowOff>152324</xdr:rowOff>
    </xdr:to>
    <xdr:pic>
      <xdr:nvPicPr>
        <xdr:cNvPr id="15" name="Picture 14">
          <a:extLst>
            <a:ext uri="{FF2B5EF4-FFF2-40B4-BE49-F238E27FC236}">
              <a16:creationId xmlns:a16="http://schemas.microsoft.com/office/drawing/2014/main" id="{FE01094E-C2A8-4FF4-8D26-A9473BBED144}"/>
            </a:ext>
          </a:extLst>
        </xdr:cNvPr>
        <xdr:cNvPicPr>
          <a:picLocks noChangeAspect="1"/>
        </xdr:cNvPicPr>
      </xdr:nvPicPr>
      <xdr:blipFill>
        <a:blip xmlns:r="http://schemas.openxmlformats.org/officeDocument/2006/relationships" r:embed="rId8"/>
        <a:stretch>
          <a:fillRect/>
        </a:stretch>
      </xdr:blipFill>
      <xdr:spPr>
        <a:xfrm>
          <a:off x="0" y="31276925"/>
          <a:ext cx="7524750" cy="1098474"/>
        </a:xfrm>
        <a:prstGeom prst="rect">
          <a:avLst/>
        </a:prstGeom>
      </xdr:spPr>
    </xdr:pic>
    <xdr:clientData/>
  </xdr:twoCellAnchor>
  <xdr:twoCellAnchor editAs="oneCell">
    <xdr:from>
      <xdr:col>5</xdr:col>
      <xdr:colOff>25400</xdr:colOff>
      <xdr:row>79</xdr:row>
      <xdr:rowOff>22225</xdr:rowOff>
    </xdr:from>
    <xdr:to>
      <xdr:col>18</xdr:col>
      <xdr:colOff>384629</xdr:colOff>
      <xdr:row>103</xdr:row>
      <xdr:rowOff>165937</xdr:rowOff>
    </xdr:to>
    <xdr:pic>
      <xdr:nvPicPr>
        <xdr:cNvPr id="16" name="Picture 15">
          <a:extLst>
            <a:ext uri="{FF2B5EF4-FFF2-40B4-BE49-F238E27FC236}">
              <a16:creationId xmlns:a16="http://schemas.microsoft.com/office/drawing/2014/main" id="{87187624-4020-4932-897E-B545AC289AB8}"/>
            </a:ext>
          </a:extLst>
        </xdr:cNvPr>
        <xdr:cNvPicPr>
          <a:picLocks noChangeAspect="1"/>
        </xdr:cNvPicPr>
      </xdr:nvPicPr>
      <xdr:blipFill>
        <a:blip xmlns:r="http://schemas.openxmlformats.org/officeDocument/2006/relationships" r:embed="rId9"/>
        <a:stretch>
          <a:fillRect/>
        </a:stretch>
      </xdr:blipFill>
      <xdr:spPr>
        <a:xfrm>
          <a:off x="8131175" y="14795500"/>
          <a:ext cx="8388804" cy="4506162"/>
        </a:xfrm>
        <a:prstGeom prst="rect">
          <a:avLst/>
        </a:prstGeom>
      </xdr:spPr>
    </xdr:pic>
    <xdr:clientData/>
  </xdr:twoCellAnchor>
  <xdr:twoCellAnchor editAs="oneCell">
    <xdr:from>
      <xdr:col>18</xdr:col>
      <xdr:colOff>590549</xdr:colOff>
      <xdr:row>79</xdr:row>
      <xdr:rowOff>6350</xdr:rowOff>
    </xdr:from>
    <xdr:to>
      <xdr:col>33</xdr:col>
      <xdr:colOff>19050</xdr:colOff>
      <xdr:row>104</xdr:row>
      <xdr:rowOff>63808</xdr:rowOff>
    </xdr:to>
    <xdr:pic>
      <xdr:nvPicPr>
        <xdr:cNvPr id="17" name="Picture 16">
          <a:extLst>
            <a:ext uri="{FF2B5EF4-FFF2-40B4-BE49-F238E27FC236}">
              <a16:creationId xmlns:a16="http://schemas.microsoft.com/office/drawing/2014/main" id="{BB199FD4-FA07-437B-A821-6297787BFF2B}"/>
            </a:ext>
          </a:extLst>
        </xdr:cNvPr>
        <xdr:cNvPicPr>
          <a:picLocks noChangeAspect="1"/>
        </xdr:cNvPicPr>
      </xdr:nvPicPr>
      <xdr:blipFill>
        <a:blip xmlns:r="http://schemas.openxmlformats.org/officeDocument/2006/relationships" r:embed="rId10"/>
        <a:stretch>
          <a:fillRect/>
        </a:stretch>
      </xdr:blipFill>
      <xdr:spPr>
        <a:xfrm>
          <a:off x="16725899" y="14779625"/>
          <a:ext cx="8572501" cy="460088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251460</xdr:colOff>
      <xdr:row>13</xdr:row>
      <xdr:rowOff>45720</xdr:rowOff>
    </xdr:from>
    <xdr:to>
      <xdr:col>5</xdr:col>
      <xdr:colOff>365760</xdr:colOff>
      <xdr:row>24</xdr:row>
      <xdr:rowOff>45720</xdr:rowOff>
    </xdr:to>
    <xdr:sp macro="" textlink="">
      <xdr:nvSpPr>
        <xdr:cNvPr id="22" name="Rectangle: Rounded Corners 21">
          <a:extLst>
            <a:ext uri="{FF2B5EF4-FFF2-40B4-BE49-F238E27FC236}">
              <a16:creationId xmlns:a16="http://schemas.microsoft.com/office/drawing/2014/main" id="{741C806E-82E9-A33E-8B15-B2F259298698}"/>
            </a:ext>
          </a:extLst>
        </xdr:cNvPr>
        <xdr:cNvSpPr/>
      </xdr:nvSpPr>
      <xdr:spPr>
        <a:xfrm>
          <a:off x="251460" y="2499360"/>
          <a:ext cx="3329940" cy="2049780"/>
        </a:xfrm>
        <a:prstGeom prst="roundRect">
          <a:avLst/>
        </a:prstGeom>
        <a:ln>
          <a:noFill/>
        </a:ln>
        <a:effectLst>
          <a:outerShdw blurRad="50800" dist="38100" dir="5400000" algn="t"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endParaRPr lang="en-GB" sz="1100"/>
        </a:p>
        <a:p>
          <a:pPr algn="l"/>
          <a:endParaRPr lang="en-GB" sz="1100"/>
        </a:p>
        <a:p>
          <a:pPr algn="l"/>
          <a:endParaRPr lang="en-GB" sz="1100"/>
        </a:p>
        <a:p>
          <a:pPr algn="l"/>
          <a:endParaRPr lang="en-GB" sz="1100"/>
        </a:p>
        <a:p>
          <a:pPr algn="ctr"/>
          <a:r>
            <a:rPr lang="en-GB" sz="1100">
              <a:solidFill>
                <a:sysClr val="windowText" lastClr="000000"/>
              </a:solidFill>
            </a:rPr>
            <a:t>The</a:t>
          </a:r>
          <a:r>
            <a:rPr lang="en-GB" sz="1100" baseline="0">
              <a:solidFill>
                <a:sysClr val="windowText" lastClr="000000"/>
              </a:solidFill>
            </a:rPr>
            <a:t> business of the Parent Companies and its consolidated subsidiaries </a:t>
          </a:r>
          <a:r>
            <a:rPr lang="en-GB" sz="1100" b="0" baseline="0">
              <a:solidFill>
                <a:sysClr val="windowText" lastClr="000000"/>
              </a:solidFill>
            </a:rPr>
            <a:t>include production of electricity and heat; wholesale and retail sale of electricity, heat, power industry products and services, distribution of heat and electricity.</a:t>
          </a:r>
          <a:endParaRPr lang="en-GB" sz="1100" b="0">
            <a:solidFill>
              <a:sysClr val="windowText" lastClr="000000"/>
            </a:solidFill>
          </a:endParaRPr>
        </a:p>
      </xdr:txBody>
    </xdr:sp>
    <xdr:clientData/>
  </xdr:twoCellAnchor>
  <xdr:twoCellAnchor>
    <xdr:from>
      <xdr:col>12</xdr:col>
      <xdr:colOff>0</xdr:colOff>
      <xdr:row>4</xdr:row>
      <xdr:rowOff>22860</xdr:rowOff>
    </xdr:from>
    <xdr:to>
      <xdr:col>18</xdr:col>
      <xdr:colOff>693420</xdr:colOff>
      <xdr:row>10</xdr:row>
      <xdr:rowOff>22860</xdr:rowOff>
    </xdr:to>
    <xdr:sp macro="" textlink="">
      <xdr:nvSpPr>
        <xdr:cNvPr id="2" name="TextBox 1">
          <a:extLst>
            <a:ext uri="{FF2B5EF4-FFF2-40B4-BE49-F238E27FC236}">
              <a16:creationId xmlns:a16="http://schemas.microsoft.com/office/drawing/2014/main" id="{DB09ED76-263B-C92B-57D9-ED3C597BA45B}"/>
            </a:ext>
          </a:extLst>
        </xdr:cNvPr>
        <xdr:cNvSpPr txBox="1"/>
      </xdr:nvSpPr>
      <xdr:spPr>
        <a:xfrm>
          <a:off x="5577840" y="1501140"/>
          <a:ext cx="4899660" cy="11201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100"/>
            <a:t>The</a:t>
          </a:r>
          <a:r>
            <a:rPr lang="en-GB" sz="1100" baseline="0"/>
            <a:t> ROCE of the firm in 2020 was 6.69%, meaning that for every capital employed, the company generated return of 6.69%. However, the ROCE plummeted in the following year to 2.75% due to the large drop in operating profit. Fortunately, the ratio recovered to 6.42% in 2022 showing a good trend though still below the rate of 2020.</a:t>
          </a:r>
          <a:endParaRPr lang="en-GB" sz="1100"/>
        </a:p>
      </xdr:txBody>
    </xdr:sp>
    <xdr:clientData/>
  </xdr:twoCellAnchor>
  <xdr:twoCellAnchor>
    <xdr:from>
      <xdr:col>11</xdr:col>
      <xdr:colOff>693420</xdr:colOff>
      <xdr:row>12</xdr:row>
      <xdr:rowOff>15240</xdr:rowOff>
    </xdr:from>
    <xdr:to>
      <xdr:col>19</xdr:col>
      <xdr:colOff>7620</xdr:colOff>
      <xdr:row>17</xdr:row>
      <xdr:rowOff>83820</xdr:rowOff>
    </xdr:to>
    <xdr:sp macro="" textlink="">
      <xdr:nvSpPr>
        <xdr:cNvPr id="3" name="TextBox 2">
          <a:extLst>
            <a:ext uri="{FF2B5EF4-FFF2-40B4-BE49-F238E27FC236}">
              <a16:creationId xmlns:a16="http://schemas.microsoft.com/office/drawing/2014/main" id="{D7C45140-AEE6-4F1E-A797-7577587BD45F}"/>
            </a:ext>
          </a:extLst>
        </xdr:cNvPr>
        <xdr:cNvSpPr txBox="1"/>
      </xdr:nvSpPr>
      <xdr:spPr>
        <a:xfrm>
          <a:off x="5570220" y="2987040"/>
          <a:ext cx="4922520" cy="990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GB" sz="1100"/>
            <a:t>Kogeneracja</a:t>
          </a:r>
          <a:r>
            <a:rPr lang="en-GB" sz="1100" baseline="0"/>
            <a:t> S.A. generated OPM of 13.27% in 2020. it indicates that for every 1 PLN of sales revenue, 13.27% or 0.13 PLN was left as operating profit. in the following year, the ratio dropped to 4.66% indicating a decline in the company's ability to generate operating income. The ratio then doubled in 2022 indicating recovery though far below the 2020 rate.</a:t>
          </a:r>
          <a:endParaRPr lang="en-GB" sz="1100"/>
        </a:p>
      </xdr:txBody>
    </xdr:sp>
    <xdr:clientData/>
  </xdr:twoCellAnchor>
  <xdr:twoCellAnchor editAs="oneCell">
    <xdr:from>
      <xdr:col>0</xdr:col>
      <xdr:colOff>388620</xdr:colOff>
      <xdr:row>14</xdr:row>
      <xdr:rowOff>83820</xdr:rowOff>
    </xdr:from>
    <xdr:to>
      <xdr:col>5</xdr:col>
      <xdr:colOff>133350</xdr:colOff>
      <xdr:row>17</xdr:row>
      <xdr:rowOff>45720</xdr:rowOff>
    </xdr:to>
    <xdr:pic>
      <xdr:nvPicPr>
        <xdr:cNvPr id="4" name="Obraz 2" descr="logo">
          <a:extLst>
            <a:ext uri="{FF2B5EF4-FFF2-40B4-BE49-F238E27FC236}">
              <a16:creationId xmlns:a16="http://schemas.microsoft.com/office/drawing/2014/main" id="{6006DCB5-8B8C-4B97-A3AB-64C640F6CFE8}"/>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8620" y="2720340"/>
          <a:ext cx="2960370" cy="518160"/>
        </a:xfrm>
        <a:prstGeom prst="rect">
          <a:avLst/>
        </a:prstGeom>
        <a:noFill/>
        <a:ln>
          <a:noFill/>
        </a:ln>
      </xdr:spPr>
    </xdr:pic>
    <xdr:clientData/>
  </xdr:twoCellAnchor>
  <xdr:twoCellAnchor>
    <xdr:from>
      <xdr:col>12</xdr:col>
      <xdr:colOff>0</xdr:colOff>
      <xdr:row>19</xdr:row>
      <xdr:rowOff>0</xdr:rowOff>
    </xdr:from>
    <xdr:to>
      <xdr:col>19</xdr:col>
      <xdr:colOff>15240</xdr:colOff>
      <xdr:row>24</xdr:row>
      <xdr:rowOff>68580</xdr:rowOff>
    </xdr:to>
    <xdr:sp macro="" textlink="">
      <xdr:nvSpPr>
        <xdr:cNvPr id="5" name="TextBox 4">
          <a:extLst>
            <a:ext uri="{FF2B5EF4-FFF2-40B4-BE49-F238E27FC236}">
              <a16:creationId xmlns:a16="http://schemas.microsoft.com/office/drawing/2014/main" id="{9B5904F9-E0EA-4F05-ADAB-AF5DF802D6BE}"/>
            </a:ext>
          </a:extLst>
        </xdr:cNvPr>
        <xdr:cNvSpPr txBox="1"/>
      </xdr:nvSpPr>
      <xdr:spPr>
        <a:xfrm>
          <a:off x="5577840" y="4267200"/>
          <a:ext cx="4922520" cy="990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GB" sz="1100"/>
            <a:t>Based</a:t>
          </a:r>
          <a:r>
            <a:rPr lang="en-GB" sz="1100" baseline="0"/>
            <a:t> on 2020 GPM, the company generated 0.12 PLN as gross profit from every unit sales.  the rate slightly dropped in 2021 to 10%. the decline is more associated with the increasing of cost of sales rather than sales drop as the revenue still documented growth in 2021. it also demonstrated a decrease in the company's efficiency. Favourabley, the firm GPM recovered to 14.88% in 2022 (above the 2020 rate). </a:t>
          </a:r>
          <a:endParaRPr lang="en-GB" sz="1100"/>
        </a:p>
      </xdr:txBody>
    </xdr:sp>
    <xdr:clientData/>
  </xdr:twoCellAnchor>
  <xdr:twoCellAnchor>
    <xdr:from>
      <xdr:col>12</xdr:col>
      <xdr:colOff>7620</xdr:colOff>
      <xdr:row>25</xdr:row>
      <xdr:rowOff>175260</xdr:rowOff>
    </xdr:from>
    <xdr:to>
      <xdr:col>19</xdr:col>
      <xdr:colOff>22860</xdr:colOff>
      <xdr:row>31</xdr:row>
      <xdr:rowOff>60960</xdr:rowOff>
    </xdr:to>
    <xdr:sp macro="" textlink="">
      <xdr:nvSpPr>
        <xdr:cNvPr id="6" name="TextBox 5">
          <a:extLst>
            <a:ext uri="{FF2B5EF4-FFF2-40B4-BE49-F238E27FC236}">
              <a16:creationId xmlns:a16="http://schemas.microsoft.com/office/drawing/2014/main" id="{AAD2D3E3-8353-44C3-ADAC-6FD2FD3093C1}"/>
            </a:ext>
          </a:extLst>
        </xdr:cNvPr>
        <xdr:cNvSpPr txBox="1"/>
      </xdr:nvSpPr>
      <xdr:spPr>
        <a:xfrm>
          <a:off x="5585460" y="5554980"/>
          <a:ext cx="4922520" cy="990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100"/>
            <a:t>Generally, the</a:t>
          </a:r>
          <a:r>
            <a:rPr lang="en-GB" sz="1100" baseline="0"/>
            <a:t> pattern of ROS is similar to OPM. In 2020, the firm presented 10.64% of ROS, indicating that for every 1 PLN, 0.10 was recorded as net profit. The rate then experienced a substantial drop to 3.96% in the following year due to the falling net profit. The firm successfully recovered the rate to 8.39% in 2022 but still below the rate of 2020.</a:t>
          </a:r>
          <a:endParaRPr lang="en-GB" sz="1100"/>
        </a:p>
      </xdr:txBody>
    </xdr:sp>
    <xdr:clientData/>
  </xdr:twoCellAnchor>
  <xdr:twoCellAnchor>
    <xdr:from>
      <xdr:col>12</xdr:col>
      <xdr:colOff>15240</xdr:colOff>
      <xdr:row>33</xdr:row>
      <xdr:rowOff>0</xdr:rowOff>
    </xdr:from>
    <xdr:to>
      <xdr:col>19</xdr:col>
      <xdr:colOff>30480</xdr:colOff>
      <xdr:row>38</xdr:row>
      <xdr:rowOff>68580</xdr:rowOff>
    </xdr:to>
    <xdr:sp macro="" textlink="">
      <xdr:nvSpPr>
        <xdr:cNvPr id="7" name="TextBox 6">
          <a:extLst>
            <a:ext uri="{FF2B5EF4-FFF2-40B4-BE49-F238E27FC236}">
              <a16:creationId xmlns:a16="http://schemas.microsoft.com/office/drawing/2014/main" id="{DAB3CB66-016E-4E51-B79C-365A2C29698F}"/>
            </a:ext>
          </a:extLst>
        </xdr:cNvPr>
        <xdr:cNvSpPr txBox="1"/>
      </xdr:nvSpPr>
      <xdr:spPr>
        <a:xfrm>
          <a:off x="5593080" y="6858000"/>
          <a:ext cx="4922520" cy="990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100"/>
            <a:t>The</a:t>
          </a:r>
          <a:r>
            <a:rPr lang="en-GB" sz="1100" baseline="0"/>
            <a:t> firm showed 4.41% of ROA in 2020, meaning that for every unit of asset generated net profit of 0.44 PLN. As the net profit dropped significantly in 2021, the efficiency of asset usage also declined as depicted in ROA of the year at 1.77%. Luckily, the rate recoved in the following year to 4.30% slightly below the 2020 rate.</a:t>
          </a:r>
          <a:endParaRPr lang="en-GB" sz="1100"/>
        </a:p>
      </xdr:txBody>
    </xdr:sp>
    <xdr:clientData/>
  </xdr:twoCellAnchor>
  <xdr:twoCellAnchor>
    <xdr:from>
      <xdr:col>12</xdr:col>
      <xdr:colOff>0</xdr:colOff>
      <xdr:row>39</xdr:row>
      <xdr:rowOff>160020</xdr:rowOff>
    </xdr:from>
    <xdr:to>
      <xdr:col>19</xdr:col>
      <xdr:colOff>45720</xdr:colOff>
      <xdr:row>45</xdr:row>
      <xdr:rowOff>45720</xdr:rowOff>
    </xdr:to>
    <xdr:sp macro="" textlink="">
      <xdr:nvSpPr>
        <xdr:cNvPr id="8" name="TextBox 7">
          <a:extLst>
            <a:ext uri="{FF2B5EF4-FFF2-40B4-BE49-F238E27FC236}">
              <a16:creationId xmlns:a16="http://schemas.microsoft.com/office/drawing/2014/main" id="{A3B39F11-54E7-4281-92A8-054F0DDE3B3A}"/>
            </a:ext>
          </a:extLst>
        </xdr:cNvPr>
        <xdr:cNvSpPr txBox="1"/>
      </xdr:nvSpPr>
      <xdr:spPr>
        <a:xfrm>
          <a:off x="8314267" y="7568353"/>
          <a:ext cx="4964853" cy="10117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100"/>
            <a:t>In</a:t>
          </a:r>
          <a:r>
            <a:rPr lang="en-GB" sz="1100" baseline="0"/>
            <a:t> 2020, the company's ROE was at 7.47%. it demonstrated that each 1 PLN of equity generated 0.75 PLN net profit. The ROE declined to only 3.25% in the following year due to the drop in net profit. Providentially, the firm reversed the rate to 8.03% above the 2020 rate.</a:t>
          </a:r>
          <a:endParaRPr lang="en-GB" sz="1100"/>
        </a:p>
      </xdr:txBody>
    </xdr:sp>
    <xdr:clientData/>
  </xdr:twoCellAnchor>
  <xdr:twoCellAnchor>
    <xdr:from>
      <xdr:col>24</xdr:col>
      <xdr:colOff>594360</xdr:colOff>
      <xdr:row>3</xdr:row>
      <xdr:rowOff>167640</xdr:rowOff>
    </xdr:from>
    <xdr:to>
      <xdr:col>33</xdr:col>
      <xdr:colOff>30480</xdr:colOff>
      <xdr:row>9</xdr:row>
      <xdr:rowOff>15240</xdr:rowOff>
    </xdr:to>
    <xdr:sp macro="" textlink="">
      <xdr:nvSpPr>
        <xdr:cNvPr id="9" name="TextBox 8">
          <a:extLst>
            <a:ext uri="{FF2B5EF4-FFF2-40B4-BE49-F238E27FC236}">
              <a16:creationId xmlns:a16="http://schemas.microsoft.com/office/drawing/2014/main" id="{8192E3A2-062B-4C14-88C1-10B46D9D3843}"/>
            </a:ext>
          </a:extLst>
        </xdr:cNvPr>
        <xdr:cNvSpPr txBox="1"/>
      </xdr:nvSpPr>
      <xdr:spPr>
        <a:xfrm>
          <a:off x="15163800" y="1463040"/>
          <a:ext cx="492252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100"/>
            <a:t>Total</a:t>
          </a:r>
          <a:r>
            <a:rPr lang="en-GB" sz="1100" baseline="0"/>
            <a:t> Asset Turnover Ratio of </a:t>
          </a:r>
          <a:r>
            <a:rPr lang="en-GB" sz="1100"/>
            <a:t>Kogeneracja</a:t>
          </a:r>
          <a:r>
            <a:rPr lang="en-GB" sz="1100" baseline="0"/>
            <a:t> S.A. was 0.41 in 2020, indicating that every 1 PLN of asset generated 0.41 PLN sales revenue. the rate then experienced a slight increase to 0.45 in 2021 and to 0.51 in 2020. This trend shows that the company become more efficient in using its assets to generate sales.</a:t>
          </a:r>
          <a:endParaRPr lang="en-GB" sz="1100"/>
        </a:p>
      </xdr:txBody>
    </xdr:sp>
    <xdr:clientData/>
  </xdr:twoCellAnchor>
  <xdr:twoCellAnchor>
    <xdr:from>
      <xdr:col>25</xdr:col>
      <xdr:colOff>0</xdr:colOff>
      <xdr:row>12</xdr:row>
      <xdr:rowOff>15240</xdr:rowOff>
    </xdr:from>
    <xdr:to>
      <xdr:col>33</xdr:col>
      <xdr:colOff>45720</xdr:colOff>
      <xdr:row>17</xdr:row>
      <xdr:rowOff>7620</xdr:rowOff>
    </xdr:to>
    <xdr:sp macro="" textlink="">
      <xdr:nvSpPr>
        <xdr:cNvPr id="10" name="TextBox 9">
          <a:extLst>
            <a:ext uri="{FF2B5EF4-FFF2-40B4-BE49-F238E27FC236}">
              <a16:creationId xmlns:a16="http://schemas.microsoft.com/office/drawing/2014/main" id="{0CFD850B-E419-4B07-87EA-53FEE6799F41}"/>
            </a:ext>
          </a:extLst>
        </xdr:cNvPr>
        <xdr:cNvSpPr txBox="1"/>
      </xdr:nvSpPr>
      <xdr:spPr>
        <a:xfrm>
          <a:off x="15179040" y="2987040"/>
          <a:ext cx="4922520"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100"/>
            <a:t>Similar</a:t>
          </a:r>
          <a:r>
            <a:rPr lang="en-GB" sz="1100" baseline="0"/>
            <a:t> to TATO, the company also generated a positive trend of sales revenue to capital employed ratio. In 2020, the figure was 0.50 up to 0.59 in 2021 and to 0.72 in 2022. this stipulates the firm become more efficient in utilizing its capital employed to generate sales.</a:t>
          </a:r>
          <a:endParaRPr lang="en-GB" sz="1100"/>
        </a:p>
      </xdr:txBody>
    </xdr:sp>
    <xdr:clientData/>
  </xdr:twoCellAnchor>
  <xdr:twoCellAnchor>
    <xdr:from>
      <xdr:col>24</xdr:col>
      <xdr:colOff>601980</xdr:colOff>
      <xdr:row>18</xdr:row>
      <xdr:rowOff>68580</xdr:rowOff>
    </xdr:from>
    <xdr:to>
      <xdr:col>33</xdr:col>
      <xdr:colOff>38100</xdr:colOff>
      <xdr:row>24</xdr:row>
      <xdr:rowOff>152400</xdr:rowOff>
    </xdr:to>
    <xdr:sp macro="" textlink="">
      <xdr:nvSpPr>
        <xdr:cNvPr id="11" name="TextBox 10">
          <a:extLst>
            <a:ext uri="{FF2B5EF4-FFF2-40B4-BE49-F238E27FC236}">
              <a16:creationId xmlns:a16="http://schemas.microsoft.com/office/drawing/2014/main" id="{EEAD84B7-EF09-4DAF-8C40-03BDCD3D96F8}"/>
            </a:ext>
          </a:extLst>
        </xdr:cNvPr>
        <xdr:cNvSpPr txBox="1"/>
      </xdr:nvSpPr>
      <xdr:spPr>
        <a:xfrm>
          <a:off x="14371320" y="4335780"/>
          <a:ext cx="4922520" cy="1188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100"/>
            <a:t>In</a:t>
          </a:r>
          <a:r>
            <a:rPr lang="en-GB" sz="1100" baseline="0"/>
            <a:t> 2020, the company's inventory were being turned over every 41 days. the turnover period then decrease to 19 and 22 days for the year of 2021 and 2022 respectively. Based on the ratio trend only, it seems that the company record a good performance over the period. However, if we observed deeply, the main reason of decrease in turnover period is associated with drop in inventory and increasing COGS which are not necessarily a decent condition.</a:t>
          </a:r>
          <a:endParaRPr lang="en-GB" sz="1100"/>
        </a:p>
      </xdr:txBody>
    </xdr:sp>
    <xdr:clientData/>
  </xdr:twoCellAnchor>
  <xdr:twoCellAnchor>
    <xdr:from>
      <xdr:col>25</xdr:col>
      <xdr:colOff>0</xdr:colOff>
      <xdr:row>25</xdr:row>
      <xdr:rowOff>76200</xdr:rowOff>
    </xdr:from>
    <xdr:to>
      <xdr:col>33</xdr:col>
      <xdr:colOff>38100</xdr:colOff>
      <xdr:row>32</xdr:row>
      <xdr:rowOff>53340</xdr:rowOff>
    </xdr:to>
    <xdr:sp macro="" textlink="">
      <xdr:nvSpPr>
        <xdr:cNvPr id="12" name="TextBox 11">
          <a:extLst>
            <a:ext uri="{FF2B5EF4-FFF2-40B4-BE49-F238E27FC236}">
              <a16:creationId xmlns:a16="http://schemas.microsoft.com/office/drawing/2014/main" id="{A86F220E-9083-4C23-964D-FF81F886C244}"/>
            </a:ext>
          </a:extLst>
        </xdr:cNvPr>
        <xdr:cNvSpPr txBox="1"/>
      </xdr:nvSpPr>
      <xdr:spPr>
        <a:xfrm>
          <a:off x="17762220" y="4777740"/>
          <a:ext cx="4914900" cy="12801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100"/>
            <a:t>The firm showed</a:t>
          </a:r>
          <a:r>
            <a:rPr lang="en-GB" sz="1100" baseline="0"/>
            <a:t> that a</a:t>
          </a:r>
          <a:r>
            <a:rPr lang="en-GB" sz="1100"/>
            <a:t>verage</a:t>
          </a:r>
          <a:r>
            <a:rPr lang="en-GB" sz="1100" baseline="0"/>
            <a:t> settlement period for receivable in 2020 was 249 days. it means that, on average, the customers settle the receivables in 249 days. The company looked less capable in coverting its receivables in to cash as it recorded a relative long average settlement period. However, that poor performance could be associated with the impact of COVID-19 that hit its costumers.Providentially, the ratio decresead in the following years.</a:t>
          </a:r>
          <a:endParaRPr lang="en-GB" sz="1100"/>
        </a:p>
      </xdr:txBody>
    </xdr:sp>
    <xdr:clientData/>
  </xdr:twoCellAnchor>
  <xdr:twoCellAnchor>
    <xdr:from>
      <xdr:col>25</xdr:col>
      <xdr:colOff>0</xdr:colOff>
      <xdr:row>33</xdr:row>
      <xdr:rowOff>0</xdr:rowOff>
    </xdr:from>
    <xdr:to>
      <xdr:col>33</xdr:col>
      <xdr:colOff>45720</xdr:colOff>
      <xdr:row>37</xdr:row>
      <xdr:rowOff>182880</xdr:rowOff>
    </xdr:to>
    <xdr:sp macro="" textlink="">
      <xdr:nvSpPr>
        <xdr:cNvPr id="13" name="TextBox 12">
          <a:extLst>
            <a:ext uri="{FF2B5EF4-FFF2-40B4-BE49-F238E27FC236}">
              <a16:creationId xmlns:a16="http://schemas.microsoft.com/office/drawing/2014/main" id="{95D55A6A-CF1C-4588-85A3-0E4926E31E74}"/>
            </a:ext>
          </a:extLst>
        </xdr:cNvPr>
        <xdr:cNvSpPr txBox="1"/>
      </xdr:nvSpPr>
      <xdr:spPr>
        <a:xfrm>
          <a:off x="15179040" y="6858000"/>
          <a:ext cx="4922520"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100"/>
            <a:t>In</a:t>
          </a:r>
          <a:r>
            <a:rPr lang="en-GB" sz="1100" baseline="0"/>
            <a:t> 2020, the company paid its payables every 82 days. the period then increased to 137 days in 2021. this is an advantagous condition as the company can postpone the settlement of its payables.  However, the period decreased to 95 days in the following year, fortunately still above the 2020 settlement period.</a:t>
          </a:r>
          <a:endParaRPr lang="en-GB" sz="1100"/>
        </a:p>
      </xdr:txBody>
    </xdr:sp>
    <xdr:clientData/>
  </xdr:twoCellAnchor>
  <xdr:twoCellAnchor>
    <xdr:from>
      <xdr:col>25</xdr:col>
      <xdr:colOff>0</xdr:colOff>
      <xdr:row>40</xdr:row>
      <xdr:rowOff>0</xdr:rowOff>
    </xdr:from>
    <xdr:to>
      <xdr:col>33</xdr:col>
      <xdr:colOff>45720</xdr:colOff>
      <xdr:row>44</xdr:row>
      <xdr:rowOff>182880</xdr:rowOff>
    </xdr:to>
    <xdr:sp macro="" textlink="">
      <xdr:nvSpPr>
        <xdr:cNvPr id="14" name="TextBox 13">
          <a:extLst>
            <a:ext uri="{FF2B5EF4-FFF2-40B4-BE49-F238E27FC236}">
              <a16:creationId xmlns:a16="http://schemas.microsoft.com/office/drawing/2014/main" id="{8B573049-69AE-4D96-B5F6-C1DDF1A3CE80}"/>
            </a:ext>
          </a:extLst>
        </xdr:cNvPr>
        <xdr:cNvSpPr txBox="1"/>
      </xdr:nvSpPr>
      <xdr:spPr>
        <a:xfrm>
          <a:off x="15179040" y="8153400"/>
          <a:ext cx="4922520"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90.28%</a:t>
          </a:r>
          <a:r>
            <a:rPr lang="en-GB" sz="1100" baseline="0"/>
            <a:t> of the fim's sales revenue in 2020 was COGS. The ratio decreased to 85.99% in 2021 and to 85.23% in 2022. this means that the company improves its efficiency. </a:t>
          </a:r>
          <a:endParaRPr lang="en-GB" sz="1100"/>
        </a:p>
      </xdr:txBody>
    </xdr:sp>
    <xdr:clientData/>
  </xdr:twoCellAnchor>
  <xdr:twoCellAnchor>
    <xdr:from>
      <xdr:col>39</xdr:col>
      <xdr:colOff>0</xdr:colOff>
      <xdr:row>4</xdr:row>
      <xdr:rowOff>0</xdr:rowOff>
    </xdr:from>
    <xdr:to>
      <xdr:col>46</xdr:col>
      <xdr:colOff>15240</xdr:colOff>
      <xdr:row>9</xdr:row>
      <xdr:rowOff>30480</xdr:rowOff>
    </xdr:to>
    <xdr:sp macro="" textlink="">
      <xdr:nvSpPr>
        <xdr:cNvPr id="19" name="TextBox 18">
          <a:extLst>
            <a:ext uri="{FF2B5EF4-FFF2-40B4-BE49-F238E27FC236}">
              <a16:creationId xmlns:a16="http://schemas.microsoft.com/office/drawing/2014/main" id="{E4EC8C5F-90C9-4C82-8F48-E592F092BE72}"/>
            </a:ext>
          </a:extLst>
        </xdr:cNvPr>
        <xdr:cNvSpPr txBox="1"/>
      </xdr:nvSpPr>
      <xdr:spPr>
        <a:xfrm>
          <a:off x="24246840" y="1661160"/>
          <a:ext cx="492252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100"/>
            <a:t>In</a:t>
          </a:r>
          <a:r>
            <a:rPr lang="en-GB" sz="1100" baseline="0"/>
            <a:t> 2020, the firm recorded current ratio of 1.99 nearly the ideal ratio at 2, indicating that its assets can cover almost twice its current liabilities. Nevertheless, the ratio shinked to 1.57 in 2021 and 1.14 in 2020. it represents a decline in the company's capability to pay off its current liabilities using its current asset.</a:t>
          </a:r>
          <a:endParaRPr lang="en-GB" sz="1100"/>
        </a:p>
      </xdr:txBody>
    </xdr:sp>
    <xdr:clientData/>
  </xdr:twoCellAnchor>
  <xdr:twoCellAnchor>
    <xdr:from>
      <xdr:col>39</xdr:col>
      <xdr:colOff>0</xdr:colOff>
      <xdr:row>12</xdr:row>
      <xdr:rowOff>7620</xdr:rowOff>
    </xdr:from>
    <xdr:to>
      <xdr:col>46</xdr:col>
      <xdr:colOff>15240</xdr:colOff>
      <xdr:row>18</xdr:row>
      <xdr:rowOff>7620</xdr:rowOff>
    </xdr:to>
    <xdr:sp macro="" textlink="">
      <xdr:nvSpPr>
        <xdr:cNvPr id="21" name="TextBox 20">
          <a:extLst>
            <a:ext uri="{FF2B5EF4-FFF2-40B4-BE49-F238E27FC236}">
              <a16:creationId xmlns:a16="http://schemas.microsoft.com/office/drawing/2014/main" id="{4278B49A-1AF5-4ABC-AB35-717D2BEFCE5D}"/>
            </a:ext>
          </a:extLst>
        </xdr:cNvPr>
        <xdr:cNvSpPr txBox="1"/>
      </xdr:nvSpPr>
      <xdr:spPr>
        <a:xfrm>
          <a:off x="27630120" y="2278380"/>
          <a:ext cx="4922520" cy="11201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GB" sz="1100"/>
            <a:t>The</a:t>
          </a:r>
          <a:r>
            <a:rPr lang="en-GB" sz="1100" baseline="0"/>
            <a:t> firm's quick ratios were nearly its current ratios during 2020 - 2022. this denotes that the company has small inventories, hence relatively safe from short-term problem. However, in following years the quick ratio subsided to 1.48 in 2021 then to 1.05 in 2022. Therefore, the company needs to concern about the ratio declining trend.</a:t>
          </a:r>
          <a:endParaRPr lang="en-GB" sz="1100"/>
        </a:p>
      </xdr:txBody>
    </xdr:sp>
    <xdr:clientData/>
  </xdr:twoCellAnchor>
  <xdr:twoCellAnchor>
    <xdr:from>
      <xdr:col>38</xdr:col>
      <xdr:colOff>693420</xdr:colOff>
      <xdr:row>20</xdr:row>
      <xdr:rowOff>15240</xdr:rowOff>
    </xdr:from>
    <xdr:to>
      <xdr:col>46</xdr:col>
      <xdr:colOff>7620</xdr:colOff>
      <xdr:row>24</xdr:row>
      <xdr:rowOff>190500</xdr:rowOff>
    </xdr:to>
    <xdr:sp macro="" textlink="">
      <xdr:nvSpPr>
        <xdr:cNvPr id="15" name="TextBox 14">
          <a:extLst>
            <a:ext uri="{FF2B5EF4-FFF2-40B4-BE49-F238E27FC236}">
              <a16:creationId xmlns:a16="http://schemas.microsoft.com/office/drawing/2014/main" id="{9D041A64-478C-408D-B1A4-8C49D297EB5C}"/>
            </a:ext>
          </a:extLst>
        </xdr:cNvPr>
        <xdr:cNvSpPr txBox="1"/>
      </xdr:nvSpPr>
      <xdr:spPr>
        <a:xfrm>
          <a:off x="27622500" y="3779520"/>
          <a:ext cx="4922520"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100"/>
            <a:t>In terms of cash ratio,</a:t>
          </a:r>
          <a:r>
            <a:rPr lang="en-GB" sz="1100" baseline="0"/>
            <a:t> </a:t>
          </a:r>
          <a:r>
            <a:rPr lang="en-GB" sz="1100">
              <a:solidFill>
                <a:schemeClr val="dk1"/>
              </a:solidFill>
              <a:effectLst/>
              <a:latin typeface="+mn-lt"/>
              <a:ea typeface="+mn-ea"/>
              <a:cs typeface="+mn-cs"/>
            </a:rPr>
            <a:t>Kogeneracja</a:t>
          </a:r>
          <a:r>
            <a:rPr lang="en-GB" sz="1100" baseline="0">
              <a:solidFill>
                <a:schemeClr val="dk1"/>
              </a:solidFill>
              <a:effectLst/>
              <a:latin typeface="+mn-lt"/>
              <a:ea typeface="+mn-ea"/>
              <a:cs typeface="+mn-cs"/>
            </a:rPr>
            <a:t> S.A. generated a very small rate during 2020 to 2022. it exhibits that over the period, the company's cash and cash equivalent only covered less than 5% of its current liabilities, which is a sign short-tem risk.</a:t>
          </a:r>
          <a:endParaRPr lang="en-GB" sz="1100"/>
        </a:p>
      </xdr:txBody>
    </xdr:sp>
    <xdr:clientData/>
  </xdr:twoCellAnchor>
  <xdr:twoCellAnchor>
    <xdr:from>
      <xdr:col>12</xdr:col>
      <xdr:colOff>8466</xdr:colOff>
      <xdr:row>46</xdr:row>
      <xdr:rowOff>129540</xdr:rowOff>
    </xdr:from>
    <xdr:to>
      <xdr:col>19</xdr:col>
      <xdr:colOff>38100</xdr:colOff>
      <xdr:row>60</xdr:row>
      <xdr:rowOff>0</xdr:rowOff>
    </xdr:to>
    <xdr:sp macro="" textlink="">
      <xdr:nvSpPr>
        <xdr:cNvPr id="17" name="TextBox 16">
          <a:extLst>
            <a:ext uri="{FF2B5EF4-FFF2-40B4-BE49-F238E27FC236}">
              <a16:creationId xmlns:a16="http://schemas.microsoft.com/office/drawing/2014/main" id="{892C75D0-1815-4409-BBC5-6D84BD03536E}"/>
            </a:ext>
          </a:extLst>
        </xdr:cNvPr>
        <xdr:cNvSpPr txBox="1"/>
      </xdr:nvSpPr>
      <xdr:spPr>
        <a:xfrm>
          <a:off x="8322733" y="8858673"/>
          <a:ext cx="4948767" cy="247819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1"/>
            <a:t>PROFITABILITY ANALYSIS</a:t>
          </a:r>
        </a:p>
        <a:p>
          <a:endParaRPr lang="en-GB" sz="1100" b="1" i="1"/>
        </a:p>
        <a:p>
          <a:r>
            <a:rPr lang="en-GB" sz="1100"/>
            <a:t>In</a:t>
          </a:r>
          <a:r>
            <a:rPr lang="en-GB" sz="1100" baseline="0"/>
            <a:t> General, every profitability ratio exhibited similar pattern during 2020 -2022 period. the firm experienced a relatively decent profitability ratios in 2020, followed by ratio declines in the subsequent year, and recovery in 2022.</a:t>
          </a:r>
        </a:p>
        <a:p>
          <a:endParaRPr lang="en-GB" sz="1100" baseline="0"/>
        </a:p>
        <a:p>
          <a:r>
            <a:rPr lang="en-GB" sz="1100" baseline="0"/>
            <a:t>One might ask why the company could document a larger ratio in 2020 than in 2021, given that most of businesses were hit by COVID-19 in 2020. Indeed, it seems that the firm was resilient to the pandemic. However, if we oversee the income statement thoroughly, the larger operating profit was supported by a significant increase in other operating income which is not the firm's main revenue driver (see the table below). This is confirmed by a slight decrease in 2021 gross profit compared to a significant drop of operating profit in the same year.</a:t>
          </a:r>
        </a:p>
      </xdr:txBody>
    </xdr:sp>
    <xdr:clientData/>
  </xdr:twoCellAnchor>
  <xdr:twoCellAnchor editAs="oneCell">
    <xdr:from>
      <xdr:col>7</xdr:col>
      <xdr:colOff>431799</xdr:colOff>
      <xdr:row>62</xdr:row>
      <xdr:rowOff>25406</xdr:rowOff>
    </xdr:from>
    <xdr:to>
      <xdr:col>19</xdr:col>
      <xdr:colOff>265</xdr:colOff>
      <xdr:row>84</xdr:row>
      <xdr:rowOff>16848</xdr:rowOff>
    </xdr:to>
    <xdr:pic>
      <xdr:nvPicPr>
        <xdr:cNvPr id="18" name="Picture 17">
          <a:extLst>
            <a:ext uri="{FF2B5EF4-FFF2-40B4-BE49-F238E27FC236}">
              <a16:creationId xmlns:a16="http://schemas.microsoft.com/office/drawing/2014/main" id="{D60D1C08-46D0-40D6-B338-75146ADB000F}"/>
            </a:ext>
          </a:extLst>
        </xdr:cNvPr>
        <xdr:cNvPicPr>
          <a:picLocks noChangeAspect="1"/>
        </xdr:cNvPicPr>
      </xdr:nvPicPr>
      <xdr:blipFill>
        <a:blip xmlns:r="http://schemas.openxmlformats.org/officeDocument/2006/relationships" r:embed="rId2"/>
        <a:stretch>
          <a:fillRect/>
        </a:stretch>
      </xdr:blipFill>
      <xdr:spPr>
        <a:xfrm>
          <a:off x="4631266" y="11734806"/>
          <a:ext cx="8602399" cy="4089309"/>
        </a:xfrm>
        <a:prstGeom prst="rect">
          <a:avLst/>
        </a:prstGeom>
      </xdr:spPr>
    </xdr:pic>
    <xdr:clientData/>
  </xdr:twoCellAnchor>
  <xdr:twoCellAnchor editAs="oneCell">
    <xdr:from>
      <xdr:col>7</xdr:col>
      <xdr:colOff>981826</xdr:colOff>
      <xdr:row>62</xdr:row>
      <xdr:rowOff>160873</xdr:rowOff>
    </xdr:from>
    <xdr:to>
      <xdr:col>9</xdr:col>
      <xdr:colOff>527493</xdr:colOff>
      <xdr:row>63</xdr:row>
      <xdr:rowOff>128060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29" name="Ink 28">
              <a:extLst>
                <a:ext uri="{FF2B5EF4-FFF2-40B4-BE49-F238E27FC236}">
                  <a16:creationId xmlns:a16="http://schemas.microsoft.com/office/drawing/2014/main" id="{019E43AF-DCB2-DF78-39AC-2ED849CEE196}"/>
                </a:ext>
              </a:extLst>
            </xdr14:cNvPr>
            <xdr14:cNvContentPartPr/>
          </xdr14:nvContentPartPr>
          <xdr14:nvPr macro=""/>
          <xdr14:xfrm>
            <a:off x="5181293" y="11870273"/>
            <a:ext cx="1620000" cy="153454"/>
          </xdr14:xfrm>
        </xdr:contentPart>
      </mc:Choice>
      <mc:Fallback xmlns="">
        <xdr:pic>
          <xdr:nvPicPr>
            <xdr:cNvPr id="29" name="Ink 28">
              <a:extLst>
                <a:ext uri="{FF2B5EF4-FFF2-40B4-BE49-F238E27FC236}">
                  <a16:creationId xmlns:a16="http://schemas.microsoft.com/office/drawing/2014/main" id="{019E43AF-DCB2-DF78-39AC-2ED849CEE196}"/>
                </a:ext>
              </a:extLst>
            </xdr:cNvPr>
            <xdr:cNvPicPr/>
          </xdr:nvPicPr>
          <xdr:blipFill>
            <a:blip xmlns:r="http://schemas.openxmlformats.org/officeDocument/2006/relationships" r:embed="rId4"/>
            <a:stretch>
              <a:fillRect/>
            </a:stretch>
          </xdr:blipFill>
          <xdr:spPr>
            <a:xfrm>
              <a:off x="5163653" y="11834527"/>
              <a:ext cx="1655640" cy="225307"/>
            </a:xfrm>
            <a:prstGeom prst="rect">
              <a:avLst/>
            </a:prstGeom>
          </xdr:spPr>
        </xdr:pic>
      </mc:Fallback>
    </mc:AlternateContent>
    <xdr:clientData/>
  </xdr:twoCellAnchor>
  <xdr:twoCellAnchor editAs="oneCell">
    <xdr:from>
      <xdr:col>15</xdr:col>
      <xdr:colOff>177533</xdr:colOff>
      <xdr:row>74</xdr:row>
      <xdr:rowOff>92927</xdr:rowOff>
    </xdr:from>
    <xdr:to>
      <xdr:col>16</xdr:col>
      <xdr:colOff>4360</xdr:colOff>
      <xdr:row>74</xdr:row>
      <xdr:rowOff>93287</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34" name="Ink 33">
              <a:extLst>
                <a:ext uri="{FF2B5EF4-FFF2-40B4-BE49-F238E27FC236}">
                  <a16:creationId xmlns:a16="http://schemas.microsoft.com/office/drawing/2014/main" id="{2069334A-CD2C-0802-253B-8BDF808C62C7}"/>
                </a:ext>
              </a:extLst>
            </xdr14:cNvPr>
            <xdr14:cNvContentPartPr/>
          </xdr14:nvContentPartPr>
          <xdr14:nvPr macro=""/>
          <xdr14:xfrm>
            <a:off x="10600000" y="14037527"/>
            <a:ext cx="529560" cy="360"/>
          </xdr14:xfrm>
        </xdr:contentPart>
      </mc:Choice>
      <mc:Fallback xmlns="">
        <xdr:pic>
          <xdr:nvPicPr>
            <xdr:cNvPr id="34" name="Ink 33">
              <a:extLst>
                <a:ext uri="{FF2B5EF4-FFF2-40B4-BE49-F238E27FC236}">
                  <a16:creationId xmlns:a16="http://schemas.microsoft.com/office/drawing/2014/main" id="{2069334A-CD2C-0802-253B-8BDF808C62C7}"/>
                </a:ext>
              </a:extLst>
            </xdr:cNvPr>
            <xdr:cNvPicPr/>
          </xdr:nvPicPr>
          <xdr:blipFill>
            <a:blip xmlns:r="http://schemas.openxmlformats.org/officeDocument/2006/relationships" r:embed="rId6"/>
            <a:stretch>
              <a:fillRect/>
            </a:stretch>
          </xdr:blipFill>
          <xdr:spPr>
            <a:xfrm>
              <a:off x="10546360" y="13929527"/>
              <a:ext cx="637200" cy="216000"/>
            </a:xfrm>
            <a:prstGeom prst="rect">
              <a:avLst/>
            </a:prstGeom>
          </xdr:spPr>
        </xdr:pic>
      </mc:Fallback>
    </mc:AlternateContent>
    <xdr:clientData/>
  </xdr:twoCellAnchor>
  <xdr:twoCellAnchor editAs="oneCell">
    <xdr:from>
      <xdr:col>7</xdr:col>
      <xdr:colOff>558800</xdr:colOff>
      <xdr:row>85</xdr:row>
      <xdr:rowOff>42340</xdr:rowOff>
    </xdr:from>
    <xdr:to>
      <xdr:col>18</xdr:col>
      <xdr:colOff>694267</xdr:colOff>
      <xdr:row>104</xdr:row>
      <xdr:rowOff>91402</xdr:rowOff>
    </xdr:to>
    <xdr:pic>
      <xdr:nvPicPr>
        <xdr:cNvPr id="37" name="Picture 36">
          <a:extLst>
            <a:ext uri="{FF2B5EF4-FFF2-40B4-BE49-F238E27FC236}">
              <a16:creationId xmlns:a16="http://schemas.microsoft.com/office/drawing/2014/main" id="{30A624BE-2F01-012C-59B5-1E8C29819483}"/>
            </a:ext>
          </a:extLst>
        </xdr:cNvPr>
        <xdr:cNvPicPr>
          <a:picLocks noChangeAspect="1"/>
        </xdr:cNvPicPr>
      </xdr:nvPicPr>
      <xdr:blipFill>
        <a:blip xmlns:r="http://schemas.openxmlformats.org/officeDocument/2006/relationships" r:embed="rId7"/>
        <a:stretch>
          <a:fillRect/>
        </a:stretch>
      </xdr:blipFill>
      <xdr:spPr>
        <a:xfrm>
          <a:off x="4758267" y="16035873"/>
          <a:ext cx="8466667" cy="3588129"/>
        </a:xfrm>
        <a:prstGeom prst="rect">
          <a:avLst/>
        </a:prstGeom>
      </xdr:spPr>
    </xdr:pic>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5-12T12:31:18.133"/>
    </inkml:context>
    <inkml:brush xml:id="br0">
      <inkml:brushProperty name="width" value="0.1" units="cm"/>
      <inkml:brushProperty name="height" value="0.2" units="cm"/>
      <inkml:brushProperty name="color" value="#FFFC00"/>
      <inkml:brushProperty name="tip" value="rectangle"/>
      <inkml:brushProperty name="rasterOp" value="maskPen"/>
      <inkml:brushProperty name="ignorePressure" value="1"/>
    </inkml:brush>
  </inkml:definitions>
  <inkml:trace contextRef="#ctx0" brushRef="#br0">1 232,'1034'73,"-1032"-72,122 17,82 4,-151-23,1 5,59 16,-43-7,0-5,100-10,-56-2,-47 7,-36 0,0-2,1-3,38-10,-5-20,-54 23,1 1,0 2,0 0,23-4,243 8,-137 5,446-3,-573 2,1 1,29 11,25 4,105-19,38 4,-136 16,-50-11,54 5,-81-13,27 0,-1 1,1 3,39 12,-55-11,1 0,0-2,0 0,0-2,0 0,20-4,-30 3,1-1,-1 0,0 0,0 0,0-1,0 0,0 0,0 0,0-1,0 1,-1-1,1 0,0 0,-1-1,1 1,-1-1,0 0,0 0,0 0,0 0,0-1,-1 1,1-1,-1 0,0 1,0-1,0 0,0 0,0-1,-1 1,1-6,1-12,0-1,-2 1,0-1,0 0,-1 1,-1-1,-5-33,6 53,0 1,0 0,0 0,0 0,-1 0,1 0,-1 0,1 1,-1-1,1 1,-1 0,0-1,0 1,0 0,0 1,0-1,0 1,0-1,0 1,0 0,0 0,0 0,0 1,-1-1,1 1,0 0,-4 0,-6 2,0 1,0 0,0 1,-12 8,-14 3,-24-6,-121-9,76-4,-293 4,381-2,-1-1,-36-14,10 1,-2 0,28 9,1 1,-34-3,-643 7,333 5,-1754-3,2111 0,0 1,1 0,-1 0,0 1,-8 4,13-6,0 1,1-1,-1 0,1 1,-1-1,0 1,1-1,-1 1,1 0,-1-1,1 1,-1 0,1 0,-1-1,1 1,0 0,-1 0,1 0,0 0,-1 0,1 0,-1 2,2-2,-1 1,0 0,1-1,-1 1,0 0,1-1,-1 1,1-1,-1 1,1-1,0 0,-1 1,1-1,0 0,0 0,-1 0,1 0,0 0,2 2,39 56,-39-54,1 0,-1 0,0 1,-1 0,1 0,-1 0,1 0,-1 1,3 12,-6-14,1 0,-1-1,0 1,0-1,0 1,0-1,0 0,-1 0,1 0,-1 0,1 0,-1 0,-3 5,2-4,1-1,-1 1,1 0,0 0,1 1,-1-1,0 1,-1 9,3-14,0-1,0 1,0 0,0 0,0 0,0 0,0 0,0 0,1-1,-1 1,0 0,0 0,0 0,1-1,-1 1,0 0,1-1,-1 1,0 0,1-1,-1 1,0 0,1-1,0 1,24 10,-21-12,-1 1,1-1,0-1,-1 1,1-1,-1 0,0 0,1 0,-1-1,0 0,0 0,5-7,23-17,-9 19,0 2,0 1,0 1,1 3,-1 0,32 7,13-1,356-5,-399 2,-1 1,28 11,-26-6,40 3,293-10,-170-3,-155 5,50 14,-49-8,47 2,-62-9,0 1,33 13,-1 1,-5-5,-7-1,73 5,702-18,-796 0,1-1,0-2,-1-1,30-17,-28 13,0 1,1 2,30-6,308 10,-176 7,240-4,-381-7,-26-1</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5-12T12:32:12.087"/>
    </inkml:context>
    <inkml:brush xml:id="br0">
      <inkml:brushProperty name="width" value="0.3" units="cm"/>
      <inkml:brushProperty name="height" value="0.6" units="cm"/>
      <inkml:brushProperty name="color" value="#00F900"/>
      <inkml:brushProperty name="tip" value="rectangle"/>
      <inkml:brushProperty name="rasterOp" value="maskPen"/>
      <inkml:brushProperty name="ignorePressure" value="1"/>
    </inkml:brush>
  </inkml:definitions>
  <inkml:trace contextRef="#ctx0" brushRef="#br0">1 0,'1455'0,"-1440"0</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CBA69-2609-4FB3-B70D-99ADAB986596}">
  <dimension ref="A2:AG169"/>
  <sheetViews>
    <sheetView showGridLines="0" topLeftCell="A7" zoomScale="80" zoomScaleNormal="80" workbookViewId="0">
      <selection activeCell="B13" sqref="B13:D13"/>
    </sheetView>
  </sheetViews>
  <sheetFormatPr defaultRowHeight="14.4" x14ac:dyDescent="0.3"/>
  <cols>
    <col min="1" max="1" width="54" style="1" bestFit="1" customWidth="1"/>
    <col min="2" max="2" width="18.21875" style="1" customWidth="1"/>
    <col min="3" max="3" width="18.33203125" style="1" customWidth="1"/>
    <col min="4" max="4" width="18.77734375" style="1" customWidth="1"/>
    <col min="5" max="6" width="8.88671875" style="1"/>
    <col min="7" max="7" width="10.44140625" style="1" bestFit="1" customWidth="1"/>
    <col min="8" max="16384" width="8.88671875" style="1"/>
  </cols>
  <sheetData>
    <row r="2" spans="1:19" ht="14.4" customHeight="1" x14ac:dyDescent="0.3">
      <c r="A2" s="61"/>
      <c r="B2" s="59"/>
      <c r="C2" s="60"/>
      <c r="D2" s="60"/>
    </row>
    <row r="3" spans="1:19" ht="14.4" customHeight="1" x14ac:dyDescent="0.3">
      <c r="A3" s="61"/>
      <c r="B3" s="60"/>
      <c r="C3" s="60"/>
      <c r="D3" s="60"/>
    </row>
    <row r="4" spans="1:19" x14ac:dyDescent="0.3">
      <c r="A4" s="61"/>
    </row>
    <row r="6" spans="1:19" ht="15.6" x14ac:dyDescent="0.3">
      <c r="A6" s="58" t="s">
        <v>106</v>
      </c>
      <c r="B6" s="58"/>
      <c r="C6" s="58"/>
      <c r="D6" s="58"/>
    </row>
    <row r="7" spans="1:19" ht="15.6" x14ac:dyDescent="0.3">
      <c r="A7" s="58" t="s">
        <v>107</v>
      </c>
      <c r="B7" s="58"/>
      <c r="C7" s="58"/>
      <c r="D7" s="58"/>
    </row>
    <row r="8" spans="1:19" ht="15.6" x14ac:dyDescent="0.3">
      <c r="A8" s="58" t="s">
        <v>108</v>
      </c>
      <c r="B8" s="58"/>
      <c r="C8" s="58"/>
      <c r="D8" s="58"/>
    </row>
    <row r="10" spans="1:19" ht="28.8" x14ac:dyDescent="0.3">
      <c r="A10" s="21" t="s">
        <v>54</v>
      </c>
      <c r="B10" s="22" t="s">
        <v>55</v>
      </c>
      <c r="C10" s="22" t="s">
        <v>57</v>
      </c>
      <c r="D10" s="22" t="s">
        <v>56</v>
      </c>
      <c r="F10" s="52" t="str">
        <f>A18</f>
        <v>Other operating income</v>
      </c>
      <c r="G10" s="51"/>
      <c r="H10" s="51"/>
      <c r="I10" s="51"/>
      <c r="J10" s="51"/>
      <c r="K10" s="51"/>
      <c r="L10" s="51"/>
      <c r="M10" s="51"/>
      <c r="N10" s="51"/>
      <c r="O10" s="51"/>
      <c r="P10" s="51"/>
      <c r="Q10" s="51"/>
      <c r="R10" s="51"/>
      <c r="S10" s="51"/>
    </row>
    <row r="11" spans="1:19" x14ac:dyDescent="0.3">
      <c r="A11" s="10"/>
      <c r="B11" s="11"/>
      <c r="C11" s="11"/>
    </row>
    <row r="12" spans="1:19" x14ac:dyDescent="0.3">
      <c r="A12" s="1" t="s">
        <v>27</v>
      </c>
      <c r="B12" s="1">
        <v>1183441</v>
      </c>
      <c r="C12" s="1">
        <v>1434506</v>
      </c>
      <c r="D12" s="1">
        <v>1812201</v>
      </c>
    </row>
    <row r="13" spans="1:19" x14ac:dyDescent="0.3">
      <c r="A13" s="1" t="s">
        <v>28</v>
      </c>
      <c r="B13" s="1">
        <v>-1068429</v>
      </c>
      <c r="C13" s="1">
        <v>-1233460</v>
      </c>
      <c r="D13" s="1">
        <v>-1544492</v>
      </c>
    </row>
    <row r="14" spans="1:19" x14ac:dyDescent="0.3">
      <c r="A14" s="1" t="s">
        <v>29</v>
      </c>
      <c r="B14" s="1">
        <v>29824</v>
      </c>
      <c r="C14" s="1">
        <v>-57655</v>
      </c>
      <c r="D14" s="1">
        <v>1996</v>
      </c>
    </row>
    <row r="16" spans="1:19" x14ac:dyDescent="0.3">
      <c r="A16" s="12" t="s">
        <v>30</v>
      </c>
      <c r="B16" s="12">
        <f>SUM(B12:B14)</f>
        <v>144836</v>
      </c>
      <c r="C16" s="12">
        <f>SUM(C12:C14)</f>
        <v>143391</v>
      </c>
      <c r="D16" s="12">
        <f>SUM(D12:D14)</f>
        <v>269705</v>
      </c>
    </row>
    <row r="18" spans="1:4" x14ac:dyDescent="0.3">
      <c r="A18" s="51" t="s">
        <v>31</v>
      </c>
      <c r="B18" s="51">
        <v>120831</v>
      </c>
      <c r="C18" s="51">
        <v>21476</v>
      </c>
      <c r="D18" s="51">
        <v>17243</v>
      </c>
    </row>
    <row r="19" spans="1:4" x14ac:dyDescent="0.3">
      <c r="A19" s="1" t="s">
        <v>32</v>
      </c>
      <c r="B19" s="1">
        <v>-31026</v>
      </c>
      <c r="C19" s="1">
        <v>-31741</v>
      </c>
      <c r="D19" s="1">
        <v>-62082</v>
      </c>
    </row>
    <row r="20" spans="1:4" x14ac:dyDescent="0.3">
      <c r="A20" s="1" t="s">
        <v>33</v>
      </c>
      <c r="B20" s="1">
        <v>-63877</v>
      </c>
      <c r="C20" s="1">
        <v>-62658</v>
      </c>
      <c r="D20" s="1">
        <v>-60355</v>
      </c>
    </row>
    <row r="21" spans="1:4" x14ac:dyDescent="0.3">
      <c r="A21" s="1" t="s">
        <v>34</v>
      </c>
      <c r="B21" s="1">
        <v>-13673</v>
      </c>
      <c r="C21" s="1">
        <v>-3664</v>
      </c>
      <c r="D21" s="1">
        <v>-3742</v>
      </c>
    </row>
    <row r="22" spans="1:4" x14ac:dyDescent="0.3">
      <c r="A22" s="12" t="s">
        <v>15</v>
      </c>
      <c r="B22" s="12">
        <f>SUM(B16:B21)</f>
        <v>157091</v>
      </c>
      <c r="C22" s="12">
        <f>SUM(C16:C21)</f>
        <v>66804</v>
      </c>
      <c r="D22" s="12">
        <f>SUM(D16:D21)</f>
        <v>160769</v>
      </c>
    </row>
    <row r="24" spans="1:4" x14ac:dyDescent="0.3">
      <c r="A24" s="1" t="s">
        <v>35</v>
      </c>
      <c r="B24" s="1">
        <v>7919</v>
      </c>
      <c r="C24" s="1">
        <v>9279</v>
      </c>
      <c r="D24" s="1">
        <v>36243</v>
      </c>
    </row>
    <row r="25" spans="1:4" x14ac:dyDescent="0.3">
      <c r="A25" s="15" t="s">
        <v>36</v>
      </c>
      <c r="B25" s="16">
        <v>7876</v>
      </c>
      <c r="C25" s="16">
        <v>3084</v>
      </c>
      <c r="D25" s="16">
        <v>36143</v>
      </c>
    </row>
    <row r="26" spans="1:4" x14ac:dyDescent="0.3">
      <c r="A26" s="38" t="s">
        <v>37</v>
      </c>
      <c r="B26" s="38">
        <v>-7242</v>
      </c>
      <c r="C26" s="38">
        <v>-3309</v>
      </c>
      <c r="D26" s="38">
        <v>-7474</v>
      </c>
    </row>
    <row r="27" spans="1:4" x14ac:dyDescent="0.3">
      <c r="A27" s="12" t="s">
        <v>38</v>
      </c>
      <c r="B27" s="12">
        <f>B24+B26</f>
        <v>677</v>
      </c>
      <c r="C27" s="12">
        <f>C24+C26</f>
        <v>5970</v>
      </c>
      <c r="D27" s="12">
        <f>D24+D26</f>
        <v>28769</v>
      </c>
    </row>
    <row r="29" spans="1:4" x14ac:dyDescent="0.3">
      <c r="A29" s="12" t="s">
        <v>39</v>
      </c>
      <c r="B29" s="12">
        <f>B22+B27</f>
        <v>157768</v>
      </c>
      <c r="C29" s="12">
        <f>C22+C27</f>
        <v>72774</v>
      </c>
      <c r="D29" s="12">
        <f>D22+D27</f>
        <v>189538</v>
      </c>
    </row>
    <row r="30" spans="1:4" x14ac:dyDescent="0.3">
      <c r="A30" s="1" t="s">
        <v>40</v>
      </c>
      <c r="B30" s="1">
        <v>-31814</v>
      </c>
      <c r="C30" s="1">
        <v>-15987</v>
      </c>
      <c r="D30" s="1">
        <v>-37556</v>
      </c>
    </row>
    <row r="31" spans="1:4" x14ac:dyDescent="0.3">
      <c r="A31" s="20" t="s">
        <v>23</v>
      </c>
      <c r="B31" s="20">
        <f>B29+B30</f>
        <v>125954</v>
      </c>
      <c r="C31" s="20">
        <f>C29+C30</f>
        <v>56787</v>
      </c>
      <c r="D31" s="20">
        <f>D29+D30</f>
        <v>151982</v>
      </c>
    </row>
    <row r="33" spans="1:4" x14ac:dyDescent="0.3">
      <c r="A33" s="12" t="s">
        <v>41</v>
      </c>
      <c r="B33" s="1">
        <v>-1279</v>
      </c>
      <c r="C33" s="1">
        <v>3886</v>
      </c>
      <c r="D33" s="1">
        <v>-1694</v>
      </c>
    </row>
    <row r="34" spans="1:4" x14ac:dyDescent="0.3">
      <c r="A34" s="12" t="s">
        <v>42</v>
      </c>
    </row>
    <row r="35" spans="1:4" x14ac:dyDescent="0.3">
      <c r="A35" s="13" t="s">
        <v>43</v>
      </c>
      <c r="B35" s="1">
        <v>-1363</v>
      </c>
      <c r="C35" s="1">
        <v>3769</v>
      </c>
      <c r="D35" s="1">
        <v>-2405</v>
      </c>
    </row>
    <row r="36" spans="1:4" x14ac:dyDescent="0.3">
      <c r="A36" s="13" t="s">
        <v>44</v>
      </c>
      <c r="B36" s="1">
        <v>259</v>
      </c>
      <c r="C36" s="1">
        <v>-716</v>
      </c>
      <c r="D36" s="1">
        <v>457</v>
      </c>
    </row>
    <row r="37" spans="1:4" x14ac:dyDescent="0.3">
      <c r="A37" s="12" t="s">
        <v>45</v>
      </c>
    </row>
    <row r="38" spans="1:4" x14ac:dyDescent="0.3">
      <c r="A38" s="13" t="s">
        <v>46</v>
      </c>
      <c r="B38" s="1">
        <v>-216</v>
      </c>
      <c r="C38" s="1">
        <v>1029</v>
      </c>
      <c r="D38" s="1">
        <v>314</v>
      </c>
    </row>
    <row r="39" spans="1:4" x14ac:dyDescent="0.3">
      <c r="A39" s="13" t="s">
        <v>44</v>
      </c>
      <c r="B39" s="1">
        <v>41</v>
      </c>
      <c r="C39" s="1">
        <v>-196</v>
      </c>
      <c r="D39" s="1">
        <v>-60</v>
      </c>
    </row>
    <row r="41" spans="1:4" x14ac:dyDescent="0.3">
      <c r="A41" s="20" t="s">
        <v>47</v>
      </c>
      <c r="B41" s="20">
        <f>B31+B33</f>
        <v>124675</v>
      </c>
      <c r="C41" s="20">
        <f>C31+C33</f>
        <v>60673</v>
      </c>
      <c r="D41" s="20">
        <f>D31+D33</f>
        <v>150288</v>
      </c>
    </row>
    <row r="43" spans="1:4" x14ac:dyDescent="0.3">
      <c r="A43" s="12" t="s">
        <v>50</v>
      </c>
    </row>
    <row r="44" spans="1:4" x14ac:dyDescent="0.3">
      <c r="A44" s="13" t="s">
        <v>48</v>
      </c>
      <c r="B44" s="1">
        <v>123935</v>
      </c>
      <c r="C44" s="1">
        <v>56254</v>
      </c>
      <c r="D44" s="1">
        <v>149534</v>
      </c>
    </row>
    <row r="45" spans="1:4" x14ac:dyDescent="0.3">
      <c r="A45" s="13" t="s">
        <v>49</v>
      </c>
      <c r="B45" s="1">
        <f>B31-B44</f>
        <v>2019</v>
      </c>
      <c r="C45" s="1">
        <f t="shared" ref="C45:D45" si="0">C31-C44</f>
        <v>533</v>
      </c>
      <c r="D45" s="1">
        <f t="shared" si="0"/>
        <v>2448</v>
      </c>
    </row>
    <row r="47" spans="1:4" x14ac:dyDescent="0.3">
      <c r="A47" s="12" t="s">
        <v>51</v>
      </c>
    </row>
    <row r="48" spans="1:4" x14ac:dyDescent="0.3">
      <c r="A48" s="13" t="s">
        <v>48</v>
      </c>
      <c r="B48" s="1">
        <v>122656</v>
      </c>
      <c r="C48" s="1">
        <v>60091</v>
      </c>
      <c r="D48" s="1">
        <v>147871</v>
      </c>
    </row>
    <row r="49" spans="1:4" x14ac:dyDescent="0.3">
      <c r="A49" s="13" t="s">
        <v>49</v>
      </c>
      <c r="B49" s="1">
        <f>B41-B48</f>
        <v>2019</v>
      </c>
      <c r="C49" s="1">
        <f t="shared" ref="C49:D49" si="1">C41-C48</f>
        <v>582</v>
      </c>
      <c r="D49" s="1">
        <f t="shared" si="1"/>
        <v>2417</v>
      </c>
    </row>
    <row r="51" spans="1:4" x14ac:dyDescent="0.3">
      <c r="A51" s="1" t="s">
        <v>52</v>
      </c>
    </row>
    <row r="52" spans="1:4" x14ac:dyDescent="0.3">
      <c r="A52" s="13" t="s">
        <v>53</v>
      </c>
      <c r="B52" s="14">
        <v>8.32</v>
      </c>
      <c r="C52" s="2">
        <v>3.78</v>
      </c>
      <c r="D52" s="2">
        <v>10.039999999999999</v>
      </c>
    </row>
    <row r="56" spans="1:4" ht="15.6" x14ac:dyDescent="0.3">
      <c r="A56" s="58" t="s">
        <v>106</v>
      </c>
      <c r="B56" s="58"/>
      <c r="C56" s="58"/>
      <c r="D56" s="58"/>
    </row>
    <row r="57" spans="1:4" ht="15.6" x14ac:dyDescent="0.3">
      <c r="A57" s="58" t="s">
        <v>107</v>
      </c>
      <c r="B57" s="58"/>
      <c r="C57" s="58"/>
      <c r="D57" s="58"/>
    </row>
    <row r="58" spans="1:4" ht="15.6" x14ac:dyDescent="0.3">
      <c r="A58" s="58" t="s">
        <v>109</v>
      </c>
      <c r="B58" s="58"/>
      <c r="C58" s="58"/>
      <c r="D58" s="58"/>
    </row>
    <row r="60" spans="1:4" ht="28.8" x14ac:dyDescent="0.3">
      <c r="A60" s="21" t="s">
        <v>54</v>
      </c>
      <c r="B60" s="22" t="s">
        <v>55</v>
      </c>
      <c r="C60" s="22" t="s">
        <v>57</v>
      </c>
      <c r="D60" s="22" t="s">
        <v>56</v>
      </c>
    </row>
    <row r="62" spans="1:4" x14ac:dyDescent="0.3">
      <c r="A62" s="12" t="s">
        <v>58</v>
      </c>
    </row>
    <row r="63" spans="1:4" x14ac:dyDescent="0.3">
      <c r="A63" s="1" t="s">
        <v>59</v>
      </c>
      <c r="B63" s="1">
        <v>1609793</v>
      </c>
      <c r="C63" s="1">
        <v>1660523</v>
      </c>
      <c r="D63" s="1">
        <v>2043288</v>
      </c>
    </row>
    <row r="64" spans="1:4" x14ac:dyDescent="0.3">
      <c r="A64" s="17" t="s">
        <v>60</v>
      </c>
      <c r="B64" s="1">
        <v>42495</v>
      </c>
      <c r="C64" s="1">
        <v>42353</v>
      </c>
      <c r="D64" s="1">
        <v>42215</v>
      </c>
    </row>
    <row r="65" spans="1:33" x14ac:dyDescent="0.3">
      <c r="A65" s="15" t="s">
        <v>61</v>
      </c>
      <c r="B65" s="16">
        <v>41559</v>
      </c>
      <c r="C65" s="16">
        <v>41559</v>
      </c>
      <c r="D65" s="16">
        <v>41559</v>
      </c>
    </row>
    <row r="66" spans="1:33" x14ac:dyDescent="0.3">
      <c r="A66" s="1" t="s">
        <v>62</v>
      </c>
      <c r="B66" s="1">
        <v>68996</v>
      </c>
      <c r="C66" s="1">
        <v>67885</v>
      </c>
      <c r="D66" s="1">
        <v>99807</v>
      </c>
    </row>
    <row r="67" spans="1:33" x14ac:dyDescent="0.3">
      <c r="A67" s="1" t="s">
        <v>63</v>
      </c>
      <c r="B67" s="1">
        <v>14948</v>
      </c>
      <c r="C67" s="1">
        <v>14047</v>
      </c>
      <c r="D67" s="1">
        <v>13380</v>
      </c>
    </row>
    <row r="68" spans="1:33" x14ac:dyDescent="0.3">
      <c r="A68" s="1" t="s">
        <v>64</v>
      </c>
      <c r="B68" s="1">
        <v>5393</v>
      </c>
      <c r="C68" s="1">
        <v>5086</v>
      </c>
      <c r="D68" s="1">
        <v>4800</v>
      </c>
    </row>
    <row r="69" spans="1:33" x14ac:dyDescent="0.3">
      <c r="D69" s="1">
        <v>83273</v>
      </c>
    </row>
    <row r="70" spans="1:33" x14ac:dyDescent="0.3">
      <c r="A70" s="1" t="s">
        <v>65</v>
      </c>
      <c r="B70" s="1">
        <v>0</v>
      </c>
      <c r="C70" s="1">
        <v>19</v>
      </c>
      <c r="D70" s="1">
        <v>19</v>
      </c>
    </row>
    <row r="71" spans="1:33" x14ac:dyDescent="0.3">
      <c r="A71" s="1" t="s">
        <v>66</v>
      </c>
      <c r="B71" s="1">
        <v>27277</v>
      </c>
      <c r="C71" s="1">
        <v>126221</v>
      </c>
      <c r="D71" s="1">
        <v>4028</v>
      </c>
    </row>
    <row r="72" spans="1:33" x14ac:dyDescent="0.3">
      <c r="A72" s="18" t="s">
        <v>67</v>
      </c>
      <c r="B72" s="18">
        <v>77116</v>
      </c>
      <c r="C72" s="18">
        <v>73760</v>
      </c>
      <c r="D72" s="18">
        <v>73120</v>
      </c>
    </row>
    <row r="73" spans="1:33" x14ac:dyDescent="0.3">
      <c r="A73" s="12" t="s">
        <v>68</v>
      </c>
      <c r="B73" s="12">
        <f>SUM(B63:B72)-B65</f>
        <v>1846018</v>
      </c>
      <c r="C73" s="12">
        <f>SUM(C63:C72)-C65</f>
        <v>1989894</v>
      </c>
      <c r="D73" s="12">
        <f>SUM(D63:D72)-D65</f>
        <v>2363930</v>
      </c>
    </row>
    <row r="74" spans="1:33" x14ac:dyDescent="0.3">
      <c r="F74" s="12"/>
    </row>
    <row r="75" spans="1:33" x14ac:dyDescent="0.3">
      <c r="A75" s="12" t="s">
        <v>69</v>
      </c>
    </row>
    <row r="76" spans="1:33" x14ac:dyDescent="0.3">
      <c r="A76" s="1" t="s">
        <v>70</v>
      </c>
      <c r="B76" s="1">
        <v>120296</v>
      </c>
      <c r="C76" s="1">
        <v>63970</v>
      </c>
      <c r="D76" s="1">
        <v>94034</v>
      </c>
    </row>
    <row r="77" spans="1:33" x14ac:dyDescent="0.3">
      <c r="A77" s="1" t="s">
        <v>71</v>
      </c>
      <c r="B77" s="1">
        <v>59080</v>
      </c>
      <c r="C77" s="1">
        <v>218258</v>
      </c>
      <c r="D77" s="1">
        <v>168653</v>
      </c>
    </row>
    <row r="78" spans="1:33" x14ac:dyDescent="0.3">
      <c r="A78" s="1" t="s">
        <v>72</v>
      </c>
    </row>
    <row r="79" spans="1:33" ht="15.6" x14ac:dyDescent="0.3">
      <c r="A79" s="1" t="s">
        <v>73</v>
      </c>
      <c r="B79" s="1">
        <v>0</v>
      </c>
      <c r="C79" s="1">
        <v>2731</v>
      </c>
      <c r="D79" s="1">
        <v>0</v>
      </c>
      <c r="F79" s="55" t="str">
        <f>A26</f>
        <v>Finance expenses</v>
      </c>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3" x14ac:dyDescent="0.3">
      <c r="A80" s="1" t="s">
        <v>74</v>
      </c>
      <c r="B80" s="1">
        <v>0</v>
      </c>
      <c r="C80" s="1">
        <v>11222</v>
      </c>
      <c r="D80" s="1">
        <v>0</v>
      </c>
    </row>
    <row r="81" spans="1:4" x14ac:dyDescent="0.3">
      <c r="A81" s="1" t="s">
        <v>75</v>
      </c>
      <c r="B81" s="1">
        <v>805718</v>
      </c>
      <c r="C81" s="1">
        <v>856515</v>
      </c>
      <c r="D81" s="1">
        <v>770611</v>
      </c>
    </row>
    <row r="82" spans="1:4" x14ac:dyDescent="0.3">
      <c r="A82" s="1" t="s">
        <v>76</v>
      </c>
      <c r="B82" s="1">
        <v>9636</v>
      </c>
      <c r="C82" s="1">
        <v>42343</v>
      </c>
      <c r="D82" s="1">
        <v>128440</v>
      </c>
    </row>
    <row r="83" spans="1:4" x14ac:dyDescent="0.3">
      <c r="A83" s="18" t="s">
        <v>77</v>
      </c>
      <c r="B83" s="18">
        <v>14083</v>
      </c>
      <c r="C83" s="18">
        <v>21924</v>
      </c>
      <c r="D83" s="18">
        <v>5170</v>
      </c>
    </row>
    <row r="84" spans="1:4" x14ac:dyDescent="0.3">
      <c r="A84" s="12" t="s">
        <v>78</v>
      </c>
      <c r="B84" s="12">
        <f>SUM(B76:B83)</f>
        <v>1008813</v>
      </c>
      <c r="C84" s="12">
        <f t="shared" ref="C84:D84" si="2">SUM(C76:C83)</f>
        <v>1216963</v>
      </c>
      <c r="D84" s="12">
        <f t="shared" si="2"/>
        <v>1166908</v>
      </c>
    </row>
    <row r="85" spans="1:4" x14ac:dyDescent="0.3">
      <c r="A85" s="18"/>
      <c r="B85" s="18"/>
      <c r="C85" s="18"/>
      <c r="D85" s="18"/>
    </row>
    <row r="86" spans="1:4" ht="15" thickBot="1" x14ac:dyDescent="0.35">
      <c r="A86" s="19" t="s">
        <v>79</v>
      </c>
      <c r="B86" s="19">
        <f>B73+B84</f>
        <v>2854831</v>
      </c>
      <c r="C86" s="19">
        <f t="shared" ref="C86:D86" si="3">C73+C84</f>
        <v>3206857</v>
      </c>
      <c r="D86" s="19">
        <f t="shared" si="3"/>
        <v>3530838</v>
      </c>
    </row>
    <row r="87" spans="1:4" ht="15" thickTop="1" x14ac:dyDescent="0.3"/>
    <row r="89" spans="1:4" x14ac:dyDescent="0.3">
      <c r="A89" s="12" t="s">
        <v>26</v>
      </c>
    </row>
    <row r="90" spans="1:4" x14ac:dyDescent="0.3">
      <c r="A90" s="1" t="s">
        <v>80</v>
      </c>
      <c r="B90" s="1">
        <v>252503</v>
      </c>
      <c r="C90" s="1">
        <f>B90</f>
        <v>252503</v>
      </c>
      <c r="D90" s="1">
        <f>C90</f>
        <v>252503</v>
      </c>
    </row>
    <row r="91" spans="1:4" x14ac:dyDescent="0.3">
      <c r="A91" s="1" t="s">
        <v>81</v>
      </c>
      <c r="B91" s="1">
        <v>251258</v>
      </c>
      <c r="C91" s="1">
        <f>B91</f>
        <v>251258</v>
      </c>
      <c r="D91" s="1">
        <f>C91</f>
        <v>251258</v>
      </c>
    </row>
    <row r="92" spans="1:4" x14ac:dyDescent="0.3">
      <c r="A92" s="1" t="s">
        <v>82</v>
      </c>
      <c r="B92" s="1">
        <v>-1087</v>
      </c>
      <c r="C92" s="1">
        <v>1917</v>
      </c>
      <c r="D92" s="1">
        <v>0</v>
      </c>
    </row>
    <row r="93" spans="1:4" x14ac:dyDescent="0.3">
      <c r="A93" s="1" t="s">
        <v>83</v>
      </c>
      <c r="B93" s="1">
        <v>764413</v>
      </c>
      <c r="C93" s="1">
        <v>763977</v>
      </c>
      <c r="D93" s="1">
        <v>782672</v>
      </c>
    </row>
    <row r="94" spans="1:4" x14ac:dyDescent="0.3">
      <c r="A94" s="18" t="s">
        <v>84</v>
      </c>
      <c r="B94" s="18">
        <v>412455</v>
      </c>
      <c r="C94" s="18">
        <v>469978</v>
      </c>
      <c r="D94" s="18">
        <v>596303</v>
      </c>
    </row>
    <row r="95" spans="1:4" x14ac:dyDescent="0.3">
      <c r="A95" s="12" t="s">
        <v>85</v>
      </c>
      <c r="B95" s="12">
        <f>SUM(B90:B94)</f>
        <v>1679542</v>
      </c>
      <c r="C95" s="12">
        <f t="shared" ref="C95:D95" si="4">SUM(C90:C94)</f>
        <v>1739633</v>
      </c>
      <c r="D95" s="12">
        <f t="shared" si="4"/>
        <v>1882736</v>
      </c>
    </row>
    <row r="96" spans="1:4" x14ac:dyDescent="0.3">
      <c r="A96" s="18" t="s">
        <v>86</v>
      </c>
      <c r="B96" s="18">
        <v>6186</v>
      </c>
      <c r="C96" s="18">
        <v>6768</v>
      </c>
      <c r="D96" s="18">
        <v>9185</v>
      </c>
    </row>
    <row r="97" spans="1:7" x14ac:dyDescent="0.3">
      <c r="A97" s="12" t="s">
        <v>87</v>
      </c>
      <c r="B97" s="12">
        <f>B95+B96</f>
        <v>1685728</v>
      </c>
      <c r="C97" s="12">
        <f>C95+C96</f>
        <v>1746401</v>
      </c>
      <c r="D97" s="12">
        <f>D95+D96</f>
        <v>1891921</v>
      </c>
      <c r="G97" s="12"/>
    </row>
    <row r="99" spans="1:7" x14ac:dyDescent="0.3">
      <c r="A99" s="12" t="s">
        <v>88</v>
      </c>
    </row>
    <row r="100" spans="1:7" x14ac:dyDescent="0.3">
      <c r="A100" s="12" t="s">
        <v>89</v>
      </c>
    </row>
    <row r="101" spans="1:7" x14ac:dyDescent="0.3">
      <c r="A101" s="1" t="s">
        <v>90</v>
      </c>
      <c r="B101" s="1">
        <v>55907</v>
      </c>
      <c r="C101" s="1">
        <v>55632</v>
      </c>
      <c r="D101" s="1">
        <v>104915</v>
      </c>
    </row>
    <row r="102" spans="1:7" x14ac:dyDescent="0.3">
      <c r="A102" s="1" t="s">
        <v>91</v>
      </c>
      <c r="B102" s="1">
        <v>478</v>
      </c>
      <c r="C102" s="1">
        <v>0</v>
      </c>
      <c r="D102" s="1">
        <v>0</v>
      </c>
    </row>
    <row r="103" spans="1:7" x14ac:dyDescent="0.3">
      <c r="A103" s="1" t="s">
        <v>92</v>
      </c>
      <c r="B103" s="1">
        <v>83180</v>
      </c>
      <c r="C103" s="1">
        <v>73788</v>
      </c>
      <c r="D103" s="1">
        <v>24515</v>
      </c>
    </row>
    <row r="104" spans="1:7" x14ac:dyDescent="0.3">
      <c r="A104" s="1" t="s">
        <v>93</v>
      </c>
      <c r="B104" s="1">
        <v>87184</v>
      </c>
      <c r="C104" s="1">
        <v>88000</v>
      </c>
      <c r="D104" s="1">
        <v>83116</v>
      </c>
    </row>
    <row r="105" spans="1:7" x14ac:dyDescent="0.3">
      <c r="A105" s="1" t="s">
        <v>94</v>
      </c>
      <c r="B105" s="1">
        <v>394995</v>
      </c>
      <c r="C105" s="1">
        <v>436981</v>
      </c>
      <c r="D105" s="1">
        <v>374918</v>
      </c>
    </row>
    <row r="106" spans="1:7" x14ac:dyDescent="0.3">
      <c r="A106" s="1" t="s">
        <v>95</v>
      </c>
      <c r="B106" s="1">
        <v>1717</v>
      </c>
      <c r="C106" s="1">
        <v>1475</v>
      </c>
      <c r="D106" s="1">
        <v>1027</v>
      </c>
      <c r="F106" s="12"/>
    </row>
    <row r="107" spans="1:7" x14ac:dyDescent="0.3">
      <c r="A107" s="18" t="s">
        <v>96</v>
      </c>
      <c r="B107" s="18">
        <v>37465</v>
      </c>
      <c r="C107" s="18">
        <v>27750</v>
      </c>
      <c r="D107" s="18">
        <v>24388</v>
      </c>
    </row>
    <row r="108" spans="1:7" x14ac:dyDescent="0.3">
      <c r="A108" s="12" t="s">
        <v>97</v>
      </c>
      <c r="B108" s="12">
        <f>SUM(B101:B107)</f>
        <v>660926</v>
      </c>
      <c r="C108" s="12">
        <f t="shared" ref="C108" si="5">SUM(C101:C107)</f>
        <v>683626</v>
      </c>
      <c r="D108" s="12">
        <f>SUM(D101:D107)</f>
        <v>612879</v>
      </c>
    </row>
    <row r="110" spans="1:7" x14ac:dyDescent="0.3">
      <c r="A110" s="12" t="s">
        <v>98</v>
      </c>
    </row>
    <row r="111" spans="1:7" x14ac:dyDescent="0.3">
      <c r="A111" s="1" t="s">
        <v>99</v>
      </c>
      <c r="B111" s="1">
        <v>2338</v>
      </c>
      <c r="C111" s="1">
        <v>2335</v>
      </c>
      <c r="D111" s="1">
        <v>7516</v>
      </c>
    </row>
    <row r="112" spans="1:7" x14ac:dyDescent="0.3">
      <c r="A112" s="1" t="s">
        <v>91</v>
      </c>
      <c r="B112" s="1">
        <v>885</v>
      </c>
      <c r="C112" s="1">
        <v>2</v>
      </c>
      <c r="D112" s="1">
        <v>148</v>
      </c>
    </row>
    <row r="113" spans="1:4" x14ac:dyDescent="0.3">
      <c r="A113" s="1" t="s">
        <v>100</v>
      </c>
      <c r="B113" s="1">
        <v>12011</v>
      </c>
      <c r="C113" s="1">
        <v>11436</v>
      </c>
      <c r="D113" s="1">
        <v>49314</v>
      </c>
    </row>
    <row r="114" spans="1:4" x14ac:dyDescent="0.3">
      <c r="A114" s="1" t="s">
        <v>93</v>
      </c>
      <c r="B114" s="1">
        <v>8686</v>
      </c>
      <c r="C114" s="1">
        <v>6388</v>
      </c>
      <c r="D114" s="1">
        <v>5873</v>
      </c>
    </row>
    <row r="115" spans="1:4" x14ac:dyDescent="0.3">
      <c r="A115" s="1" t="s">
        <v>101</v>
      </c>
      <c r="B115" s="1">
        <v>240830</v>
      </c>
      <c r="C115" s="1">
        <v>463952</v>
      </c>
      <c r="D115" s="1">
        <v>400286</v>
      </c>
    </row>
    <row r="116" spans="1:4" x14ac:dyDescent="0.3">
      <c r="A116" s="1" t="s">
        <v>94</v>
      </c>
      <c r="B116" s="1">
        <v>16613</v>
      </c>
      <c r="C116" s="1">
        <v>20193</v>
      </c>
      <c r="D116" s="1">
        <v>25749</v>
      </c>
    </row>
    <row r="117" spans="1:4" x14ac:dyDescent="0.3">
      <c r="A117" s="1" t="s">
        <v>95</v>
      </c>
      <c r="B117" s="1">
        <v>18702</v>
      </c>
      <c r="C117" s="1">
        <v>19719</v>
      </c>
      <c r="D117" s="1">
        <v>21727</v>
      </c>
    </row>
    <row r="118" spans="1:4" x14ac:dyDescent="0.3">
      <c r="A118" s="18" t="s">
        <v>102</v>
      </c>
      <c r="B118" s="18">
        <v>208112</v>
      </c>
      <c r="C118" s="18">
        <v>252805</v>
      </c>
      <c r="D118" s="18">
        <v>515425</v>
      </c>
    </row>
    <row r="119" spans="1:4" x14ac:dyDescent="0.3">
      <c r="A119" s="20" t="s">
        <v>103</v>
      </c>
      <c r="B119" s="20">
        <f>SUM(B111:B118)</f>
        <v>508177</v>
      </c>
      <c r="C119" s="20">
        <f t="shared" ref="C119:D119" si="6">SUM(C111:C118)</f>
        <v>776830</v>
      </c>
      <c r="D119" s="20">
        <f t="shared" si="6"/>
        <v>1026038</v>
      </c>
    </row>
    <row r="120" spans="1:4" x14ac:dyDescent="0.3">
      <c r="A120" s="12" t="s">
        <v>105</v>
      </c>
      <c r="B120" s="12">
        <f>B108+B119</f>
        <v>1169103</v>
      </c>
      <c r="C120" s="12">
        <f>C108+C119</f>
        <v>1460456</v>
      </c>
      <c r="D120" s="12">
        <f>D108+D119</f>
        <v>1638917</v>
      </c>
    </row>
    <row r="122" spans="1:4" ht="15" thickBot="1" x14ac:dyDescent="0.35">
      <c r="A122" s="19" t="s">
        <v>104</v>
      </c>
      <c r="B122" s="19">
        <f>B97+B120</f>
        <v>2854831</v>
      </c>
      <c r="C122" s="19">
        <f>C97+C120</f>
        <v>3206857</v>
      </c>
      <c r="D122" s="19">
        <f>D97+D120</f>
        <v>3530838</v>
      </c>
    </row>
    <row r="123" spans="1:4" ht="15" thickTop="1" x14ac:dyDescent="0.3"/>
    <row r="127" spans="1:4" ht="15.6" x14ac:dyDescent="0.3">
      <c r="A127" s="54" t="s">
        <v>138</v>
      </c>
      <c r="B127" s="54"/>
      <c r="C127" s="54"/>
      <c r="D127" s="54"/>
    </row>
    <row r="169" spans="1:4" ht="15.6" x14ac:dyDescent="0.3">
      <c r="A169" s="54" t="s">
        <v>139</v>
      </c>
      <c r="B169" s="53"/>
      <c r="C169" s="53"/>
      <c r="D169" s="53"/>
    </row>
  </sheetData>
  <mergeCells count="8">
    <mergeCell ref="A56:D56"/>
    <mergeCell ref="A57:D57"/>
    <mergeCell ref="A58:D58"/>
    <mergeCell ref="B2:D3"/>
    <mergeCell ref="A2:A4"/>
    <mergeCell ref="A6:D6"/>
    <mergeCell ref="A7:D7"/>
    <mergeCell ref="A8:D8"/>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5F473-F0C9-4EFC-A212-4497A2D0DF91}">
  <dimension ref="B2:AY69"/>
  <sheetViews>
    <sheetView showGridLines="0" tabSelected="1" zoomScaleNormal="100" workbookViewId="0"/>
  </sheetViews>
  <sheetFormatPr defaultRowHeight="14.4" x14ac:dyDescent="0.3"/>
  <cols>
    <col min="3" max="3" width="11.33203125" customWidth="1"/>
    <col min="4" max="4" width="8.88671875" customWidth="1"/>
    <col min="6" max="6" width="8.88671875" style="42"/>
    <col min="7" max="7" width="5.44140625" customWidth="1"/>
    <col min="8" max="8" width="18.6640625" customWidth="1"/>
    <col min="9" max="11" width="11.5546875" style="9" bestFit="1" customWidth="1"/>
    <col min="12" max="12" width="6.5546875" customWidth="1"/>
    <col min="13" max="19" width="10.21875" customWidth="1"/>
    <col min="21" max="21" width="17.44140625" customWidth="1"/>
    <col min="22" max="22" width="12.77734375" bestFit="1" customWidth="1"/>
    <col min="23" max="24" width="10.21875" bestFit="1" customWidth="1"/>
    <col min="25" max="25" width="6.77734375" customWidth="1"/>
    <col min="35" max="35" width="23" customWidth="1"/>
    <col min="36" max="38" width="10.21875" bestFit="1" customWidth="1"/>
    <col min="39" max="39" width="6.5546875" customWidth="1"/>
    <col min="40" max="46" width="10.21875" customWidth="1"/>
    <col min="48" max="48" width="28.109375" customWidth="1"/>
    <col min="49" max="51" width="11.5546875" customWidth="1"/>
  </cols>
  <sheetData>
    <row r="2" spans="2:51" ht="15.6" x14ac:dyDescent="0.3">
      <c r="H2" s="63" t="s">
        <v>140</v>
      </c>
      <c r="I2" s="64"/>
      <c r="J2" s="64"/>
      <c r="K2" s="65"/>
      <c r="U2" s="63" t="s">
        <v>0</v>
      </c>
      <c r="V2" s="64"/>
      <c r="W2" s="64"/>
      <c r="X2" s="65"/>
      <c r="AI2" s="63" t="s">
        <v>130</v>
      </c>
      <c r="AJ2" s="64"/>
      <c r="AK2" s="64"/>
      <c r="AL2" s="65"/>
      <c r="AV2" s="63" t="s">
        <v>111</v>
      </c>
      <c r="AW2" s="64"/>
      <c r="AX2" s="64"/>
      <c r="AY2" s="65"/>
    </row>
    <row r="3" spans="2:51" ht="15" thickBot="1" x14ac:dyDescent="0.35">
      <c r="H3" s="5"/>
      <c r="I3" s="23"/>
      <c r="J3" s="23"/>
      <c r="K3" s="23"/>
      <c r="U3" s="5"/>
      <c r="V3" s="5"/>
      <c r="W3" s="5"/>
      <c r="X3" s="5"/>
      <c r="AI3" s="5"/>
      <c r="AJ3" s="5"/>
      <c r="AK3" s="5"/>
      <c r="AL3" s="5"/>
      <c r="AV3" s="5"/>
      <c r="AW3" s="5"/>
      <c r="AX3" s="5"/>
      <c r="AY3" s="5"/>
    </row>
    <row r="4" spans="2:51" x14ac:dyDescent="0.3">
      <c r="B4" s="43"/>
      <c r="C4" s="44"/>
      <c r="D4" s="44"/>
      <c r="E4" s="45"/>
    </row>
    <row r="5" spans="2:51" ht="15.6" x14ac:dyDescent="0.3">
      <c r="B5" s="46"/>
      <c r="C5" s="66" t="s">
        <v>131</v>
      </c>
      <c r="D5" s="67"/>
      <c r="E5" s="47"/>
      <c r="H5" s="62" t="s">
        <v>141</v>
      </c>
      <c r="I5" s="62"/>
      <c r="J5" s="62"/>
      <c r="K5" s="62"/>
      <c r="U5" s="4" t="s">
        <v>143</v>
      </c>
      <c r="V5" s="4"/>
      <c r="W5" s="4"/>
      <c r="X5" s="4"/>
      <c r="AI5" s="4" t="s">
        <v>121</v>
      </c>
      <c r="AJ5" s="4"/>
      <c r="AK5" s="4"/>
      <c r="AL5" s="4"/>
      <c r="AV5" s="4" t="s">
        <v>124</v>
      </c>
      <c r="AW5" s="4"/>
      <c r="AX5" s="4"/>
      <c r="AY5" s="4"/>
    </row>
    <row r="6" spans="2:51" x14ac:dyDescent="0.3">
      <c r="B6" s="46"/>
      <c r="C6" s="6"/>
      <c r="D6" s="6"/>
      <c r="E6" s="47"/>
      <c r="H6" s="27" t="s">
        <v>1</v>
      </c>
      <c r="I6" s="32">
        <v>2020</v>
      </c>
      <c r="J6" s="32">
        <f>I6+1</f>
        <v>2021</v>
      </c>
      <c r="K6" s="32">
        <f>J6+1</f>
        <v>2022</v>
      </c>
      <c r="U6" s="28" t="s">
        <v>1</v>
      </c>
      <c r="V6" s="28">
        <v>2020</v>
      </c>
      <c r="W6" s="28">
        <f>V6+1</f>
        <v>2021</v>
      </c>
      <c r="X6" s="28">
        <f>W6+1</f>
        <v>2022</v>
      </c>
      <c r="AI6" s="28" t="s">
        <v>1</v>
      </c>
      <c r="AJ6" s="28">
        <v>2020</v>
      </c>
      <c r="AK6" s="28">
        <f>AJ6+1</f>
        <v>2021</v>
      </c>
      <c r="AL6" s="28">
        <f>AK6+1</f>
        <v>2022</v>
      </c>
      <c r="AV6" s="28" t="s">
        <v>1</v>
      </c>
      <c r="AW6" s="28">
        <v>2020</v>
      </c>
      <c r="AX6" s="28">
        <f>AW6+1</f>
        <v>2021</v>
      </c>
      <c r="AY6" s="28">
        <f>AX6+1</f>
        <v>2022</v>
      </c>
    </row>
    <row r="7" spans="2:51" x14ac:dyDescent="0.3">
      <c r="B7" s="46"/>
      <c r="C7" s="56" t="s">
        <v>132</v>
      </c>
      <c r="D7" s="56" t="s">
        <v>133</v>
      </c>
      <c r="E7" s="47"/>
      <c r="H7" t="s">
        <v>15</v>
      </c>
      <c r="I7" s="25">
        <f>'Financial Statements'!B22</f>
        <v>157091</v>
      </c>
      <c r="J7" s="25">
        <f>'Financial Statements'!C22</f>
        <v>66804</v>
      </c>
      <c r="K7" s="25">
        <f>'Financial Statements'!D22</f>
        <v>160769</v>
      </c>
      <c r="L7" t="s">
        <v>110</v>
      </c>
      <c r="M7" s="1"/>
      <c r="N7" s="1"/>
      <c r="O7" s="1"/>
      <c r="P7" s="1"/>
      <c r="Q7" s="1"/>
      <c r="R7" s="1"/>
      <c r="S7" s="1"/>
      <c r="U7" t="s">
        <v>2</v>
      </c>
      <c r="V7" s="1">
        <f>'Financial Statements'!B12</f>
        <v>1183441</v>
      </c>
      <c r="W7" s="1">
        <f>'Financial Statements'!C12</f>
        <v>1434506</v>
      </c>
      <c r="X7" s="1">
        <f>'Financial Statements'!D12</f>
        <v>1812201</v>
      </c>
      <c r="Y7" t="s">
        <v>110</v>
      </c>
      <c r="AI7" t="s">
        <v>119</v>
      </c>
      <c r="AJ7" s="1">
        <f>'Financial Statements'!B84</f>
        <v>1008813</v>
      </c>
      <c r="AK7" s="1">
        <f>'Financial Statements'!C84</f>
        <v>1216963</v>
      </c>
      <c r="AL7" s="1">
        <f>'Financial Statements'!D84</f>
        <v>1166908</v>
      </c>
      <c r="AM7" t="s">
        <v>110</v>
      </c>
      <c r="AV7" t="s">
        <v>112</v>
      </c>
      <c r="AW7" s="1">
        <f>'Financial Statements'!B108</f>
        <v>660926</v>
      </c>
      <c r="AX7" s="1">
        <f>'Financial Statements'!C108</f>
        <v>683626</v>
      </c>
      <c r="AY7" s="1">
        <f>'Financial Statements'!D108</f>
        <v>612879</v>
      </c>
    </row>
    <row r="8" spans="2:51" x14ac:dyDescent="0.3">
      <c r="B8" s="46"/>
      <c r="C8" s="6" t="s">
        <v>134</v>
      </c>
      <c r="D8" s="6">
        <v>311856</v>
      </c>
      <c r="E8" s="47"/>
      <c r="H8" t="s">
        <v>16</v>
      </c>
      <c r="I8" s="25">
        <f>'Financial Statements'!B86</f>
        <v>2854831</v>
      </c>
      <c r="J8" s="25">
        <f>'Financial Statements'!C86</f>
        <v>3206857</v>
      </c>
      <c r="K8" s="25">
        <f>'Financial Statements'!D86</f>
        <v>3530838</v>
      </c>
      <c r="L8" s="1"/>
      <c r="M8" s="1"/>
      <c r="N8" s="1"/>
      <c r="O8" s="1"/>
      <c r="P8" s="1"/>
      <c r="Q8" s="1"/>
      <c r="R8" s="1"/>
      <c r="S8" s="1"/>
      <c r="U8" t="s">
        <v>3</v>
      </c>
      <c r="V8" s="1">
        <f>'Financial Statements'!B86</f>
        <v>2854831</v>
      </c>
      <c r="W8" s="1">
        <f>'Financial Statements'!C86</f>
        <v>3206857</v>
      </c>
      <c r="X8" s="1">
        <f>'Financial Statements'!D86</f>
        <v>3530838</v>
      </c>
      <c r="AI8" t="s">
        <v>17</v>
      </c>
      <c r="AJ8" s="1">
        <f>'Financial Statements'!B119</f>
        <v>508177</v>
      </c>
      <c r="AK8" s="1">
        <f>'Financial Statements'!C119</f>
        <v>776830</v>
      </c>
      <c r="AL8" s="1">
        <f>'Financial Statements'!D119</f>
        <v>1026038</v>
      </c>
      <c r="AV8" t="s">
        <v>26</v>
      </c>
      <c r="AW8" s="1">
        <f>'Financial Statements'!B97</f>
        <v>1685728</v>
      </c>
      <c r="AX8" s="1">
        <f>'Financial Statements'!C97</f>
        <v>1746401</v>
      </c>
      <c r="AY8" s="1">
        <f>'Financial Statements'!D97</f>
        <v>1891921</v>
      </c>
    </row>
    <row r="9" spans="2:51" ht="15" thickBot="1" x14ac:dyDescent="0.35">
      <c r="B9" s="46"/>
      <c r="C9" s="6" t="s">
        <v>135</v>
      </c>
      <c r="D9" s="6">
        <v>311762</v>
      </c>
      <c r="E9" s="47"/>
      <c r="H9" t="s">
        <v>17</v>
      </c>
      <c r="I9" s="25">
        <f>'Financial Statements'!B119</f>
        <v>508177</v>
      </c>
      <c r="J9" s="25">
        <f>'Financial Statements'!C119</f>
        <v>776830</v>
      </c>
      <c r="K9" s="25">
        <f>'Financial Statements'!D119</f>
        <v>1026038</v>
      </c>
      <c r="L9" s="1"/>
      <c r="M9" s="1"/>
      <c r="N9" s="1"/>
      <c r="O9" s="1"/>
      <c r="P9" s="1"/>
      <c r="Q9" s="1"/>
      <c r="R9" s="1"/>
      <c r="S9" s="1"/>
      <c r="U9" s="29" t="s">
        <v>7</v>
      </c>
      <c r="V9" s="35">
        <f>V7/V8</f>
        <v>0.41453977485882704</v>
      </c>
      <c r="W9" s="35">
        <f t="shared" ref="W9:X9" si="0">W7/W8</f>
        <v>0.4473245922721219</v>
      </c>
      <c r="X9" s="35">
        <f t="shared" si="0"/>
        <v>0.51324954585851856</v>
      </c>
      <c r="AI9" s="29" t="s">
        <v>7</v>
      </c>
      <c r="AJ9" s="35">
        <f>AJ7/AJ8</f>
        <v>1.9851606822032482</v>
      </c>
      <c r="AK9" s="35">
        <f t="shared" ref="AK9:AL9" si="1">AK7/AK8</f>
        <v>1.5665756986728112</v>
      </c>
      <c r="AL9" s="35">
        <f t="shared" si="1"/>
        <v>1.1372951099277024</v>
      </c>
      <c r="AV9" s="29" t="s">
        <v>7</v>
      </c>
      <c r="AW9" s="35">
        <f>AW7/(AW8+AW7)*100</f>
        <v>28.164612252168407</v>
      </c>
      <c r="AX9" s="35">
        <f t="shared" ref="AX9:AY9" si="2">AX7/(AX8+AX7)*100</f>
        <v>28.132444618928105</v>
      </c>
      <c r="AY9" s="35">
        <f t="shared" si="2"/>
        <v>24.468181092302778</v>
      </c>
    </row>
    <row r="10" spans="2:51" ht="15.6" thickTop="1" thickBot="1" x14ac:dyDescent="0.35">
      <c r="B10" s="46"/>
      <c r="C10" s="6" t="s">
        <v>136</v>
      </c>
      <c r="D10" s="6">
        <v>311764</v>
      </c>
      <c r="E10" s="47"/>
      <c r="H10" s="29" t="s">
        <v>18</v>
      </c>
      <c r="I10" s="30">
        <f>I7/(I8-I9)*100</f>
        <v>6.6942548837621558</v>
      </c>
      <c r="J10" s="30">
        <f t="shared" ref="J10:K10" si="3">J7/(J8-J9)*100</f>
        <v>2.7491052568551706</v>
      </c>
      <c r="K10" s="30">
        <f t="shared" si="3"/>
        <v>6.4184366017246894</v>
      </c>
      <c r="L10" s="2"/>
      <c r="M10" s="2"/>
      <c r="N10" s="2"/>
      <c r="O10" s="2"/>
      <c r="P10" s="2"/>
      <c r="Q10" s="2"/>
      <c r="R10" s="2"/>
      <c r="S10" s="2"/>
      <c r="U10" s="8"/>
      <c r="AI10" s="8"/>
      <c r="AV10" s="8"/>
    </row>
    <row r="11" spans="2:51" ht="15" thickTop="1" x14ac:dyDescent="0.3">
      <c r="B11" s="46"/>
      <c r="C11" s="6" t="s">
        <v>137</v>
      </c>
      <c r="D11" s="6">
        <v>311761</v>
      </c>
      <c r="E11" s="47"/>
      <c r="H11" s="7"/>
      <c r="I11" s="24"/>
      <c r="J11" s="24"/>
      <c r="K11" s="24"/>
      <c r="L11" s="2"/>
      <c r="M11" s="2"/>
      <c r="N11" s="2"/>
      <c r="O11" s="2"/>
      <c r="P11" s="2"/>
      <c r="Q11" s="2"/>
      <c r="R11" s="2"/>
      <c r="S11" s="2"/>
    </row>
    <row r="12" spans="2:51" ht="15" thickBot="1" x14ac:dyDescent="0.35">
      <c r="B12" s="48"/>
      <c r="C12" s="49"/>
      <c r="D12" s="49"/>
      <c r="E12" s="50"/>
    </row>
    <row r="13" spans="2:51" x14ac:dyDescent="0.3">
      <c r="H13" s="62" t="s">
        <v>19</v>
      </c>
      <c r="I13" s="62"/>
      <c r="J13" s="62"/>
      <c r="K13" s="62"/>
      <c r="U13" s="62" t="s">
        <v>4</v>
      </c>
      <c r="V13" s="62"/>
      <c r="W13" s="62"/>
      <c r="X13" s="62"/>
      <c r="AI13" s="62" t="s">
        <v>122</v>
      </c>
      <c r="AJ13" s="62"/>
      <c r="AK13" s="62"/>
      <c r="AL13" s="62"/>
      <c r="AV13" s="62" t="s">
        <v>125</v>
      </c>
      <c r="AW13" s="62"/>
      <c r="AX13" s="62"/>
      <c r="AY13" s="62"/>
    </row>
    <row r="14" spans="2:51" x14ac:dyDescent="0.3">
      <c r="H14" s="27" t="s">
        <v>1</v>
      </c>
      <c r="I14" s="33">
        <v>2020</v>
      </c>
      <c r="J14" s="33">
        <f>I14+1</f>
        <v>2021</v>
      </c>
      <c r="K14" s="33">
        <f>J14+1</f>
        <v>2022</v>
      </c>
      <c r="U14" s="28" t="s">
        <v>1</v>
      </c>
      <c r="V14" s="28">
        <v>2020</v>
      </c>
      <c r="W14" s="28">
        <f>V14+1</f>
        <v>2021</v>
      </c>
      <c r="X14" s="28">
        <f>W14+1</f>
        <v>2022</v>
      </c>
      <c r="AI14" s="28" t="s">
        <v>1</v>
      </c>
      <c r="AJ14" s="28">
        <v>2020</v>
      </c>
      <c r="AK14" s="28">
        <f>AJ14+1</f>
        <v>2021</v>
      </c>
      <c r="AL14" s="28">
        <f>AK14+1</f>
        <v>2022</v>
      </c>
      <c r="AV14" s="28" t="s">
        <v>1</v>
      </c>
      <c r="AW14" s="28">
        <v>2020</v>
      </c>
      <c r="AX14" s="28">
        <f>AW14+1</f>
        <v>2021</v>
      </c>
      <c r="AY14" s="28">
        <f>AX14+1</f>
        <v>2022</v>
      </c>
    </row>
    <row r="15" spans="2:51" x14ac:dyDescent="0.3">
      <c r="H15" t="s">
        <v>20</v>
      </c>
      <c r="I15" s="25">
        <f>I7</f>
        <v>157091</v>
      </c>
      <c r="J15" s="25">
        <f>J7</f>
        <v>66804</v>
      </c>
      <c r="K15" s="25">
        <f>K7</f>
        <v>160769</v>
      </c>
      <c r="L15" t="s">
        <v>110</v>
      </c>
      <c r="M15" s="1"/>
      <c r="N15" s="1"/>
      <c r="O15" s="1"/>
      <c r="P15" s="1"/>
      <c r="Q15" s="1"/>
      <c r="R15" s="1"/>
      <c r="S15" s="1"/>
      <c r="U15" t="s">
        <v>5</v>
      </c>
      <c r="V15" s="1">
        <f>V7</f>
        <v>1183441</v>
      </c>
      <c r="W15" s="1">
        <f>W7</f>
        <v>1434506</v>
      </c>
      <c r="X15" s="1">
        <f>X7</f>
        <v>1812201</v>
      </c>
      <c r="Y15" t="s">
        <v>110</v>
      </c>
      <c r="AI15" t="s">
        <v>119</v>
      </c>
      <c r="AJ15" s="1">
        <f>AJ7</f>
        <v>1008813</v>
      </c>
      <c r="AK15" s="1">
        <f t="shared" ref="AK15:AL15" si="4">AK7</f>
        <v>1216963</v>
      </c>
      <c r="AL15" s="1">
        <f t="shared" si="4"/>
        <v>1166908</v>
      </c>
      <c r="AM15" t="s">
        <v>110</v>
      </c>
      <c r="AV15" t="s">
        <v>113</v>
      </c>
      <c r="AW15" s="1">
        <f>'Financial Statements'!B120</f>
        <v>1169103</v>
      </c>
      <c r="AX15" s="1">
        <f>'Financial Statements'!C120</f>
        <v>1460456</v>
      </c>
      <c r="AY15" s="1">
        <f>'Financial Statements'!D120</f>
        <v>1638917</v>
      </c>
    </row>
    <row r="16" spans="2:51" x14ac:dyDescent="0.3">
      <c r="H16" t="s">
        <v>2</v>
      </c>
      <c r="I16" s="25">
        <f>'Financial Statements'!B12</f>
        <v>1183441</v>
      </c>
      <c r="J16" s="25">
        <f>'Financial Statements'!C12</f>
        <v>1434506</v>
      </c>
      <c r="K16" s="25">
        <f>'Financial Statements'!D12</f>
        <v>1812201</v>
      </c>
      <c r="L16" s="1"/>
      <c r="M16" s="1"/>
      <c r="N16" s="1"/>
      <c r="O16" s="1"/>
      <c r="P16" s="1"/>
      <c r="Q16" s="1"/>
      <c r="R16" s="1"/>
      <c r="S16" s="1"/>
      <c r="U16" t="s">
        <v>6</v>
      </c>
      <c r="V16" s="1">
        <f>'Financial Statements'!B86-'Financial Statements'!B119</f>
        <v>2346654</v>
      </c>
      <c r="W16" s="1">
        <f>'Financial Statements'!C86-'Financial Statements'!C119</f>
        <v>2430027</v>
      </c>
      <c r="X16" s="1">
        <f>'Financial Statements'!D86-'Financial Statements'!D119</f>
        <v>2504800</v>
      </c>
      <c r="AI16" t="s">
        <v>70</v>
      </c>
      <c r="AJ16" s="1">
        <f>'Financial Statements'!B76</f>
        <v>120296</v>
      </c>
      <c r="AK16" s="1">
        <f>'Financial Statements'!C76</f>
        <v>63970</v>
      </c>
      <c r="AL16" s="1">
        <f>'Financial Statements'!D76</f>
        <v>94034</v>
      </c>
      <c r="AV16" t="s">
        <v>3</v>
      </c>
      <c r="AW16" s="1">
        <f>'Financial Statements'!B86</f>
        <v>2854831</v>
      </c>
      <c r="AX16" s="1">
        <f>'Financial Statements'!C86</f>
        <v>3206857</v>
      </c>
      <c r="AY16" s="1">
        <f>'Financial Statements'!D86</f>
        <v>3530838</v>
      </c>
    </row>
    <row r="17" spans="8:51" ht="15" thickBot="1" x14ac:dyDescent="0.35">
      <c r="H17" s="29" t="s">
        <v>7</v>
      </c>
      <c r="I17" s="30">
        <f>I15/I16*100</f>
        <v>13.274088019597091</v>
      </c>
      <c r="J17" s="30">
        <f t="shared" ref="J17:K17" si="5">J15/J16*100</f>
        <v>4.6569341640955146</v>
      </c>
      <c r="K17" s="30">
        <f t="shared" si="5"/>
        <v>8.8714772809417948</v>
      </c>
      <c r="L17" s="2"/>
      <c r="M17" s="2"/>
      <c r="N17" s="2"/>
      <c r="O17" s="2"/>
      <c r="P17" s="2"/>
      <c r="Q17" s="2"/>
      <c r="R17" s="2"/>
      <c r="S17" s="2"/>
      <c r="U17" s="29" t="s">
        <v>7</v>
      </c>
      <c r="V17" s="35">
        <f>V15/V16</f>
        <v>0.50430996644584158</v>
      </c>
      <c r="W17" s="35">
        <f t="shared" ref="W17:X17" si="6">W15/W16</f>
        <v>0.5903251280747086</v>
      </c>
      <c r="X17" s="35">
        <f t="shared" si="6"/>
        <v>0.7234912967103162</v>
      </c>
      <c r="AI17" t="s">
        <v>17</v>
      </c>
      <c r="AJ17" s="40">
        <f>AJ8</f>
        <v>508177</v>
      </c>
      <c r="AK17" s="40">
        <f t="shared" ref="AK17:AL17" si="7">AK8</f>
        <v>776830</v>
      </c>
      <c r="AL17" s="40">
        <f t="shared" si="7"/>
        <v>1026038</v>
      </c>
      <c r="AV17" s="29" t="s">
        <v>7</v>
      </c>
      <c r="AW17" s="35">
        <f>AW15/AW16*100</f>
        <v>40.95174110131213</v>
      </c>
      <c r="AX17" s="35">
        <f t="shared" ref="AX17:AY17" si="8">AX15/AX16*100</f>
        <v>45.541662755776144</v>
      </c>
      <c r="AY17" s="35">
        <f t="shared" si="8"/>
        <v>46.417224466259846</v>
      </c>
    </row>
    <row r="18" spans="8:51" ht="15.6" thickTop="1" thickBot="1" x14ac:dyDescent="0.35">
      <c r="H18" s="7"/>
      <c r="I18" s="24"/>
      <c r="J18" s="24"/>
      <c r="K18" s="24"/>
      <c r="L18" s="2"/>
      <c r="M18" s="2"/>
      <c r="N18" s="2"/>
      <c r="O18" s="2"/>
      <c r="P18" s="2"/>
      <c r="Q18" s="2"/>
      <c r="R18" s="2"/>
      <c r="S18" s="2"/>
      <c r="AI18" s="29" t="s">
        <v>7</v>
      </c>
      <c r="AJ18" s="35">
        <f>(AJ15-AJ16)/AJ17</f>
        <v>1.7484400120430479</v>
      </c>
      <c r="AK18" s="35">
        <f t="shared" ref="AK18:AL18" si="9">(AK15-AK16)/AK17</f>
        <v>1.48422820951817</v>
      </c>
      <c r="AL18" s="35">
        <f t="shared" si="9"/>
        <v>1.045647432161382</v>
      </c>
    </row>
    <row r="19" spans="8:51" ht="15" thickTop="1" x14ac:dyDescent="0.3"/>
    <row r="20" spans="8:51" x14ac:dyDescent="0.3">
      <c r="H20" s="62" t="s">
        <v>142</v>
      </c>
      <c r="I20" s="62"/>
      <c r="J20" s="62"/>
      <c r="K20" s="62"/>
      <c r="U20" s="3" t="s">
        <v>8</v>
      </c>
      <c r="V20" s="3"/>
      <c r="W20" s="3"/>
      <c r="X20" s="3"/>
      <c r="AV20" s="34" t="s">
        <v>126</v>
      </c>
      <c r="AW20" s="34"/>
      <c r="AX20" s="34"/>
      <c r="AY20" s="34"/>
    </row>
    <row r="21" spans="8:51" x14ac:dyDescent="0.3">
      <c r="H21" s="27" t="s">
        <v>1</v>
      </c>
      <c r="I21" s="33">
        <v>2020</v>
      </c>
      <c r="J21" s="33">
        <f>I21+1</f>
        <v>2021</v>
      </c>
      <c r="K21" s="33">
        <f>J21+1</f>
        <v>2022</v>
      </c>
      <c r="U21" s="28" t="s">
        <v>1</v>
      </c>
      <c r="V21" s="28">
        <v>2020</v>
      </c>
      <c r="W21" s="28">
        <f>V21+1</f>
        <v>2021</v>
      </c>
      <c r="X21" s="28">
        <f>W21+1</f>
        <v>2022</v>
      </c>
      <c r="AI21" s="34" t="s">
        <v>123</v>
      </c>
      <c r="AJ21" s="34"/>
      <c r="AK21" s="34"/>
      <c r="AL21" s="34"/>
      <c r="AV21" s="28" t="s">
        <v>1</v>
      </c>
      <c r="AW21" s="28">
        <v>2020</v>
      </c>
      <c r="AX21" s="28">
        <f>AW21+1</f>
        <v>2021</v>
      </c>
      <c r="AY21" s="28">
        <f>AX21+1</f>
        <v>2022</v>
      </c>
    </row>
    <row r="22" spans="8:51" x14ac:dyDescent="0.3">
      <c r="H22" t="s">
        <v>21</v>
      </c>
      <c r="I22" s="25">
        <f>'Financial Statements'!B16</f>
        <v>144836</v>
      </c>
      <c r="J22" s="25">
        <f>'Financial Statements'!C16</f>
        <v>143391</v>
      </c>
      <c r="K22" s="25">
        <f>'Financial Statements'!D16</f>
        <v>269705</v>
      </c>
      <c r="L22" t="s">
        <v>110</v>
      </c>
      <c r="M22" s="1"/>
      <c r="N22" s="1"/>
      <c r="O22" s="1"/>
      <c r="P22" s="1"/>
      <c r="Q22" s="1"/>
      <c r="R22" s="1"/>
      <c r="S22" s="1"/>
      <c r="U22" t="s">
        <v>10</v>
      </c>
      <c r="V22" s="1">
        <f>'Financial Statements'!B76</f>
        <v>120296</v>
      </c>
      <c r="W22" s="1">
        <f>'Financial Statements'!C76</f>
        <v>63970</v>
      </c>
      <c r="X22" s="1">
        <f>'Financial Statements'!D76</f>
        <v>94034</v>
      </c>
      <c r="Y22" t="s">
        <v>110</v>
      </c>
      <c r="AI22" s="28" t="s">
        <v>1</v>
      </c>
      <c r="AJ22" s="28">
        <v>2020</v>
      </c>
      <c r="AK22" s="28">
        <f>AJ22+1</f>
        <v>2021</v>
      </c>
      <c r="AL22" s="28">
        <f>AK22+1</f>
        <v>2022</v>
      </c>
      <c r="AV22" t="s">
        <v>114</v>
      </c>
      <c r="AW22" s="1">
        <f>'Financial Statements'!B120</f>
        <v>1169103</v>
      </c>
      <c r="AX22" s="1">
        <f>'Financial Statements'!C120</f>
        <v>1460456</v>
      </c>
      <c r="AY22" s="1">
        <f>'Financial Statements'!D120</f>
        <v>1638917</v>
      </c>
    </row>
    <row r="23" spans="8:51" x14ac:dyDescent="0.3">
      <c r="H23" t="s">
        <v>2</v>
      </c>
      <c r="I23" s="25">
        <f>I16</f>
        <v>1183441</v>
      </c>
      <c r="J23" s="25">
        <f t="shared" ref="J23:K23" si="10">J16</f>
        <v>1434506</v>
      </c>
      <c r="K23" s="25">
        <f t="shared" si="10"/>
        <v>1812201</v>
      </c>
      <c r="L23" s="1"/>
      <c r="M23" s="1"/>
      <c r="N23" s="1"/>
      <c r="O23" s="1"/>
      <c r="P23" s="1"/>
      <c r="Q23" s="1"/>
      <c r="R23" s="1"/>
      <c r="S23" s="1"/>
      <c r="U23" t="s">
        <v>144</v>
      </c>
      <c r="V23" s="1">
        <f>-'Financial Statements'!B13</f>
        <v>1068429</v>
      </c>
      <c r="W23" s="1">
        <f>-'Financial Statements'!C13</f>
        <v>1233460</v>
      </c>
      <c r="X23" s="1">
        <f>-'Financial Statements'!D13</f>
        <v>1544492</v>
      </c>
      <c r="AI23" t="s">
        <v>120</v>
      </c>
      <c r="AJ23" s="25">
        <f>'Financial Statements'!B83</f>
        <v>14083</v>
      </c>
      <c r="AK23" s="25">
        <f>'Financial Statements'!C83</f>
        <v>21924</v>
      </c>
      <c r="AL23" s="25">
        <f>'Financial Statements'!D83</f>
        <v>5170</v>
      </c>
      <c r="AM23" t="s">
        <v>110</v>
      </c>
      <c r="AV23" t="s">
        <v>26</v>
      </c>
      <c r="AW23" s="1">
        <f>AW8</f>
        <v>1685728</v>
      </c>
      <c r="AX23" s="1">
        <f t="shared" ref="AX23:AY23" si="11">AX8</f>
        <v>1746401</v>
      </c>
      <c r="AY23" s="1">
        <f t="shared" si="11"/>
        <v>1891921</v>
      </c>
    </row>
    <row r="24" spans="8:51" ht="15" thickBot="1" x14ac:dyDescent="0.35">
      <c r="H24" s="29" t="s">
        <v>7</v>
      </c>
      <c r="I24" s="30">
        <f>I22/I23*100</f>
        <v>12.238548436297204</v>
      </c>
      <c r="J24" s="30">
        <f t="shared" ref="J24:K24" si="12">J22/J23*100</f>
        <v>9.9958452596224774</v>
      </c>
      <c r="K24" s="30">
        <f t="shared" si="12"/>
        <v>14.88273099948626</v>
      </c>
      <c r="L24" s="2"/>
      <c r="M24" s="2"/>
      <c r="N24" s="2"/>
      <c r="O24" s="2"/>
      <c r="P24" s="2"/>
      <c r="Q24" s="2"/>
      <c r="R24" s="2"/>
      <c r="S24" s="2"/>
      <c r="U24" s="29" t="s">
        <v>7</v>
      </c>
      <c r="V24" s="36">
        <f>V22/V23*365</f>
        <v>41.095889385256292</v>
      </c>
      <c r="W24" s="36">
        <f t="shared" ref="W24:X24" si="13">W22/W23*365</f>
        <v>18.92971802895919</v>
      </c>
      <c r="X24" s="36">
        <f t="shared" si="13"/>
        <v>22.222458905581899</v>
      </c>
      <c r="AI24" t="s">
        <v>17</v>
      </c>
      <c r="AJ24" s="25">
        <f>'Financial Statements'!B119</f>
        <v>508177</v>
      </c>
      <c r="AK24" s="25">
        <f>'Financial Statements'!C119</f>
        <v>776830</v>
      </c>
      <c r="AL24" s="25">
        <f>'Financial Statements'!D119</f>
        <v>1026038</v>
      </c>
      <c r="AV24" s="29" t="s">
        <v>7</v>
      </c>
      <c r="AW24" s="39">
        <f>AW22/AW23*100</f>
        <v>69.353003568784516</v>
      </c>
      <c r="AX24" s="39">
        <f t="shared" ref="AX24:AY24" si="14">AX22/AX23*100</f>
        <v>83.626612673721553</v>
      </c>
      <c r="AY24" s="39">
        <f t="shared" si="14"/>
        <v>86.627137179617961</v>
      </c>
    </row>
    <row r="25" spans="8:51" ht="15.6" thickTop="1" thickBot="1" x14ac:dyDescent="0.35">
      <c r="H25" s="7"/>
      <c r="I25" s="24"/>
      <c r="J25" s="24"/>
      <c r="K25" s="24"/>
      <c r="L25" s="2"/>
      <c r="M25" s="2"/>
      <c r="N25" s="2"/>
      <c r="O25" s="2"/>
      <c r="P25" s="2"/>
      <c r="Q25" s="2"/>
      <c r="R25" s="2"/>
      <c r="S25" s="2"/>
      <c r="AI25" s="29" t="s">
        <v>7</v>
      </c>
      <c r="AJ25" s="41">
        <f>AJ23/AJ24</f>
        <v>2.7712785112273874E-2</v>
      </c>
      <c r="AK25" s="41">
        <f>AK23/AK24</f>
        <v>2.822239099931774E-2</v>
      </c>
      <c r="AL25" s="41">
        <f t="shared" ref="AL25" si="15">AL23/AL24</f>
        <v>5.0387997325635116E-3</v>
      </c>
    </row>
    <row r="26" spans="8:51" ht="15" thickTop="1" x14ac:dyDescent="0.3"/>
    <row r="27" spans="8:51" x14ac:dyDescent="0.3">
      <c r="H27" s="62" t="s">
        <v>22</v>
      </c>
      <c r="I27" s="62"/>
      <c r="J27" s="62"/>
      <c r="K27" s="62"/>
      <c r="U27" s="3" t="s">
        <v>11</v>
      </c>
      <c r="V27" s="3"/>
      <c r="W27" s="3"/>
      <c r="X27" s="3"/>
      <c r="AV27" s="34" t="s">
        <v>127</v>
      </c>
      <c r="AW27" s="34"/>
      <c r="AX27" s="34"/>
      <c r="AY27" s="34"/>
    </row>
    <row r="28" spans="8:51" x14ac:dyDescent="0.3">
      <c r="H28" s="27" t="s">
        <v>1</v>
      </c>
      <c r="I28" s="33">
        <v>2020</v>
      </c>
      <c r="J28" s="33">
        <f>I28+1</f>
        <v>2021</v>
      </c>
      <c r="K28" s="33">
        <f>J28+1</f>
        <v>2022</v>
      </c>
      <c r="U28" s="28" t="s">
        <v>1</v>
      </c>
      <c r="V28" s="28">
        <v>2020</v>
      </c>
      <c r="W28" s="28">
        <f>V28+1</f>
        <v>2021</v>
      </c>
      <c r="X28" s="28">
        <f>W28+1</f>
        <v>2022</v>
      </c>
      <c r="AV28" s="28" t="s">
        <v>1</v>
      </c>
      <c r="AW28" s="28">
        <v>2020</v>
      </c>
      <c r="AX28" s="28">
        <f>AW28+1</f>
        <v>2021</v>
      </c>
      <c r="AY28" s="28">
        <f>AX28+1</f>
        <v>2022</v>
      </c>
    </row>
    <row r="29" spans="8:51" x14ac:dyDescent="0.3">
      <c r="H29" t="s">
        <v>23</v>
      </c>
      <c r="I29" s="25">
        <f>'Financial Statements'!B31</f>
        <v>125954</v>
      </c>
      <c r="J29" s="25">
        <f>'Financial Statements'!C31</f>
        <v>56787</v>
      </c>
      <c r="K29" s="25">
        <f>'Financial Statements'!D31</f>
        <v>151982</v>
      </c>
      <c r="L29" t="s">
        <v>110</v>
      </c>
      <c r="M29" s="1"/>
      <c r="N29" s="1"/>
      <c r="O29" s="1"/>
      <c r="P29" s="1"/>
      <c r="Q29" s="1"/>
      <c r="R29" s="1"/>
      <c r="S29" s="1"/>
      <c r="U29" t="s">
        <v>9</v>
      </c>
      <c r="V29" s="25">
        <f>'Financial Statements'!B81</f>
        <v>805718</v>
      </c>
      <c r="W29" s="1">
        <f>'Financial Statements'!C81</f>
        <v>856515</v>
      </c>
      <c r="X29" s="1">
        <f>'Financial Statements'!D81</f>
        <v>770611</v>
      </c>
      <c r="Y29" t="s">
        <v>110</v>
      </c>
      <c r="AV29" t="s">
        <v>115</v>
      </c>
      <c r="AW29" s="25">
        <f>'Financial Statements'!B101+'Financial Statements'!B111</f>
        <v>58245</v>
      </c>
      <c r="AX29" s="25">
        <f>'Financial Statements'!C101+'Financial Statements'!C111</f>
        <v>57967</v>
      </c>
      <c r="AY29" s="25">
        <f>'Financial Statements'!D101+'Financial Statements'!D111</f>
        <v>112431</v>
      </c>
    </row>
    <row r="30" spans="8:51" x14ac:dyDescent="0.3">
      <c r="H30" t="s">
        <v>2</v>
      </c>
      <c r="I30" s="25">
        <f>I23</f>
        <v>1183441</v>
      </c>
      <c r="J30" s="25">
        <f t="shared" ref="J30:K30" si="16">J23</f>
        <v>1434506</v>
      </c>
      <c r="K30" s="25">
        <f t="shared" si="16"/>
        <v>1812201</v>
      </c>
      <c r="L30" s="1"/>
      <c r="M30" s="1"/>
      <c r="N30" s="1"/>
      <c r="O30" s="1"/>
      <c r="P30" s="1"/>
      <c r="Q30" s="1"/>
      <c r="R30" s="1"/>
      <c r="S30" s="1"/>
      <c r="U30" t="s">
        <v>5</v>
      </c>
      <c r="V30" s="25">
        <f>V15</f>
        <v>1183441</v>
      </c>
      <c r="W30" s="1">
        <f t="shared" ref="W30:X30" si="17">W15</f>
        <v>1434506</v>
      </c>
      <c r="X30" s="1">
        <f t="shared" si="17"/>
        <v>1812201</v>
      </c>
      <c r="AV30" t="s">
        <v>16</v>
      </c>
      <c r="AW30" s="25">
        <f>'Financial Statements'!B86</f>
        <v>2854831</v>
      </c>
      <c r="AX30" s="25">
        <f>'Financial Statements'!C86</f>
        <v>3206857</v>
      </c>
      <c r="AY30" s="25">
        <f>'Financial Statements'!D86</f>
        <v>3530838</v>
      </c>
    </row>
    <row r="31" spans="8:51" ht="15" thickBot="1" x14ac:dyDescent="0.35">
      <c r="H31" s="29" t="s">
        <v>22</v>
      </c>
      <c r="I31" s="30">
        <f>I29/I30*100</f>
        <v>10.643031634023158</v>
      </c>
      <c r="J31" s="30">
        <f t="shared" ref="J31:K31" si="18">J29/J30*100</f>
        <v>3.9586449969536552</v>
      </c>
      <c r="K31" s="30">
        <f t="shared" si="18"/>
        <v>8.3865972924636942</v>
      </c>
      <c r="L31" s="2"/>
      <c r="M31" s="2"/>
      <c r="N31" s="2"/>
      <c r="O31" s="2"/>
      <c r="P31" s="2"/>
      <c r="Q31" s="2"/>
      <c r="R31" s="2"/>
      <c r="S31" s="2"/>
      <c r="U31" s="29" t="s">
        <v>7</v>
      </c>
      <c r="V31" s="31">
        <f>V29/V30*365</f>
        <v>248.50167435469956</v>
      </c>
      <c r="W31" s="31">
        <f t="shared" ref="W31:X31" si="19">W29/W30*365</f>
        <v>217.93424007986025</v>
      </c>
      <c r="X31" s="31">
        <f t="shared" si="19"/>
        <v>155.21071614020741</v>
      </c>
      <c r="AV31" s="29" t="s">
        <v>7</v>
      </c>
      <c r="AW31" s="39">
        <f>AW29/AW30*100</f>
        <v>2.0402258487455125</v>
      </c>
      <c r="AX31" s="39">
        <f t="shared" ref="AX31:AY31" si="20">AX29/AX30*100</f>
        <v>1.8075954119563173</v>
      </c>
      <c r="AY31" s="39">
        <f t="shared" si="20"/>
        <v>3.1842582412447133</v>
      </c>
    </row>
    <row r="32" spans="8:51" ht="15" thickTop="1" x14ac:dyDescent="0.3">
      <c r="H32" s="7"/>
      <c r="I32" s="24"/>
      <c r="J32" s="24"/>
      <c r="K32" s="24"/>
      <c r="L32" s="2"/>
      <c r="M32" s="2"/>
      <c r="N32" s="2"/>
      <c r="O32" s="2"/>
      <c r="P32" s="2"/>
      <c r="Q32" s="2"/>
      <c r="R32" s="2"/>
      <c r="S32" s="2"/>
    </row>
    <row r="34" spans="8:51" x14ac:dyDescent="0.3">
      <c r="H34" s="62" t="s">
        <v>24</v>
      </c>
      <c r="I34" s="62"/>
      <c r="J34" s="62"/>
      <c r="K34" s="62"/>
      <c r="U34" s="3" t="s">
        <v>12</v>
      </c>
      <c r="V34" s="3"/>
      <c r="W34" s="3"/>
      <c r="X34" s="3"/>
      <c r="AV34" s="34" t="s">
        <v>128</v>
      </c>
      <c r="AW34" s="34"/>
      <c r="AX34" s="34"/>
      <c r="AY34" s="34"/>
    </row>
    <row r="35" spans="8:51" x14ac:dyDescent="0.3">
      <c r="H35" s="27" t="s">
        <v>1</v>
      </c>
      <c r="I35" s="33">
        <v>2020</v>
      </c>
      <c r="J35" s="33">
        <f>I35+1</f>
        <v>2021</v>
      </c>
      <c r="K35" s="33">
        <f>J35+1</f>
        <v>2022</v>
      </c>
      <c r="U35" s="28" t="s">
        <v>1</v>
      </c>
      <c r="V35" s="28">
        <v>2020</v>
      </c>
      <c r="W35" s="28">
        <f>V35+1</f>
        <v>2021</v>
      </c>
      <c r="X35" s="28">
        <f>W35+1</f>
        <v>2022</v>
      </c>
      <c r="AV35" s="28" t="s">
        <v>1</v>
      </c>
      <c r="AW35" s="28">
        <v>2020</v>
      </c>
      <c r="AX35" s="28">
        <f>AW35+1</f>
        <v>2021</v>
      </c>
      <c r="AY35" s="28">
        <f>AX35+1</f>
        <v>2022</v>
      </c>
    </row>
    <row r="36" spans="8:51" x14ac:dyDescent="0.3">
      <c r="H36" t="s">
        <v>23</v>
      </c>
      <c r="I36" s="25">
        <f>I29</f>
        <v>125954</v>
      </c>
      <c r="J36" s="25">
        <f t="shared" ref="J36:K36" si="21">J29</f>
        <v>56787</v>
      </c>
      <c r="K36" s="25">
        <f t="shared" si="21"/>
        <v>151982</v>
      </c>
      <c r="L36" t="s">
        <v>110</v>
      </c>
      <c r="M36" s="1"/>
      <c r="N36" s="1"/>
      <c r="O36" s="1"/>
      <c r="P36" s="1"/>
      <c r="Q36" s="1"/>
      <c r="R36" s="1"/>
      <c r="S36" s="1"/>
      <c r="U36" t="s">
        <v>13</v>
      </c>
      <c r="V36" s="1">
        <f>'Financial Statements'!B115</f>
        <v>240830</v>
      </c>
      <c r="W36" s="1">
        <f>'Financial Statements'!C115</f>
        <v>463952</v>
      </c>
      <c r="X36" s="1">
        <f>'Financial Statements'!D115</f>
        <v>400286</v>
      </c>
      <c r="Y36" t="s">
        <v>110</v>
      </c>
      <c r="AV36" t="s">
        <v>116</v>
      </c>
      <c r="AW36" s="1">
        <f>'Financial Statements'!B22</f>
        <v>157091</v>
      </c>
      <c r="AX36" s="1">
        <f>'Financial Statements'!C22</f>
        <v>66804</v>
      </c>
      <c r="AY36" s="1">
        <f>'Financial Statements'!D22</f>
        <v>160769</v>
      </c>
    </row>
    <row r="37" spans="8:51" x14ac:dyDescent="0.3">
      <c r="H37" t="s">
        <v>16</v>
      </c>
      <c r="I37" s="25">
        <f>I8</f>
        <v>2854831</v>
      </c>
      <c r="J37" s="25">
        <f>J8</f>
        <v>3206857</v>
      </c>
      <c r="K37" s="25">
        <f>K8</f>
        <v>3530838</v>
      </c>
      <c r="L37" s="1"/>
      <c r="M37" s="1"/>
      <c r="N37" s="1"/>
      <c r="O37" s="1"/>
      <c r="P37" s="1"/>
      <c r="Q37" s="1"/>
      <c r="R37" s="1"/>
      <c r="S37" s="1"/>
      <c r="U37" t="s">
        <v>144</v>
      </c>
      <c r="V37" s="1">
        <f>V23</f>
        <v>1068429</v>
      </c>
      <c r="W37" s="1">
        <f t="shared" ref="W37:X37" si="22">W23</f>
        <v>1233460</v>
      </c>
      <c r="X37" s="1">
        <f t="shared" si="22"/>
        <v>1544492</v>
      </c>
      <c r="AV37" t="s">
        <v>117</v>
      </c>
      <c r="AW37" s="1">
        <f>2508+96</f>
        <v>2604</v>
      </c>
      <c r="AX37" s="1">
        <f>2466+227</f>
        <v>2693</v>
      </c>
      <c r="AY37" s="1">
        <f>3272+549</f>
        <v>3821</v>
      </c>
    </row>
    <row r="38" spans="8:51" ht="15" thickBot="1" x14ac:dyDescent="0.35">
      <c r="H38" s="29" t="s">
        <v>24</v>
      </c>
      <c r="I38" s="30">
        <f>I36/I37*100</f>
        <v>4.4119599373833331</v>
      </c>
      <c r="J38" s="30">
        <f t="shared" ref="J38:K38" si="23">J36/J37*100</f>
        <v>1.7707992592123689</v>
      </c>
      <c r="K38" s="30">
        <f t="shared" si="23"/>
        <v>4.3044172516552726</v>
      </c>
      <c r="L38" s="2"/>
      <c r="M38" s="2"/>
      <c r="N38" s="2"/>
      <c r="O38" s="2"/>
      <c r="P38" s="2"/>
      <c r="Q38" s="2"/>
      <c r="R38" s="2"/>
      <c r="S38" s="2"/>
      <c r="U38" s="29" t="s">
        <v>7</v>
      </c>
      <c r="V38" s="31">
        <f>V36/V37*365</f>
        <v>82.27308506227368</v>
      </c>
      <c r="W38" s="31">
        <f t="shared" ref="W38:X38" si="24">W36/W37*365</f>
        <v>137.29061339646199</v>
      </c>
      <c r="X38" s="31">
        <f t="shared" si="24"/>
        <v>94.597051975665778</v>
      </c>
      <c r="AV38" s="29" t="s">
        <v>7</v>
      </c>
      <c r="AW38" s="39">
        <f>AW36/AW37</f>
        <v>60.326804915514593</v>
      </c>
      <c r="AX38" s="39">
        <f t="shared" ref="AX38:AY38" si="25">AX36/AX37</f>
        <v>24.806535462309693</v>
      </c>
      <c r="AY38" s="39">
        <f t="shared" si="25"/>
        <v>42.075111227427378</v>
      </c>
    </row>
    <row r="39" spans="8:51" ht="15" thickTop="1" x14ac:dyDescent="0.3">
      <c r="H39" s="6"/>
      <c r="I39" s="26"/>
      <c r="J39" s="26"/>
      <c r="K39" s="26"/>
      <c r="L39" s="2"/>
      <c r="M39" s="2"/>
      <c r="N39" s="2"/>
      <c r="O39" s="2"/>
      <c r="P39" s="2"/>
      <c r="Q39" s="2"/>
      <c r="R39" s="2"/>
      <c r="S39" s="2"/>
    </row>
    <row r="41" spans="8:51" x14ac:dyDescent="0.3">
      <c r="H41" s="62" t="s">
        <v>25</v>
      </c>
      <c r="I41" s="62"/>
      <c r="J41" s="62"/>
      <c r="K41" s="62"/>
      <c r="U41" s="3" t="s">
        <v>14</v>
      </c>
      <c r="V41" s="3"/>
      <c r="W41" s="3"/>
      <c r="X41" s="3"/>
      <c r="AV41" s="34" t="s">
        <v>129</v>
      </c>
      <c r="AW41" s="34"/>
      <c r="AX41" s="34"/>
      <c r="AY41" s="34"/>
    </row>
    <row r="42" spans="8:51" x14ac:dyDescent="0.3">
      <c r="H42" s="27" t="s">
        <v>1</v>
      </c>
      <c r="I42" s="33">
        <v>2020</v>
      </c>
      <c r="J42" s="33">
        <f>I42+1</f>
        <v>2021</v>
      </c>
      <c r="K42" s="33">
        <f>J42+1</f>
        <v>2022</v>
      </c>
      <c r="U42" s="28" t="s">
        <v>1</v>
      </c>
      <c r="V42" s="28">
        <v>2020</v>
      </c>
      <c r="W42" s="28">
        <f>V42+1</f>
        <v>2021</v>
      </c>
      <c r="X42" s="28">
        <f>W42+1</f>
        <v>2022</v>
      </c>
      <c r="AV42" s="28" t="s">
        <v>1</v>
      </c>
      <c r="AW42" s="28">
        <v>2020</v>
      </c>
      <c r="AX42" s="28">
        <f>AW42+1</f>
        <v>2021</v>
      </c>
      <c r="AY42" s="28">
        <f>AX42+1</f>
        <v>2022</v>
      </c>
    </row>
    <row r="43" spans="8:51" x14ac:dyDescent="0.3">
      <c r="H43" t="s">
        <v>23</v>
      </c>
      <c r="I43" s="25">
        <f>I36</f>
        <v>125954</v>
      </c>
      <c r="J43" s="25">
        <f t="shared" ref="J43:K43" si="26">J36</f>
        <v>56787</v>
      </c>
      <c r="K43" s="25">
        <f t="shared" si="26"/>
        <v>151982</v>
      </c>
      <c r="L43" t="s">
        <v>110</v>
      </c>
      <c r="M43" s="1"/>
      <c r="N43" s="1"/>
      <c r="O43" s="1"/>
      <c r="P43" s="1"/>
      <c r="Q43" s="1"/>
      <c r="R43" s="1"/>
      <c r="S43" s="1"/>
      <c r="U43" t="s">
        <v>144</v>
      </c>
      <c r="V43" s="1">
        <f>V37</f>
        <v>1068429</v>
      </c>
      <c r="W43" s="1">
        <f t="shared" ref="W43:X43" si="27">W37</f>
        <v>1233460</v>
      </c>
      <c r="X43" s="1">
        <f t="shared" si="27"/>
        <v>1544492</v>
      </c>
      <c r="Y43" t="s">
        <v>110</v>
      </c>
      <c r="AV43" t="str">
        <f>AV36</f>
        <v>EBIT/Net operating profit</v>
      </c>
      <c r="AW43" s="1">
        <f>'Financial Statements'!B29</f>
        <v>157768</v>
      </c>
      <c r="AX43" s="1">
        <f>'Financial Statements'!C29</f>
        <v>72774</v>
      </c>
      <c r="AY43" s="1">
        <f>'Financial Statements'!D29</f>
        <v>189538</v>
      </c>
    </row>
    <row r="44" spans="8:51" x14ac:dyDescent="0.3">
      <c r="H44" t="s">
        <v>26</v>
      </c>
      <c r="I44" s="25">
        <f>'Financial Statements'!B97</f>
        <v>1685728</v>
      </c>
      <c r="J44" s="25">
        <f>'Financial Statements'!C97</f>
        <v>1746401</v>
      </c>
      <c r="K44" s="25">
        <f>'Financial Statements'!D97</f>
        <v>1891921</v>
      </c>
      <c r="L44" s="1"/>
      <c r="M44" s="1"/>
      <c r="N44" s="1"/>
      <c r="O44" s="1"/>
      <c r="P44" s="1"/>
      <c r="Q44" s="1"/>
      <c r="R44" s="1"/>
      <c r="S44" s="1"/>
      <c r="U44" t="s">
        <v>5</v>
      </c>
      <c r="V44" s="1">
        <f>V30</f>
        <v>1183441</v>
      </c>
      <c r="W44" s="1">
        <f t="shared" ref="W44:X44" si="28">W30</f>
        <v>1434506</v>
      </c>
      <c r="X44" s="1">
        <f t="shared" si="28"/>
        <v>1812201</v>
      </c>
      <c r="AV44" t="s">
        <v>118</v>
      </c>
      <c r="AW44" s="1">
        <f>159411+115</f>
        <v>159526</v>
      </c>
      <c r="AX44" s="1">
        <f>183401+142</f>
        <v>183543</v>
      </c>
      <c r="AY44" s="1">
        <f>191808+142</f>
        <v>191950</v>
      </c>
    </row>
    <row r="45" spans="8:51" ht="15" thickBot="1" x14ac:dyDescent="0.35">
      <c r="H45" s="29" t="s">
        <v>25</v>
      </c>
      <c r="I45" s="30">
        <f>I43/I44*100</f>
        <v>7.4717866702101414</v>
      </c>
      <c r="J45" s="30">
        <f t="shared" ref="J45:K45" si="29">J43/J44*100</f>
        <v>3.2516586969430272</v>
      </c>
      <c r="K45" s="30">
        <f t="shared" si="29"/>
        <v>8.0332106890298274</v>
      </c>
      <c r="L45" s="2"/>
      <c r="M45" s="2"/>
      <c r="N45" s="2"/>
      <c r="O45" s="2"/>
      <c r="P45" s="2"/>
      <c r="Q45" s="2"/>
      <c r="R45" s="2"/>
      <c r="S45" s="2"/>
      <c r="U45" s="29" t="s">
        <v>7</v>
      </c>
      <c r="V45" s="37">
        <f>V43/V44*100</f>
        <v>90.281560297471529</v>
      </c>
      <c r="W45" s="37">
        <f t="shared" ref="W45:X45" si="30">W43/W44*100</f>
        <v>85.985001108395494</v>
      </c>
      <c r="X45" s="37">
        <f t="shared" si="30"/>
        <v>85.227411308127515</v>
      </c>
      <c r="AV45" s="29" t="s">
        <v>7</v>
      </c>
      <c r="AW45" s="41">
        <f>AW43/AW44</f>
        <v>0.98897985281396139</v>
      </c>
      <c r="AX45" s="41">
        <f t="shared" ref="AX45:AY45" si="31">AX43/AX44</f>
        <v>0.39649564407250615</v>
      </c>
      <c r="AY45" s="41">
        <f t="shared" si="31"/>
        <v>0.98743422766345401</v>
      </c>
    </row>
    <row r="46" spans="8:51" ht="15" thickTop="1" x14ac:dyDescent="0.3"/>
    <row r="69" spans="21:21" x14ac:dyDescent="0.3">
      <c r="U69" s="57"/>
    </row>
  </sheetData>
  <mergeCells count="14">
    <mergeCell ref="C5:D5"/>
    <mergeCell ref="AV2:AY2"/>
    <mergeCell ref="AV13:AY13"/>
    <mergeCell ref="AI2:AL2"/>
    <mergeCell ref="AI13:AL13"/>
    <mergeCell ref="H41:K41"/>
    <mergeCell ref="H2:K2"/>
    <mergeCell ref="U2:X2"/>
    <mergeCell ref="U13:X13"/>
    <mergeCell ref="H5:K5"/>
    <mergeCell ref="H13:K13"/>
    <mergeCell ref="H20:K20"/>
    <mergeCell ref="H27:K27"/>
    <mergeCell ref="H34:K34"/>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Financial Statements</vt:lpstr>
      <vt:lpstr>Ratio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Budiman Budiman</dc:creator>
  <cp:lastModifiedBy>Budiman Budiman</cp:lastModifiedBy>
  <dcterms:created xsi:type="dcterms:W3CDTF">2023-05-10T08:22:42Z</dcterms:created>
  <dcterms:modified xsi:type="dcterms:W3CDTF">2023-05-15T08:36:10Z</dcterms:modified>
</cp:coreProperties>
</file>