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comments16.xml" ContentType="application/vnd.openxmlformats-officedocument.spreadsheetml.comments+xml"/>
  <Override PartName="/xl/threadedComments/threadedComment16.xml" ContentType="application/vnd.ms-excel.threadedcomments+xml"/>
  <Override PartName="/xl/comments17.xml" ContentType="application/vnd.openxmlformats-officedocument.spreadsheetml.comments+xml"/>
  <Override PartName="/xl/threadedComments/threadedComment17.xml" ContentType="application/vnd.ms-excel.threadedcomments+xml"/>
  <Override PartName="/xl/comments18.xml" ContentType="application/vnd.openxmlformats-officedocument.spreadsheetml.comments+xml"/>
  <Override PartName="/xl/threadedComments/threadedComment18.xml" ContentType="application/vnd.ms-excel.threadedcomments+xml"/>
  <Override PartName="/xl/comments19.xml" ContentType="application/vnd.openxmlformats-officedocument.spreadsheetml.comments+xml"/>
  <Override PartName="/xl/threadedComments/threadedComment19.xml" ContentType="application/vnd.ms-excel.threadedcomments+xml"/>
  <Override PartName="/xl/comments20.xml" ContentType="application/vnd.openxmlformats-officedocument.spreadsheetml.comments+xml"/>
  <Override PartName="/xl/threadedComments/threadedComment20.xml" ContentType="application/vnd.ms-excel.threadedcomments+xml"/>
  <Override PartName="/xl/comments21.xml" ContentType="application/vnd.openxmlformats-officedocument.spreadsheetml.comments+xml"/>
  <Override PartName="/xl/threadedComments/threadedComment21.xml" ContentType="application/vnd.ms-excel.threadedcomments+xml"/>
  <Override PartName="/xl/comments22.xml" ContentType="application/vnd.openxmlformats-officedocument.spreadsheetml.comments+xml"/>
  <Override PartName="/xl/threadedComments/threadedComment22.xml" ContentType="application/vnd.ms-excel.threadedcomments+xml"/>
  <Override PartName="/xl/comments23.xml" ContentType="application/vnd.openxmlformats-officedocument.spreadsheetml.comments+xml"/>
  <Override PartName="/xl/threadedComments/threadedComment23.xml" ContentType="application/vnd.ms-excel.threadedcomments+xml"/>
  <Override PartName="/xl/comments24.xml" ContentType="application/vnd.openxmlformats-officedocument.spreadsheetml.comments+xml"/>
  <Override PartName="/xl/threadedComments/threadedComment24.xml" ContentType="application/vnd.ms-excel.threadedcomments+xml"/>
  <Override PartName="/xl/comments25.xml" ContentType="application/vnd.openxmlformats-officedocument.spreadsheetml.comments+xml"/>
  <Override PartName="/xl/threadedComments/threadedComment25.xml" ContentType="application/vnd.ms-excel.threadedcomments+xml"/>
  <Override PartName="/xl/comments26.xml" ContentType="application/vnd.openxmlformats-officedocument.spreadsheetml.comments+xml"/>
  <Override PartName="/xl/threadedComments/threadedComment26.xml" ContentType="application/vnd.ms-excel.threadedcomments+xml"/>
  <Override PartName="/xl/comments27.xml" ContentType="application/vnd.openxmlformats-officedocument.spreadsheetml.comments+xml"/>
  <Override PartName="/xl/threadedComments/threadedComment27.xml" ContentType="application/vnd.ms-excel.threadedcomments+xml"/>
  <Override PartName="/xl/comments28.xml" ContentType="application/vnd.openxmlformats-officedocument.spreadsheetml.comments+xml"/>
  <Override PartName="/xl/threadedComments/threadedComment28.xml" ContentType="application/vnd.ms-excel.threadedcomments+xml"/>
  <Override PartName="/xl/comments29.xml" ContentType="application/vnd.openxmlformats-officedocument.spreadsheetml.comments+xml"/>
  <Override PartName="/xl/threadedComments/threadedComment29.xml" ContentType="application/vnd.ms-excel.threadedcomments+xml"/>
  <Override PartName="/xl/comments30.xml" ContentType="application/vnd.openxmlformats-officedocument.spreadsheetml.comments+xml"/>
  <Override PartName="/xl/threadedComments/threadedComment30.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buddyscott/Desktop/Gov-50/finalproject/gov50finalproject/raw_data/"/>
    </mc:Choice>
  </mc:AlternateContent>
  <xr:revisionPtr revIDLastSave="0" documentId="13_ncr:1_{CFF3AFC4-7135-6B49-84E2-EEECA15D35E9}" xr6:coauthVersionLast="45" xr6:coauthVersionMax="45" xr10:uidLastSave="{00000000-0000-0000-0000-000000000000}"/>
  <bookViews>
    <workbookView xWindow="0" yWindow="460" windowWidth="28800" windowHeight="17540" firstSheet="14" activeTab="29" xr2:uid="{3F5261B9-1956-8049-B8B9-1A4A9453D587}"/>
  </bookViews>
  <sheets>
    <sheet name="ATL" sheetId="1" r:id="rId1"/>
    <sheet name="BOS" sheetId="2" r:id="rId2"/>
    <sheet name="BKN" sheetId="3" r:id="rId3"/>
    <sheet name="CHA" sheetId="4" r:id="rId4"/>
    <sheet name="CHI" sheetId="30" r:id="rId5"/>
    <sheet name="CLE" sheetId="5" r:id="rId6"/>
    <sheet name="DAL" sheetId="6" r:id="rId7"/>
    <sheet name="DEN" sheetId="7" r:id="rId8"/>
    <sheet name="DET" sheetId="8" r:id="rId9"/>
    <sheet name="GSW" sheetId="9" r:id="rId10"/>
    <sheet name="HOU" sheetId="10" r:id="rId11"/>
    <sheet name="IND" sheetId="11" r:id="rId12"/>
    <sheet name="LAC" sheetId="12" r:id="rId13"/>
    <sheet name="LAL" sheetId="13" r:id="rId14"/>
    <sheet name="MEM" sheetId="14" r:id="rId15"/>
    <sheet name="MIA" sheetId="15" r:id="rId16"/>
    <sheet name="MIL" sheetId="16" r:id="rId17"/>
    <sheet name="MIN" sheetId="17" r:id="rId18"/>
    <sheet name="NOP" sheetId="18" r:id="rId19"/>
    <sheet name="NYK" sheetId="19" r:id="rId20"/>
    <sheet name="OKC" sheetId="20" r:id="rId21"/>
    <sheet name="ORL" sheetId="21" r:id="rId22"/>
    <sheet name="PHI" sheetId="22" r:id="rId23"/>
    <sheet name="PHX" sheetId="23" r:id="rId24"/>
    <sheet name="POR" sheetId="24" r:id="rId25"/>
    <sheet name="SAC" sheetId="25" r:id="rId26"/>
    <sheet name="SAS" sheetId="26" r:id="rId27"/>
    <sheet name="TOR" sheetId="27" r:id="rId28"/>
    <sheet name="UTA" sheetId="28" r:id="rId29"/>
    <sheet name="WSH" sheetId="29" r:id="rId3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4" i="7" l="1"/>
  <c r="P4" i="7"/>
  <c r="Q27" i="15"/>
  <c r="Q25" i="15"/>
  <c r="C38" i="26" l="1"/>
  <c r="C35" i="26"/>
  <c r="C40" i="29"/>
  <c r="C37" i="29"/>
  <c r="P28" i="24" l="1"/>
  <c r="P27" i="24"/>
  <c r="P26" i="24"/>
  <c r="C38" i="24"/>
  <c r="C35" i="24"/>
  <c r="E61" i="27"/>
  <c r="D61" i="27"/>
  <c r="C61" i="27"/>
  <c r="C38" i="27"/>
  <c r="C35" i="27"/>
  <c r="P28" i="27"/>
  <c r="P27" i="27"/>
  <c r="P26" i="27"/>
  <c r="J25" i="27"/>
  <c r="J24" i="27"/>
  <c r="AC22" i="27"/>
  <c r="Z22" i="27"/>
  <c r="AC21" i="27"/>
  <c r="Z21" i="27"/>
  <c r="AC20" i="27"/>
  <c r="Z20" i="27"/>
  <c r="AC19" i="27"/>
  <c r="Z19" i="27"/>
  <c r="AC18" i="27"/>
  <c r="Z18" i="27"/>
  <c r="AC17" i="27"/>
  <c r="Z17" i="27"/>
  <c r="AC16" i="27"/>
  <c r="Z16" i="27"/>
  <c r="AC15" i="27"/>
  <c r="Z15" i="27"/>
  <c r="T12" i="27"/>
  <c r="AC10" i="27"/>
  <c r="Z10" i="27"/>
  <c r="AC9" i="27"/>
  <c r="Z9" i="27"/>
  <c r="AC8" i="27"/>
  <c r="Z8" i="27"/>
  <c r="AC7" i="27"/>
  <c r="Z7" i="27"/>
  <c r="Q7" i="27"/>
  <c r="AC6" i="27"/>
  <c r="Z6" i="27"/>
  <c r="Q6" i="27"/>
  <c r="AC5" i="27"/>
  <c r="Z5" i="27"/>
  <c r="Q5" i="27"/>
  <c r="AC4" i="27"/>
  <c r="Z4" i="27"/>
  <c r="R4" i="27"/>
  <c r="AC3" i="27"/>
  <c r="Z3" i="27"/>
  <c r="AC2" i="27"/>
  <c r="Z2" i="27"/>
  <c r="P26" i="23" l="1"/>
  <c r="C36" i="23"/>
  <c r="C33" i="23"/>
  <c r="P25" i="23"/>
  <c r="P24" i="23"/>
  <c r="J23" i="23"/>
  <c r="J22" i="23"/>
  <c r="AC17" i="23"/>
  <c r="Z17" i="23"/>
  <c r="AC20" i="23"/>
  <c r="Z20" i="23"/>
  <c r="AC19" i="23"/>
  <c r="Z19" i="23"/>
  <c r="AC18" i="23"/>
  <c r="Z18" i="23"/>
  <c r="T15" i="23"/>
  <c r="AC13" i="23"/>
  <c r="Z13" i="23"/>
  <c r="AC12" i="23"/>
  <c r="Z12" i="23"/>
  <c r="AC10" i="23"/>
  <c r="Z10" i="23"/>
  <c r="AC9" i="23"/>
  <c r="Z9" i="23"/>
  <c r="AC8" i="23"/>
  <c r="Z8" i="23"/>
  <c r="AC7" i="23"/>
  <c r="Z7" i="23"/>
  <c r="R7" i="23"/>
  <c r="AC6" i="23"/>
  <c r="Z6" i="23"/>
  <c r="Q6" i="23"/>
  <c r="AC5" i="23"/>
  <c r="Z5" i="23"/>
  <c r="R5" i="23"/>
  <c r="AC4" i="23"/>
  <c r="Z4" i="23"/>
  <c r="Q4" i="23"/>
  <c r="AC3" i="23"/>
  <c r="Z3" i="23"/>
  <c r="R3" i="23"/>
  <c r="AC2" i="23"/>
  <c r="Z2" i="23"/>
  <c r="C38" i="20"/>
  <c r="C35" i="20"/>
  <c r="C39" i="19"/>
  <c r="C36" i="19"/>
  <c r="P29" i="19"/>
  <c r="P28" i="19"/>
  <c r="P27" i="19"/>
  <c r="J26" i="19"/>
  <c r="J25" i="19"/>
  <c r="AC23" i="19"/>
  <c r="Z23" i="19"/>
  <c r="AC22" i="19"/>
  <c r="Z22" i="19"/>
  <c r="AC21" i="19"/>
  <c r="Z21" i="19"/>
  <c r="T18" i="19"/>
  <c r="S17" i="19"/>
  <c r="T17" i="19" s="1"/>
  <c r="AC14" i="19"/>
  <c r="Z14" i="19"/>
  <c r="AC13" i="19"/>
  <c r="Z13" i="19"/>
  <c r="AC12" i="19"/>
  <c r="Z12" i="19"/>
  <c r="AC11" i="19"/>
  <c r="Z11" i="19"/>
  <c r="Q11" i="19"/>
  <c r="AC10" i="19"/>
  <c r="Z10" i="19"/>
  <c r="AC9" i="19"/>
  <c r="Z9" i="19"/>
  <c r="AC8" i="19"/>
  <c r="Z8" i="19"/>
  <c r="Q8" i="19"/>
  <c r="AC7" i="19"/>
  <c r="Z7" i="19"/>
  <c r="Q7" i="19"/>
  <c r="AC6" i="19"/>
  <c r="Z6" i="19"/>
  <c r="Q6" i="19"/>
  <c r="AC5" i="19"/>
  <c r="Z5" i="19"/>
  <c r="AC4" i="19"/>
  <c r="Z4" i="19"/>
  <c r="Q4" i="19"/>
  <c r="AC3" i="19"/>
  <c r="Z3" i="19"/>
  <c r="Q3" i="19"/>
  <c r="AC2" i="19"/>
  <c r="Z2" i="19"/>
  <c r="R2" i="19"/>
  <c r="S12" i="18"/>
  <c r="P30" i="18"/>
  <c r="P29" i="18"/>
  <c r="J28" i="18"/>
  <c r="J27" i="18"/>
  <c r="C38" i="18"/>
  <c r="AC22" i="18"/>
  <c r="Z22" i="18"/>
  <c r="AC21" i="18"/>
  <c r="Z21" i="18"/>
  <c r="AC20" i="18"/>
  <c r="Z20" i="18"/>
  <c r="AC19" i="18"/>
  <c r="Z19" i="18"/>
  <c r="AC18" i="18"/>
  <c r="Z18" i="18"/>
  <c r="AC17" i="18"/>
  <c r="Z17" i="18"/>
  <c r="T12" i="18"/>
  <c r="AC10" i="18"/>
  <c r="Z10" i="18"/>
  <c r="AC9" i="18"/>
  <c r="Z9" i="18"/>
  <c r="Q9" i="18"/>
  <c r="AC8" i="18"/>
  <c r="Z8" i="18"/>
  <c r="Q8" i="18"/>
  <c r="AC7" i="18"/>
  <c r="Z7" i="18"/>
  <c r="S7" i="18"/>
  <c r="AC6" i="18"/>
  <c r="Z6" i="18"/>
  <c r="Q6" i="18"/>
  <c r="AC5" i="18"/>
  <c r="Z5" i="18"/>
  <c r="S5" i="18"/>
  <c r="AC4" i="18"/>
  <c r="Z4" i="18"/>
  <c r="Q4" i="18"/>
  <c r="AC3" i="18"/>
  <c r="Z3" i="18"/>
  <c r="Q3" i="18"/>
  <c r="AC2" i="18"/>
  <c r="Z2" i="18"/>
  <c r="R2" i="18"/>
  <c r="P26" i="17"/>
  <c r="P27" i="17"/>
  <c r="P28" i="17"/>
  <c r="Q13" i="16"/>
  <c r="P13" i="16"/>
  <c r="C37" i="16"/>
  <c r="C34" i="16"/>
  <c r="P27" i="16"/>
  <c r="P26" i="16"/>
  <c r="P25" i="16"/>
  <c r="J24" i="16"/>
  <c r="J23" i="16"/>
  <c r="S14" i="16"/>
  <c r="T14" i="16" s="1"/>
  <c r="AC20" i="16"/>
  <c r="Z20" i="16"/>
  <c r="AC19" i="16"/>
  <c r="Z19" i="16"/>
  <c r="AC18" i="16"/>
  <c r="Z18" i="16"/>
  <c r="AC17" i="16"/>
  <c r="Z17" i="16"/>
  <c r="AC16" i="16"/>
  <c r="Z16" i="16"/>
  <c r="AC12" i="16"/>
  <c r="Z12" i="16"/>
  <c r="AC11" i="16"/>
  <c r="Z11" i="16"/>
  <c r="AC10" i="16"/>
  <c r="Z10" i="16"/>
  <c r="AC9" i="16"/>
  <c r="Z9" i="16"/>
  <c r="Q9" i="16"/>
  <c r="AC8" i="16"/>
  <c r="Z8" i="16"/>
  <c r="Q8" i="16"/>
  <c r="AC7" i="16"/>
  <c r="Z7" i="16"/>
  <c r="Q7" i="16"/>
  <c r="AC6" i="16"/>
  <c r="Z6" i="16"/>
  <c r="R6" i="16"/>
  <c r="AC5" i="16"/>
  <c r="Z5" i="16"/>
  <c r="S5" i="16"/>
  <c r="AC4" i="16"/>
  <c r="Z4" i="16"/>
  <c r="S4" i="16"/>
  <c r="AC3" i="16"/>
  <c r="Z3" i="16"/>
  <c r="AC2" i="16"/>
  <c r="Z2" i="16"/>
  <c r="C39" i="21"/>
  <c r="C36" i="21"/>
  <c r="P28" i="21"/>
  <c r="P27" i="21"/>
  <c r="P26" i="21"/>
  <c r="S16" i="21"/>
  <c r="T16" i="21" s="1"/>
  <c r="J26" i="21"/>
  <c r="J25" i="21"/>
  <c r="AC23" i="21"/>
  <c r="Z23" i="21"/>
  <c r="AC22" i="21"/>
  <c r="Z22" i="21"/>
  <c r="AC21" i="21"/>
  <c r="Z21" i="21"/>
  <c r="AC20" i="21"/>
  <c r="Z20" i="21"/>
  <c r="AC19" i="21"/>
  <c r="Z19" i="21"/>
  <c r="AC18" i="21"/>
  <c r="Z18" i="21"/>
  <c r="AC12" i="21"/>
  <c r="Z12" i="21"/>
  <c r="AC11" i="21"/>
  <c r="Z11" i="21"/>
  <c r="AC10" i="21"/>
  <c r="Z10" i="21"/>
  <c r="Q10" i="21"/>
  <c r="AC9" i="21"/>
  <c r="Z9" i="21"/>
  <c r="R9" i="21"/>
  <c r="AC8" i="21"/>
  <c r="Z8" i="21"/>
  <c r="Q8" i="21"/>
  <c r="AC7" i="21"/>
  <c r="Z7" i="21"/>
  <c r="R7" i="21"/>
  <c r="AC6" i="21"/>
  <c r="Z6" i="21"/>
  <c r="Q6" i="21"/>
  <c r="AC5" i="21"/>
  <c r="Z5" i="21"/>
  <c r="S5" i="21"/>
  <c r="AC4" i="21"/>
  <c r="Z4" i="21"/>
  <c r="Q4" i="21"/>
  <c r="AC3" i="21"/>
  <c r="Z3" i="21"/>
  <c r="R3" i="21"/>
  <c r="AC2" i="21"/>
  <c r="Z2" i="21"/>
  <c r="S2" i="21"/>
  <c r="P28" i="25"/>
  <c r="C37" i="25"/>
  <c r="P28" i="28"/>
  <c r="P26" i="28"/>
  <c r="P25" i="28"/>
  <c r="C37" i="28"/>
  <c r="C34" i="28"/>
  <c r="P27" i="28"/>
  <c r="J24" i="28"/>
  <c r="J23" i="28"/>
  <c r="AC21" i="28"/>
  <c r="Z21" i="28"/>
  <c r="AC20" i="28"/>
  <c r="Z20" i="28"/>
  <c r="AC19" i="28"/>
  <c r="Z19" i="28"/>
  <c r="AC18" i="28"/>
  <c r="Z18" i="28"/>
  <c r="S16" i="28"/>
  <c r="T16" i="28" s="1"/>
  <c r="AC14" i="28"/>
  <c r="Z14" i="28"/>
  <c r="AC13" i="28"/>
  <c r="Z13" i="28"/>
  <c r="AC12" i="28"/>
  <c r="Z12" i="28"/>
  <c r="AC11" i="28"/>
  <c r="Z11" i="28"/>
  <c r="AC10" i="28"/>
  <c r="Z10" i="28"/>
  <c r="AC9" i="28"/>
  <c r="Z9" i="28"/>
  <c r="Q9" i="28"/>
  <c r="AC8" i="28"/>
  <c r="Z8" i="28"/>
  <c r="Q8" i="28"/>
  <c r="AC7" i="28"/>
  <c r="Z7" i="28"/>
  <c r="Q7" i="28"/>
  <c r="AC6" i="28"/>
  <c r="Z6" i="28"/>
  <c r="T6" i="28"/>
  <c r="AC5" i="28"/>
  <c r="Z5" i="28"/>
  <c r="R5" i="28"/>
  <c r="AC4" i="28"/>
  <c r="Z4" i="28"/>
  <c r="S4" i="28"/>
  <c r="AC3" i="28"/>
  <c r="Z3" i="28"/>
  <c r="AC2" i="28"/>
  <c r="Z2" i="28"/>
  <c r="J25" i="17" l="1"/>
  <c r="J24" i="17"/>
  <c r="AC22" i="17"/>
  <c r="Z22" i="17"/>
  <c r="AC21" i="17"/>
  <c r="AC20" i="17"/>
  <c r="Z20" i="17"/>
  <c r="AC19" i="17"/>
  <c r="Z19" i="17"/>
  <c r="AC18" i="17"/>
  <c r="Z18" i="17"/>
  <c r="T15" i="17"/>
  <c r="S14" i="17"/>
  <c r="T14" i="17" s="1"/>
  <c r="P13" i="17"/>
  <c r="AC12" i="17"/>
  <c r="Z12" i="17"/>
  <c r="AC11" i="17"/>
  <c r="Z11" i="17"/>
  <c r="AC10" i="17"/>
  <c r="Z10" i="17"/>
  <c r="AC9" i="17"/>
  <c r="Z9" i="17"/>
  <c r="R9" i="17"/>
  <c r="AC8" i="17"/>
  <c r="Z8" i="17"/>
  <c r="R8" i="17"/>
  <c r="AC7" i="17"/>
  <c r="Z7" i="17"/>
  <c r="AC6" i="17"/>
  <c r="Z6" i="17"/>
  <c r="R6" i="17"/>
  <c r="AC5" i="17"/>
  <c r="S5" i="17"/>
  <c r="AC4" i="17"/>
  <c r="Z4" i="17"/>
  <c r="Q4" i="17"/>
  <c r="AC3" i="17"/>
  <c r="Z3" i="17"/>
  <c r="AC2" i="17"/>
  <c r="Z2" i="17"/>
  <c r="P28" i="15" l="1"/>
  <c r="P27" i="15"/>
  <c r="P26" i="15"/>
  <c r="P25" i="15"/>
  <c r="C34" i="15"/>
  <c r="J24" i="15"/>
  <c r="J23" i="15"/>
  <c r="AC19" i="15"/>
  <c r="Z19" i="15"/>
  <c r="AC18" i="15"/>
  <c r="Z18" i="15"/>
  <c r="AC17" i="15"/>
  <c r="Z17" i="15"/>
  <c r="AC16" i="15"/>
  <c r="Z16" i="15"/>
  <c r="AC15" i="15"/>
  <c r="Z15" i="15"/>
  <c r="AC14" i="15"/>
  <c r="Z14" i="15"/>
  <c r="S12" i="15"/>
  <c r="T12" i="15" s="1"/>
  <c r="Q11" i="15"/>
  <c r="P11" i="15"/>
  <c r="AC10" i="15"/>
  <c r="Z10" i="15"/>
  <c r="AC9" i="15"/>
  <c r="Z9" i="15"/>
  <c r="AC8" i="15"/>
  <c r="Z8" i="15"/>
  <c r="AC7" i="15"/>
  <c r="Z7" i="15"/>
  <c r="AC6" i="15"/>
  <c r="Z6" i="15"/>
  <c r="S6" i="15"/>
  <c r="AC5" i="15"/>
  <c r="Z5" i="15"/>
  <c r="Q5" i="15"/>
  <c r="AC4" i="15"/>
  <c r="Z4" i="15"/>
  <c r="Q4" i="15"/>
  <c r="AC3" i="15"/>
  <c r="Z3" i="15"/>
  <c r="R3" i="15"/>
  <c r="AC2" i="15"/>
  <c r="Z2" i="15"/>
  <c r="P26" i="14"/>
  <c r="P25" i="14"/>
  <c r="C34" i="14"/>
  <c r="J24" i="14"/>
  <c r="J23" i="14"/>
  <c r="AC21" i="14"/>
  <c r="Z21" i="14"/>
  <c r="AC20" i="14"/>
  <c r="Z20" i="14"/>
  <c r="AC19" i="14"/>
  <c r="Z19" i="14"/>
  <c r="AC18" i="14"/>
  <c r="Z18" i="14"/>
  <c r="AC17" i="14"/>
  <c r="Z17" i="14"/>
  <c r="P14" i="14"/>
  <c r="AC12" i="14"/>
  <c r="Z12" i="14"/>
  <c r="R12" i="14"/>
  <c r="AC11" i="14"/>
  <c r="Z11" i="14"/>
  <c r="S11" i="14"/>
  <c r="AC10" i="14"/>
  <c r="Z10" i="14"/>
  <c r="Q10" i="14"/>
  <c r="AC9" i="14"/>
  <c r="Z9" i="14"/>
  <c r="R9" i="14"/>
  <c r="AC8" i="14"/>
  <c r="Z8" i="14"/>
  <c r="R8" i="14"/>
  <c r="AC7" i="14"/>
  <c r="Z7" i="14"/>
  <c r="S7" i="14"/>
  <c r="AC6" i="14"/>
  <c r="Z6" i="14"/>
  <c r="R6" i="14"/>
  <c r="AC5" i="14"/>
  <c r="Z5" i="14"/>
  <c r="S5" i="14"/>
  <c r="AC4" i="14"/>
  <c r="Z4" i="14"/>
  <c r="R4" i="14"/>
  <c r="AC3" i="14"/>
  <c r="Z3" i="14"/>
  <c r="R3" i="14"/>
  <c r="AC2" i="14"/>
  <c r="Z2" i="14"/>
  <c r="Q2" i="14"/>
  <c r="P29" i="13"/>
  <c r="P28" i="13"/>
  <c r="P27" i="13"/>
  <c r="P26" i="13"/>
  <c r="C35" i="13"/>
  <c r="J25" i="13"/>
  <c r="J24" i="13"/>
  <c r="AC19" i="13"/>
  <c r="Z19" i="13"/>
  <c r="AC18" i="13"/>
  <c r="Z18" i="13"/>
  <c r="AC17" i="13"/>
  <c r="Z17" i="13"/>
  <c r="AC11" i="13"/>
  <c r="Z11" i="13"/>
  <c r="AC10" i="13"/>
  <c r="Z10" i="13"/>
  <c r="Q10" i="13"/>
  <c r="AC9" i="13"/>
  <c r="Z9" i="13"/>
  <c r="AC8" i="13"/>
  <c r="Z8" i="13"/>
  <c r="Q8" i="13"/>
  <c r="AC7" i="13"/>
  <c r="Z7" i="13"/>
  <c r="Q7" i="13"/>
  <c r="AC6" i="13"/>
  <c r="Z6" i="13"/>
  <c r="Q6" i="13"/>
  <c r="AC5" i="13"/>
  <c r="Z5" i="13"/>
  <c r="Q5" i="13"/>
  <c r="AC4" i="13"/>
  <c r="Z4" i="13"/>
  <c r="Q4" i="13"/>
  <c r="AC3" i="13"/>
  <c r="Z3" i="13"/>
  <c r="AC2" i="13"/>
  <c r="Z2" i="13"/>
  <c r="C38" i="22"/>
  <c r="P29" i="22"/>
  <c r="P30" i="22"/>
  <c r="J28" i="22"/>
  <c r="J27" i="22"/>
  <c r="AC25" i="22"/>
  <c r="Z25" i="22"/>
  <c r="AC24" i="22"/>
  <c r="Z24" i="22"/>
  <c r="AC23" i="22"/>
  <c r="Z23" i="22"/>
  <c r="AC22" i="22"/>
  <c r="Z22" i="22"/>
  <c r="AC21" i="22"/>
  <c r="Z21" i="22"/>
  <c r="T15" i="22"/>
  <c r="AC13" i="22"/>
  <c r="Z13" i="22"/>
  <c r="AC12" i="22"/>
  <c r="Z12" i="22"/>
  <c r="AC11" i="22"/>
  <c r="Z11" i="22"/>
  <c r="AC10" i="22"/>
  <c r="Z10" i="22"/>
  <c r="AC9" i="22"/>
  <c r="Z9" i="22"/>
  <c r="S9" i="22"/>
  <c r="AC8" i="22"/>
  <c r="Z8" i="22"/>
  <c r="R8" i="22"/>
  <c r="AC7" i="22"/>
  <c r="Z7" i="22"/>
  <c r="Q7" i="22"/>
  <c r="AC6" i="22"/>
  <c r="Z6" i="22"/>
  <c r="R6" i="22"/>
  <c r="AC5" i="22"/>
  <c r="Z5" i="22"/>
  <c r="AC4" i="22"/>
  <c r="Z4" i="22"/>
  <c r="S4" i="22"/>
  <c r="AC3" i="22"/>
  <c r="Z3" i="22"/>
  <c r="AC2" i="22"/>
  <c r="Z2" i="22"/>
  <c r="C34" i="12"/>
  <c r="P27" i="12"/>
  <c r="P26" i="12"/>
  <c r="P25" i="12"/>
  <c r="J24" i="12"/>
  <c r="J23" i="12"/>
  <c r="AC21" i="12"/>
  <c r="Z21" i="12"/>
  <c r="AC20" i="12"/>
  <c r="Z20" i="12"/>
  <c r="AC19" i="12"/>
  <c r="Z19" i="12"/>
  <c r="AC18" i="12"/>
  <c r="Z18" i="12"/>
  <c r="AC17" i="12"/>
  <c r="Z17" i="12"/>
  <c r="AC13" i="12"/>
  <c r="Z13" i="12"/>
  <c r="AC12" i="12"/>
  <c r="Z12" i="12"/>
  <c r="AC11" i="12"/>
  <c r="Z11" i="12"/>
  <c r="S11" i="12"/>
  <c r="AC10" i="12"/>
  <c r="Z10" i="12"/>
  <c r="R10" i="12"/>
  <c r="AC8" i="12"/>
  <c r="Z8" i="12"/>
  <c r="Q8" i="12"/>
  <c r="AC7" i="12"/>
  <c r="Z7" i="12"/>
  <c r="R7" i="12"/>
  <c r="AC6" i="12"/>
  <c r="Z6" i="12"/>
  <c r="S6" i="12"/>
  <c r="AC5" i="12"/>
  <c r="Z5" i="12"/>
  <c r="Q5" i="12"/>
  <c r="AC4" i="12"/>
  <c r="Z4" i="12"/>
  <c r="R4" i="12"/>
  <c r="AC3" i="12"/>
  <c r="Z3" i="12"/>
  <c r="AC2" i="12"/>
  <c r="Z2" i="12"/>
  <c r="P21" i="9"/>
  <c r="P26" i="11"/>
  <c r="P25" i="11"/>
  <c r="J24" i="11"/>
  <c r="J23" i="11"/>
  <c r="C34" i="11"/>
  <c r="AC19" i="11"/>
  <c r="Z19" i="11"/>
  <c r="AC18" i="11"/>
  <c r="Z18" i="11"/>
  <c r="AC17" i="11"/>
  <c r="Z17" i="11"/>
  <c r="AC13" i="11"/>
  <c r="Z13" i="11"/>
  <c r="AC12" i="11"/>
  <c r="Z12" i="11"/>
  <c r="AC11" i="11"/>
  <c r="Z11" i="11"/>
  <c r="AC10" i="11"/>
  <c r="Z10" i="11"/>
  <c r="Q10" i="11"/>
  <c r="AC9" i="11"/>
  <c r="Z9" i="11"/>
  <c r="AC8" i="11"/>
  <c r="Z8" i="11"/>
  <c r="Q8" i="11"/>
  <c r="AC7" i="11"/>
  <c r="Z7" i="11"/>
  <c r="R7" i="11"/>
  <c r="AC6" i="11"/>
  <c r="Z6" i="11"/>
  <c r="R6" i="11"/>
  <c r="AC5" i="11"/>
  <c r="Z5" i="11"/>
  <c r="S5" i="11"/>
  <c r="AC4" i="11"/>
  <c r="Z4" i="11"/>
  <c r="AC3" i="11"/>
  <c r="Z3" i="11"/>
  <c r="S3" i="11"/>
  <c r="AC2" i="11"/>
  <c r="Z2" i="11"/>
  <c r="Q2" i="11"/>
  <c r="C34" i="10"/>
  <c r="P26" i="10"/>
  <c r="P27" i="10"/>
  <c r="P25" i="10"/>
  <c r="J24" i="10"/>
  <c r="J23" i="10"/>
  <c r="AC20" i="10"/>
  <c r="Z20" i="10"/>
  <c r="AC18" i="10"/>
  <c r="Z18" i="10"/>
  <c r="AC17" i="10"/>
  <c r="Z17" i="10"/>
  <c r="AC16" i="10"/>
  <c r="Z16" i="10"/>
  <c r="AC15" i="10"/>
  <c r="Z15" i="10"/>
  <c r="AC14" i="10"/>
  <c r="Z14" i="10"/>
  <c r="AC11" i="10"/>
  <c r="Z11" i="10"/>
  <c r="AC10" i="10"/>
  <c r="Z10" i="10"/>
  <c r="AC9" i="10"/>
  <c r="Z9" i="10"/>
  <c r="AC8" i="10"/>
  <c r="Z8" i="10"/>
  <c r="AC7" i="10"/>
  <c r="Z7" i="10"/>
  <c r="R7" i="10"/>
  <c r="AC6" i="10"/>
  <c r="Z6" i="10"/>
  <c r="Q6" i="10"/>
  <c r="AC5" i="10"/>
  <c r="Z5" i="10"/>
  <c r="R5" i="10"/>
  <c r="AC4" i="10"/>
  <c r="Z4" i="10"/>
  <c r="T4" i="10"/>
  <c r="AC3" i="10"/>
  <c r="Z3" i="10"/>
  <c r="AC2" i="10"/>
  <c r="Z2" i="10"/>
  <c r="P22" i="9"/>
  <c r="P27" i="8"/>
  <c r="P26" i="8"/>
  <c r="P25" i="8"/>
  <c r="J24" i="8"/>
  <c r="J23" i="8"/>
  <c r="AC21" i="8"/>
  <c r="Z21" i="8"/>
  <c r="AC20" i="8"/>
  <c r="Z20" i="8"/>
  <c r="AC19" i="8"/>
  <c r="Z19" i="8"/>
  <c r="AC18" i="8"/>
  <c r="Z18" i="8"/>
  <c r="AC17" i="8"/>
  <c r="Z17" i="8"/>
  <c r="AC16" i="8"/>
  <c r="Z16" i="8"/>
  <c r="AC15" i="8"/>
  <c r="Z15" i="8"/>
  <c r="AC14" i="8"/>
  <c r="Z14" i="8"/>
  <c r="S12" i="8"/>
  <c r="T12" i="8" s="1"/>
  <c r="AC10" i="8"/>
  <c r="Z10" i="8"/>
  <c r="AC9" i="8"/>
  <c r="Z9" i="8"/>
  <c r="AC8" i="8"/>
  <c r="Z8" i="8"/>
  <c r="AC6" i="8"/>
  <c r="Z6" i="8"/>
  <c r="AC5" i="8"/>
  <c r="Z5" i="8"/>
  <c r="Q5" i="8"/>
  <c r="AC4" i="8"/>
  <c r="Z4" i="8"/>
  <c r="Q4" i="8"/>
  <c r="AC3" i="8"/>
  <c r="Z3" i="8"/>
  <c r="Q3" i="8"/>
  <c r="AC2" i="8"/>
  <c r="Z2" i="8"/>
  <c r="J24" i="7"/>
  <c r="J26" i="6"/>
  <c r="P25" i="5"/>
  <c r="P24" i="5"/>
  <c r="J23" i="5"/>
  <c r="J22" i="5"/>
  <c r="AC20" i="5"/>
  <c r="Z20" i="5"/>
  <c r="AC19" i="5"/>
  <c r="Z19" i="5"/>
  <c r="AC18" i="5"/>
  <c r="Z18" i="5"/>
  <c r="S16" i="5"/>
  <c r="T16" i="5" s="1"/>
  <c r="AC13" i="5"/>
  <c r="Z13" i="5"/>
  <c r="AC12" i="5"/>
  <c r="Z12" i="5"/>
  <c r="S12" i="5"/>
  <c r="AC10" i="5"/>
  <c r="Z10" i="5"/>
  <c r="AC9" i="5"/>
  <c r="Z9" i="5"/>
  <c r="AC8" i="5"/>
  <c r="Z8" i="5"/>
  <c r="R8" i="5"/>
  <c r="AC7" i="5"/>
  <c r="Z7" i="5"/>
  <c r="S7" i="5"/>
  <c r="AC6" i="5"/>
  <c r="Z6" i="5"/>
  <c r="T6" i="5"/>
  <c r="AC5" i="5"/>
  <c r="Z5" i="5"/>
  <c r="Q5" i="5"/>
  <c r="AC4" i="5"/>
  <c r="Z4" i="5"/>
  <c r="S4" i="5"/>
  <c r="AC3" i="5"/>
  <c r="Z3" i="5"/>
  <c r="AC2" i="5"/>
  <c r="Z2" i="5"/>
  <c r="S2" i="5"/>
  <c r="P27" i="30" l="1"/>
  <c r="P26" i="30"/>
  <c r="D59" i="4"/>
  <c r="C59" i="4"/>
  <c r="E59" i="4" s="1"/>
  <c r="C34" i="4"/>
  <c r="J24" i="4"/>
  <c r="D68" i="3"/>
  <c r="C68" i="3"/>
  <c r="E68" i="3" s="1"/>
  <c r="C42" i="3"/>
  <c r="C39" i="3"/>
  <c r="J29" i="3"/>
  <c r="D60" i="2"/>
  <c r="C60" i="2"/>
  <c r="E60" i="2" s="1"/>
  <c r="C40" i="2"/>
  <c r="C37" i="2"/>
  <c r="J27" i="2"/>
  <c r="D64" i="1"/>
  <c r="C64" i="1"/>
  <c r="E64" i="1" s="1"/>
  <c r="C36" i="1"/>
  <c r="C33" i="1"/>
  <c r="J23" i="1"/>
  <c r="J23" i="4"/>
  <c r="P26" i="4"/>
  <c r="P25" i="4"/>
  <c r="Z22" i="3"/>
  <c r="AC22" i="3"/>
  <c r="P24" i="1"/>
  <c r="P25" i="1"/>
  <c r="S16" i="9"/>
  <c r="T16" i="9" s="1"/>
  <c r="S15" i="30"/>
  <c r="T15" i="30" s="1"/>
  <c r="S14" i="4"/>
  <c r="T14" i="4" s="1"/>
  <c r="S12" i="1"/>
  <c r="T12" i="1" s="1"/>
  <c r="S17" i="2"/>
  <c r="T17" i="2" s="1"/>
  <c r="C36" i="6"/>
  <c r="J25" i="6"/>
  <c r="AC22" i="6"/>
  <c r="Z22" i="6"/>
  <c r="AC21" i="6"/>
  <c r="Z21" i="6"/>
  <c r="AC20" i="6"/>
  <c r="Z20" i="6"/>
  <c r="AC19" i="6"/>
  <c r="Z19" i="6"/>
  <c r="AC18" i="6"/>
  <c r="Z18" i="6"/>
  <c r="T15" i="6"/>
  <c r="AC13" i="6"/>
  <c r="Z13" i="6"/>
  <c r="AC12" i="6"/>
  <c r="Z12" i="6"/>
  <c r="Q12" i="6"/>
  <c r="AC11" i="6"/>
  <c r="Z11" i="6"/>
  <c r="Q11" i="6"/>
  <c r="AC10" i="6"/>
  <c r="Z10" i="6"/>
  <c r="R10" i="6"/>
  <c r="AC9" i="6"/>
  <c r="Z9" i="6"/>
  <c r="Q9" i="6"/>
  <c r="AC8" i="6"/>
  <c r="Z8" i="6"/>
  <c r="S8" i="6"/>
  <c r="AC7" i="6"/>
  <c r="Z7" i="6"/>
  <c r="R7" i="6"/>
  <c r="AC6" i="6"/>
  <c r="Z6" i="6"/>
  <c r="R6" i="6"/>
  <c r="S6" i="6" s="1"/>
  <c r="Q6" i="6"/>
  <c r="Q27" i="6" s="1"/>
  <c r="P6" i="6"/>
  <c r="P28" i="6" s="1"/>
  <c r="AC5" i="6"/>
  <c r="Z5" i="6"/>
  <c r="R5" i="6"/>
  <c r="AC4" i="6"/>
  <c r="Z4" i="6"/>
  <c r="S4" i="6"/>
  <c r="AC3" i="6"/>
  <c r="Z3" i="6"/>
  <c r="Q3" i="6"/>
  <c r="AC2" i="6"/>
  <c r="Z2" i="6"/>
  <c r="S14" i="7"/>
  <c r="P27" i="6" l="1"/>
  <c r="Q28" i="6"/>
  <c r="P28" i="7"/>
  <c r="C34" i="7"/>
  <c r="P27" i="7"/>
  <c r="P26" i="7"/>
  <c r="P25" i="7"/>
  <c r="J23" i="7"/>
  <c r="AC20" i="7"/>
  <c r="Z20" i="7"/>
  <c r="AC19" i="7"/>
  <c r="Z19" i="7"/>
  <c r="AC18" i="7"/>
  <c r="Z18" i="7"/>
  <c r="AC17" i="7"/>
  <c r="Z17" i="7"/>
  <c r="AC16" i="7"/>
  <c r="Z16" i="7"/>
  <c r="T14" i="7"/>
  <c r="AC11" i="7"/>
  <c r="Z11" i="7"/>
  <c r="AC10" i="7"/>
  <c r="Z10" i="7"/>
  <c r="AC9" i="7"/>
  <c r="Z9" i="7"/>
  <c r="AC8" i="7"/>
  <c r="Z8" i="7"/>
  <c r="AC7" i="7"/>
  <c r="Z7" i="7"/>
  <c r="R7" i="7"/>
  <c r="AC6" i="7"/>
  <c r="Z6" i="7"/>
  <c r="Q6" i="7"/>
  <c r="AC5" i="7"/>
  <c r="Z5" i="7"/>
  <c r="R5" i="7"/>
  <c r="AC4" i="7"/>
  <c r="Z4" i="7"/>
  <c r="R4" i="7"/>
  <c r="AC3" i="7"/>
  <c r="Z3" i="7"/>
  <c r="AC2" i="7"/>
  <c r="Z2" i="7"/>
  <c r="Q4" i="24"/>
  <c r="R4" i="24" s="1"/>
  <c r="P4" i="24"/>
  <c r="S13" i="24"/>
  <c r="J25" i="24"/>
  <c r="J24" i="24"/>
  <c r="AC4" i="24"/>
  <c r="Z4" i="24"/>
  <c r="AC22" i="24"/>
  <c r="Z22" i="24"/>
  <c r="AC21" i="24"/>
  <c r="Z21" i="24"/>
  <c r="AC19" i="24"/>
  <c r="Z19" i="24"/>
  <c r="AC18" i="24"/>
  <c r="Z18" i="24"/>
  <c r="AC17" i="24"/>
  <c r="Z17" i="24"/>
  <c r="AC16" i="24"/>
  <c r="Z16" i="24"/>
  <c r="T13" i="24"/>
  <c r="P12" i="24"/>
  <c r="AC11" i="24"/>
  <c r="Z11" i="24"/>
  <c r="AC10" i="24"/>
  <c r="Z10" i="24"/>
  <c r="AC9" i="24"/>
  <c r="Z9" i="24"/>
  <c r="S9" i="24"/>
  <c r="AC8" i="24"/>
  <c r="Z8" i="24"/>
  <c r="R8" i="24"/>
  <c r="AC7" i="24"/>
  <c r="Z7" i="24"/>
  <c r="Q7" i="24"/>
  <c r="AC6" i="24"/>
  <c r="Z6" i="24"/>
  <c r="Q6" i="24"/>
  <c r="AC5" i="24"/>
  <c r="Z5" i="24"/>
  <c r="Q5" i="24"/>
  <c r="AC3" i="24"/>
  <c r="Z3" i="24"/>
  <c r="AC2" i="24"/>
  <c r="Z2" i="24"/>
  <c r="T13" i="25" l="1"/>
  <c r="P26" i="26" l="1"/>
  <c r="J25" i="26"/>
  <c r="J24" i="26"/>
  <c r="AC22" i="26"/>
  <c r="Z22" i="26"/>
  <c r="AC21" i="26"/>
  <c r="Z21" i="26"/>
  <c r="AC20" i="26"/>
  <c r="Z20" i="26"/>
  <c r="AC19" i="26"/>
  <c r="Z19" i="26"/>
  <c r="AC18" i="26"/>
  <c r="Z18" i="26"/>
  <c r="Q14" i="26"/>
  <c r="P14" i="26"/>
  <c r="P27" i="26" s="1"/>
  <c r="AC13" i="26"/>
  <c r="Z13" i="26"/>
  <c r="AC12" i="26"/>
  <c r="Z12" i="26"/>
  <c r="S12" i="26"/>
  <c r="AC10" i="26"/>
  <c r="Z10" i="26"/>
  <c r="S10" i="26"/>
  <c r="AC9" i="26"/>
  <c r="Z9" i="26"/>
  <c r="R9" i="26"/>
  <c r="AC8" i="26"/>
  <c r="Z8" i="26"/>
  <c r="Q8" i="26"/>
  <c r="AC7" i="26"/>
  <c r="Z7" i="26"/>
  <c r="Q7" i="26"/>
  <c r="AC6" i="26"/>
  <c r="Z6" i="26"/>
  <c r="Q6" i="26"/>
  <c r="AC5" i="26"/>
  <c r="Z5" i="26"/>
  <c r="T5" i="26"/>
  <c r="AC4" i="26"/>
  <c r="Z4" i="26"/>
  <c r="Q4" i="26"/>
  <c r="AC3" i="26"/>
  <c r="Z3" i="26"/>
  <c r="Q3" i="26"/>
  <c r="AC2" i="26"/>
  <c r="Z2" i="26"/>
  <c r="J27" i="29"/>
  <c r="J26" i="29"/>
  <c r="P28" i="29"/>
  <c r="P27" i="29"/>
  <c r="AC22" i="29"/>
  <c r="Z22" i="29"/>
  <c r="AC21" i="29"/>
  <c r="Z21" i="29"/>
  <c r="AC20" i="29"/>
  <c r="Z20" i="29"/>
  <c r="AC19" i="29"/>
  <c r="Z19" i="29"/>
  <c r="AC18" i="29"/>
  <c r="Z18" i="29"/>
  <c r="AC17" i="29"/>
  <c r="Z17" i="29"/>
  <c r="T14" i="29"/>
  <c r="AC12" i="29"/>
  <c r="Z12" i="29"/>
  <c r="AC11" i="29"/>
  <c r="Z11" i="29"/>
  <c r="AC10" i="29"/>
  <c r="Z10" i="29"/>
  <c r="AC9" i="29"/>
  <c r="Z9" i="29"/>
  <c r="R9" i="29"/>
  <c r="AC8" i="29"/>
  <c r="Z8" i="29"/>
  <c r="R8" i="29"/>
  <c r="AC7" i="29"/>
  <c r="Z7" i="29"/>
  <c r="R7" i="29"/>
  <c r="AC6" i="29"/>
  <c r="Z6" i="29"/>
  <c r="S6" i="29"/>
  <c r="AC5" i="29"/>
  <c r="Z5" i="29"/>
  <c r="Q5" i="29"/>
  <c r="AC4" i="29"/>
  <c r="Z4" i="29"/>
  <c r="R4" i="29"/>
  <c r="AC3" i="29"/>
  <c r="Z3" i="29"/>
  <c r="AC2" i="29"/>
  <c r="Z2" i="29"/>
  <c r="J28" i="3"/>
  <c r="AC23" i="3"/>
  <c r="Z23" i="3"/>
  <c r="AC21" i="3"/>
  <c r="Z21" i="3"/>
  <c r="AC20" i="3"/>
  <c r="Z20" i="3"/>
  <c r="AC19" i="3"/>
  <c r="Z19" i="3"/>
  <c r="T16" i="3"/>
  <c r="AC14" i="3"/>
  <c r="Z14" i="3"/>
  <c r="AC13" i="3"/>
  <c r="Z13" i="3"/>
  <c r="AC12" i="3"/>
  <c r="Z12" i="3"/>
  <c r="AC11" i="3"/>
  <c r="Z11" i="3"/>
  <c r="AC10" i="3"/>
  <c r="Z10" i="3"/>
  <c r="AC9" i="3"/>
  <c r="Z9" i="3"/>
  <c r="Q9" i="3"/>
  <c r="AC8" i="3"/>
  <c r="Z8" i="3"/>
  <c r="Q8" i="3"/>
  <c r="AC7" i="3"/>
  <c r="Z7" i="3"/>
  <c r="S7" i="3"/>
  <c r="AC6" i="3"/>
  <c r="Z6" i="3"/>
  <c r="R6" i="3"/>
  <c r="AC5" i="3"/>
  <c r="Z5" i="3"/>
  <c r="R5" i="3"/>
  <c r="AC4" i="3"/>
  <c r="Z4" i="3"/>
  <c r="S4" i="3"/>
  <c r="AC3" i="3"/>
  <c r="Z3" i="3"/>
  <c r="R3" i="3"/>
  <c r="Q3" i="3"/>
  <c r="P3" i="3"/>
  <c r="P30" i="3" s="1"/>
  <c r="AC2" i="3"/>
  <c r="Z2" i="3"/>
  <c r="J26" i="2"/>
  <c r="AC24" i="2"/>
  <c r="Z24" i="2"/>
  <c r="AC23" i="2"/>
  <c r="Z23" i="2"/>
  <c r="AC22" i="2"/>
  <c r="Z22" i="2"/>
  <c r="T19" i="2"/>
  <c r="T18" i="2"/>
  <c r="S16" i="2"/>
  <c r="R16" i="2"/>
  <c r="Q16" i="2"/>
  <c r="P16" i="2"/>
  <c r="AC15" i="2"/>
  <c r="Z15" i="2"/>
  <c r="AC14" i="2"/>
  <c r="Z14" i="2"/>
  <c r="AC13" i="2"/>
  <c r="Z13" i="2"/>
  <c r="AC12" i="2"/>
  <c r="Z12" i="2"/>
  <c r="R12" i="2"/>
  <c r="AC11" i="2"/>
  <c r="Z11" i="2"/>
  <c r="S11" i="2"/>
  <c r="AC10" i="2"/>
  <c r="Z10" i="2"/>
  <c r="Q10" i="2"/>
  <c r="AC9" i="2"/>
  <c r="Z9" i="2"/>
  <c r="S9" i="2"/>
  <c r="AC8" i="2"/>
  <c r="Z8" i="2"/>
  <c r="Q8" i="2"/>
  <c r="AC7" i="2"/>
  <c r="Z7" i="2"/>
  <c r="Q7" i="2"/>
  <c r="AC6" i="2"/>
  <c r="Z6" i="2"/>
  <c r="Q6" i="2"/>
  <c r="V10" i="2" s="1"/>
  <c r="AC5" i="2"/>
  <c r="Z5" i="2"/>
  <c r="R5" i="2"/>
  <c r="AC4" i="2"/>
  <c r="Z4" i="2"/>
  <c r="AC3" i="2"/>
  <c r="Z3" i="2"/>
  <c r="AC2" i="2"/>
  <c r="Z2" i="2"/>
  <c r="P29" i="2" l="1"/>
  <c r="P28" i="2"/>
  <c r="P31" i="2"/>
  <c r="P30" i="2"/>
  <c r="P31" i="3"/>
  <c r="P25" i="26"/>
  <c r="J20" i="9"/>
  <c r="J19" i="9"/>
  <c r="AC14" i="9"/>
  <c r="Z14" i="9"/>
  <c r="AC13" i="9"/>
  <c r="Z13" i="9"/>
  <c r="AC12" i="9"/>
  <c r="Z12" i="9"/>
  <c r="AC11" i="9"/>
  <c r="Z11" i="9"/>
  <c r="AC10" i="9"/>
  <c r="Z10" i="9"/>
  <c r="AC9" i="9"/>
  <c r="Z9" i="9"/>
  <c r="AC8" i="9"/>
  <c r="Z8" i="9"/>
  <c r="AC7" i="9"/>
  <c r="Z7" i="9"/>
  <c r="AC6" i="9"/>
  <c r="Z6" i="9"/>
  <c r="R6" i="9"/>
  <c r="AC5" i="9"/>
  <c r="Z5" i="9"/>
  <c r="T5" i="9"/>
  <c r="AC4" i="9"/>
  <c r="Z4" i="9"/>
  <c r="AC3" i="9"/>
  <c r="Z3" i="9"/>
  <c r="AC2" i="9"/>
  <c r="Z2" i="9"/>
  <c r="J25" i="20"/>
  <c r="J24" i="20"/>
  <c r="AC22" i="20"/>
  <c r="Z22" i="20"/>
  <c r="AC21" i="20"/>
  <c r="Z21" i="20"/>
  <c r="AC20" i="20"/>
  <c r="Z20" i="20"/>
  <c r="AC19" i="20"/>
  <c r="Z19" i="20"/>
  <c r="AC18" i="20"/>
  <c r="Z18" i="20"/>
  <c r="T15" i="20"/>
  <c r="R14" i="20"/>
  <c r="Q14" i="20"/>
  <c r="P14" i="20"/>
  <c r="P27" i="20" s="1"/>
  <c r="AC13" i="20"/>
  <c r="Z13" i="20"/>
  <c r="AC12" i="20"/>
  <c r="Z12" i="20"/>
  <c r="AC11" i="20"/>
  <c r="Z11" i="20"/>
  <c r="AC10" i="20"/>
  <c r="Z10" i="20"/>
  <c r="AC9" i="20"/>
  <c r="Z9" i="20"/>
  <c r="AC8" i="20"/>
  <c r="Z8" i="20"/>
  <c r="AC7" i="20"/>
  <c r="Z7" i="20"/>
  <c r="S7" i="20"/>
  <c r="AC6" i="20"/>
  <c r="Z6" i="20"/>
  <c r="Q6" i="20"/>
  <c r="AC5" i="20"/>
  <c r="Z5" i="20"/>
  <c r="R5" i="20"/>
  <c r="AC4" i="20"/>
  <c r="Z4" i="20"/>
  <c r="Q4" i="20"/>
  <c r="AC3" i="20"/>
  <c r="Z3" i="20"/>
  <c r="AC2" i="20"/>
  <c r="Z2" i="20"/>
  <c r="P30" i="25"/>
  <c r="P29" i="25"/>
  <c r="J27" i="25"/>
  <c r="J26" i="25"/>
  <c r="AC24" i="25"/>
  <c r="Z24" i="25"/>
  <c r="AC22" i="25"/>
  <c r="Z22" i="25"/>
  <c r="AC21" i="25"/>
  <c r="Z21" i="25"/>
  <c r="AC20" i="25"/>
  <c r="Z20" i="25"/>
  <c r="AC19" i="25"/>
  <c r="Z19" i="25"/>
  <c r="AC18" i="25"/>
  <c r="Z18" i="25"/>
  <c r="AC11" i="25"/>
  <c r="Z11" i="25"/>
  <c r="AC10" i="25"/>
  <c r="Z10" i="25"/>
  <c r="AC9" i="25"/>
  <c r="Z9" i="25"/>
  <c r="Q9" i="25"/>
  <c r="AC8" i="25"/>
  <c r="Z8" i="25"/>
  <c r="Q8" i="25"/>
  <c r="AC7" i="25"/>
  <c r="Z7" i="25"/>
  <c r="Q7" i="25"/>
  <c r="AC6" i="25"/>
  <c r="Z6" i="25"/>
  <c r="Q6" i="25"/>
  <c r="AC5" i="25"/>
  <c r="Z5" i="25"/>
  <c r="R5" i="25"/>
  <c r="AC4" i="25"/>
  <c r="Z4" i="25"/>
  <c r="R4" i="25"/>
  <c r="AC3" i="25"/>
  <c r="Z3" i="25"/>
  <c r="S3" i="25"/>
  <c r="AC2" i="25"/>
  <c r="Z2" i="25"/>
  <c r="T2" i="25"/>
  <c r="P25" i="20" l="1"/>
  <c r="P26" i="20"/>
  <c r="P18" i="30"/>
  <c r="J25" i="30"/>
  <c r="J24" i="30"/>
  <c r="G24" i="30"/>
  <c r="H2" i="30" s="1"/>
  <c r="AC22" i="30"/>
  <c r="Z22" i="30"/>
  <c r="AC21" i="30"/>
  <c r="Z21" i="30"/>
  <c r="AC20" i="30"/>
  <c r="Z20" i="30"/>
  <c r="AC19" i="30"/>
  <c r="Z19" i="30"/>
  <c r="AC18" i="30"/>
  <c r="Z18" i="30"/>
  <c r="AC13" i="30"/>
  <c r="Z13" i="30"/>
  <c r="AC12" i="30"/>
  <c r="Z12" i="30"/>
  <c r="Q12" i="30"/>
  <c r="AC11" i="30"/>
  <c r="Z11" i="30"/>
  <c r="R11" i="30"/>
  <c r="AC10" i="30"/>
  <c r="Z10" i="30"/>
  <c r="R10" i="30"/>
  <c r="AC9" i="30"/>
  <c r="Z9" i="30"/>
  <c r="R9" i="30"/>
  <c r="AC8" i="30"/>
  <c r="Z8" i="30"/>
  <c r="S8" i="30"/>
  <c r="AC7" i="30"/>
  <c r="Z7" i="30"/>
  <c r="Q7" i="30"/>
  <c r="AC6" i="30"/>
  <c r="Z6" i="30"/>
  <c r="Q6" i="30"/>
  <c r="AC5" i="30"/>
  <c r="Z5" i="30"/>
  <c r="R5" i="30"/>
  <c r="AC4" i="30"/>
  <c r="Z4" i="30"/>
  <c r="R4" i="30"/>
  <c r="AC3" i="30"/>
  <c r="Z3" i="30"/>
  <c r="R3" i="30"/>
  <c r="AC2" i="30"/>
  <c r="Z2" i="30"/>
  <c r="H6" i="30" l="1"/>
  <c r="H22" i="30"/>
  <c r="H18" i="30"/>
  <c r="H13" i="30"/>
  <c r="H9" i="30"/>
  <c r="H5" i="30"/>
  <c r="H21" i="30"/>
  <c r="H12" i="30"/>
  <c r="H8" i="30"/>
  <c r="H4" i="30"/>
  <c r="H19" i="30"/>
  <c r="H10" i="30"/>
  <c r="H20" i="30"/>
  <c r="H11" i="30"/>
  <c r="H7" i="30"/>
  <c r="H3" i="30"/>
  <c r="P27" i="4"/>
  <c r="AC20" i="4"/>
  <c r="Z20" i="4"/>
  <c r="AC19" i="4"/>
  <c r="Z19" i="4"/>
  <c r="AC18" i="4"/>
  <c r="Z18" i="4"/>
  <c r="AC11" i="4"/>
  <c r="Z11" i="4"/>
  <c r="AC10" i="4"/>
  <c r="Z10" i="4"/>
  <c r="AC9" i="4"/>
  <c r="Z9" i="4"/>
  <c r="AC8" i="4"/>
  <c r="Z8" i="4"/>
  <c r="AC7" i="4"/>
  <c r="Z7" i="4"/>
  <c r="AC6" i="4"/>
  <c r="Z6" i="4"/>
  <c r="AC5" i="4"/>
  <c r="Z5" i="4"/>
  <c r="AC4" i="4"/>
  <c r="Z4" i="4"/>
  <c r="Q4" i="4"/>
  <c r="AC3" i="4"/>
  <c r="Z3" i="4"/>
  <c r="R3" i="4"/>
  <c r="AC2" i="4"/>
  <c r="Z2" i="4"/>
  <c r="Q2" i="4"/>
  <c r="H24" i="30" l="1"/>
  <c r="H25" i="30"/>
  <c r="P18" i="1"/>
  <c r="P17" i="1"/>
  <c r="P16" i="1"/>
  <c r="P15" i="1"/>
  <c r="J22" i="1"/>
  <c r="AC20" i="1"/>
  <c r="Z20" i="1"/>
  <c r="AC19" i="1"/>
  <c r="Z19" i="1"/>
  <c r="AC18" i="1"/>
  <c r="Z18" i="1"/>
  <c r="AC17" i="1"/>
  <c r="Z17" i="1"/>
  <c r="AC16" i="1"/>
  <c r="Z16" i="1"/>
  <c r="AC15" i="1"/>
  <c r="Z15" i="1"/>
  <c r="AC10" i="1"/>
  <c r="Z10" i="1"/>
  <c r="AC9" i="1"/>
  <c r="Z9" i="1"/>
  <c r="AC8" i="1"/>
  <c r="Z8" i="1"/>
  <c r="R8" i="1"/>
  <c r="AC7" i="1"/>
  <c r="Z7" i="1"/>
  <c r="Q7" i="1"/>
  <c r="AC6" i="1"/>
  <c r="Z6" i="1"/>
  <c r="S6" i="1"/>
  <c r="AC5" i="1"/>
  <c r="Z5" i="1"/>
  <c r="R5" i="1"/>
  <c r="AC4" i="1"/>
  <c r="Z4" i="1"/>
  <c r="S4" i="1"/>
  <c r="AC3" i="1"/>
  <c r="Z3" i="1"/>
  <c r="R3" i="1"/>
  <c r="AC2" i="1"/>
  <c r="Z2" i="1"/>
  <c r="S2" i="1"/>
  <c r="D60" i="6" l="1"/>
  <c r="C60" i="6"/>
  <c r="E60" i="6" l="1"/>
  <c r="C59" i="28" l="1"/>
  <c r="D59" i="28"/>
  <c r="C40" i="25"/>
  <c r="C41" i="22"/>
  <c r="C41" i="18"/>
  <c r="C38" i="17"/>
  <c r="C35" i="17"/>
  <c r="C37" i="15"/>
  <c r="C37" i="14"/>
  <c r="C64" i="14"/>
  <c r="D64" i="14"/>
  <c r="C38" i="13"/>
  <c r="C62" i="13"/>
  <c r="D62" i="13"/>
  <c r="C37" i="10"/>
  <c r="C33" i="9"/>
  <c r="C30" i="9"/>
  <c r="C37" i="8"/>
  <c r="C34" i="8"/>
  <c r="C37" i="7"/>
  <c r="C36" i="5"/>
  <c r="C33" i="5"/>
  <c r="C38" i="30"/>
  <c r="C35" i="30"/>
  <c r="D64" i="12"/>
  <c r="C64" i="12"/>
  <c r="G23" i="11"/>
  <c r="G23" i="10"/>
  <c r="E59" i="28" l="1"/>
  <c r="E64" i="14"/>
  <c r="E62" i="13"/>
  <c r="E64" i="12"/>
  <c r="H17" i="11"/>
  <c r="H21" i="11"/>
  <c r="H19" i="11"/>
  <c r="H20" i="11"/>
  <c r="H18" i="11"/>
  <c r="H12" i="11"/>
  <c r="H13" i="11"/>
  <c r="H9" i="11"/>
  <c r="H11" i="11"/>
  <c r="H10" i="11"/>
  <c r="H4" i="11"/>
  <c r="H6" i="11"/>
  <c r="H7" i="11"/>
  <c r="H8" i="11"/>
  <c r="H5" i="11"/>
  <c r="H2" i="11"/>
  <c r="H3" i="11"/>
  <c r="H21" i="10"/>
  <c r="H19" i="10"/>
  <c r="H17" i="10"/>
  <c r="H20" i="10"/>
  <c r="H18" i="10"/>
  <c r="H14" i="10"/>
  <c r="H15" i="10"/>
  <c r="H16" i="10"/>
  <c r="H10" i="10"/>
  <c r="H11" i="10"/>
  <c r="H3" i="10"/>
  <c r="H8" i="10"/>
  <c r="H7" i="10"/>
  <c r="H6" i="10"/>
  <c r="H5" i="10"/>
  <c r="H4" i="10"/>
  <c r="H2" i="10"/>
  <c r="H9" i="10"/>
  <c r="C61" i="9"/>
  <c r="D61" i="9"/>
  <c r="C62" i="9"/>
  <c r="D62" i="9"/>
  <c r="C63" i="9"/>
  <c r="D63" i="9"/>
  <c r="C58" i="7"/>
  <c r="D58" i="7"/>
  <c r="D64" i="5"/>
  <c r="C64" i="5"/>
  <c r="D63" i="5"/>
  <c r="C63" i="5"/>
  <c r="D62" i="5"/>
  <c r="C62" i="5"/>
  <c r="C59" i="30"/>
  <c r="D59" i="30"/>
  <c r="H24" i="11" l="1"/>
  <c r="H23" i="11"/>
  <c r="H24" i="10"/>
  <c r="H23" i="10"/>
  <c r="E62" i="9"/>
  <c r="E64" i="5"/>
  <c r="E63" i="9"/>
  <c r="E58" i="7"/>
  <c r="E61" i="9"/>
  <c r="E63" i="5"/>
  <c r="E59" i="30"/>
  <c r="E62" i="5"/>
  <c r="D63" i="29"/>
  <c r="C63" i="29"/>
  <c r="G26" i="29"/>
  <c r="E63" i="29" l="1"/>
  <c r="H23" i="29"/>
  <c r="H24" i="29"/>
  <c r="H21" i="29"/>
  <c r="H22" i="29"/>
  <c r="H19" i="29"/>
  <c r="H20" i="29"/>
  <c r="H17" i="29"/>
  <c r="H18" i="29"/>
  <c r="H10" i="29"/>
  <c r="H11" i="29"/>
  <c r="H12" i="29"/>
  <c r="H4" i="29"/>
  <c r="H7" i="29"/>
  <c r="H6" i="29"/>
  <c r="H8" i="29"/>
  <c r="H5" i="29"/>
  <c r="H9" i="29"/>
  <c r="H2" i="29"/>
  <c r="H3" i="29"/>
  <c r="G23" i="28"/>
  <c r="D60" i="27"/>
  <c r="C60" i="27"/>
  <c r="G24" i="27"/>
  <c r="D57" i="26"/>
  <c r="C57" i="26"/>
  <c r="G24" i="26"/>
  <c r="D62" i="25"/>
  <c r="C62" i="25"/>
  <c r="G26" i="25"/>
  <c r="D60" i="24"/>
  <c r="C60" i="24"/>
  <c r="G24" i="24"/>
  <c r="H4" i="24" s="1"/>
  <c r="D56" i="23"/>
  <c r="C56" i="23"/>
  <c r="G22" i="23"/>
  <c r="D64" i="22"/>
  <c r="C64" i="22"/>
  <c r="G27" i="22"/>
  <c r="H25" i="22" s="1"/>
  <c r="D59" i="21"/>
  <c r="C59" i="21"/>
  <c r="G25" i="21"/>
  <c r="D67" i="20"/>
  <c r="C67" i="20"/>
  <c r="G24" i="20"/>
  <c r="D63" i="19"/>
  <c r="C63" i="19"/>
  <c r="E63" i="19" s="1"/>
  <c r="G25" i="19"/>
  <c r="H23" i="19" s="1"/>
  <c r="D68" i="18"/>
  <c r="C68" i="18"/>
  <c r="G27" i="18"/>
  <c r="D59" i="17"/>
  <c r="C59" i="17"/>
  <c r="G24" i="17"/>
  <c r="D59" i="16"/>
  <c r="C59" i="16"/>
  <c r="G23" i="16"/>
  <c r="D64" i="15"/>
  <c r="C64" i="15"/>
  <c r="E64" i="15" s="1"/>
  <c r="G23" i="15"/>
  <c r="G24" i="13"/>
  <c r="H13" i="13" s="1"/>
  <c r="G23" i="12"/>
  <c r="H21" i="12" s="1"/>
  <c r="G19" i="9"/>
  <c r="C61" i="8"/>
  <c r="G23" i="8"/>
  <c r="G23" i="7"/>
  <c r="G25" i="6"/>
  <c r="E60" i="27" l="1"/>
  <c r="H21" i="27"/>
  <c r="H22" i="27"/>
  <c r="H19" i="27"/>
  <c r="H20" i="27"/>
  <c r="H17" i="27"/>
  <c r="H18" i="27"/>
  <c r="H15" i="27"/>
  <c r="H16" i="27"/>
  <c r="H7" i="27"/>
  <c r="H8" i="27"/>
  <c r="H9" i="27"/>
  <c r="H10" i="27"/>
  <c r="H5" i="27"/>
  <c r="H6" i="27"/>
  <c r="H3" i="27"/>
  <c r="H4" i="27"/>
  <c r="H2" i="27"/>
  <c r="H17" i="23"/>
  <c r="H2" i="23"/>
  <c r="H19" i="23"/>
  <c r="H20" i="23"/>
  <c r="H18" i="23"/>
  <c r="H11" i="23"/>
  <c r="H12" i="23"/>
  <c r="H13" i="23"/>
  <c r="H10" i="23"/>
  <c r="H9" i="23"/>
  <c r="H8" i="23"/>
  <c r="H7" i="23"/>
  <c r="H6" i="23"/>
  <c r="H5" i="23"/>
  <c r="H4" i="23"/>
  <c r="H3" i="23"/>
  <c r="E56" i="23"/>
  <c r="H21" i="19"/>
  <c r="H22" i="19"/>
  <c r="H14" i="19"/>
  <c r="H15" i="19"/>
  <c r="H12" i="19"/>
  <c r="H13" i="19"/>
  <c r="H9" i="19"/>
  <c r="H8" i="19"/>
  <c r="H10" i="19"/>
  <c r="H11" i="19"/>
  <c r="H6" i="19"/>
  <c r="H7" i="19"/>
  <c r="H4" i="19"/>
  <c r="H5" i="19"/>
  <c r="H2" i="19"/>
  <c r="H3" i="19"/>
  <c r="H22" i="18"/>
  <c r="H25" i="18"/>
  <c r="H24" i="18"/>
  <c r="H23" i="18"/>
  <c r="H19" i="18"/>
  <c r="H20" i="18"/>
  <c r="H21" i="18"/>
  <c r="H17" i="18"/>
  <c r="H18" i="18"/>
  <c r="H9" i="18"/>
  <c r="H10" i="18"/>
  <c r="H6" i="18"/>
  <c r="H7" i="18"/>
  <c r="H8" i="18"/>
  <c r="H4" i="18"/>
  <c r="H5" i="18"/>
  <c r="H2" i="18"/>
  <c r="H3" i="18"/>
  <c r="H21" i="16"/>
  <c r="H19" i="16"/>
  <c r="H20" i="16"/>
  <c r="H17" i="16"/>
  <c r="H18" i="16"/>
  <c r="H12" i="16"/>
  <c r="H16" i="16"/>
  <c r="H3" i="16"/>
  <c r="H10" i="16"/>
  <c r="H11" i="16"/>
  <c r="H2" i="16"/>
  <c r="H9" i="16"/>
  <c r="H8" i="16"/>
  <c r="H7" i="16"/>
  <c r="H6" i="16"/>
  <c r="H5" i="16"/>
  <c r="H4" i="16"/>
  <c r="H20" i="21"/>
  <c r="H21" i="21"/>
  <c r="H22" i="21"/>
  <c r="H23" i="21"/>
  <c r="H18" i="21"/>
  <c r="H19" i="21"/>
  <c r="H12" i="21"/>
  <c r="H16" i="21"/>
  <c r="H11" i="21"/>
  <c r="H10" i="21"/>
  <c r="H9" i="21"/>
  <c r="H8" i="21"/>
  <c r="H5" i="21"/>
  <c r="H6" i="21"/>
  <c r="H7" i="21"/>
  <c r="H4" i="21"/>
  <c r="H3" i="21"/>
  <c r="H2" i="21"/>
  <c r="E62" i="25"/>
  <c r="H19" i="28"/>
  <c r="H20" i="28"/>
  <c r="H21" i="28"/>
  <c r="H18" i="28"/>
  <c r="H10" i="28"/>
  <c r="H12" i="28"/>
  <c r="H11" i="28"/>
  <c r="H13" i="28"/>
  <c r="H14" i="28"/>
  <c r="H8" i="28"/>
  <c r="H7" i="28"/>
  <c r="H9" i="28"/>
  <c r="H5" i="28"/>
  <c r="H6" i="28"/>
  <c r="H3" i="28"/>
  <c r="H2" i="28"/>
  <c r="H4" i="28"/>
  <c r="H21" i="17"/>
  <c r="H22" i="17"/>
  <c r="H18" i="17"/>
  <c r="H20" i="17"/>
  <c r="H19" i="17"/>
  <c r="H10" i="17"/>
  <c r="H9" i="17"/>
  <c r="H8" i="17"/>
  <c r="H7" i="17"/>
  <c r="H11" i="17"/>
  <c r="H12" i="17"/>
  <c r="H4" i="17"/>
  <c r="H6" i="17"/>
  <c r="H5" i="17"/>
  <c r="H2" i="17"/>
  <c r="H3" i="17"/>
  <c r="H21" i="15"/>
  <c r="H20" i="15"/>
  <c r="H18" i="15"/>
  <c r="H19" i="15"/>
  <c r="H16" i="15"/>
  <c r="H17" i="15"/>
  <c r="H14" i="15"/>
  <c r="H15" i="15"/>
  <c r="H8" i="15"/>
  <c r="H7" i="15"/>
  <c r="H9" i="15"/>
  <c r="H10" i="15"/>
  <c r="H5" i="15"/>
  <c r="H6" i="15"/>
  <c r="H3" i="15"/>
  <c r="H4" i="15"/>
  <c r="H2" i="15"/>
  <c r="H22" i="13"/>
  <c r="H21" i="13"/>
  <c r="H20" i="13"/>
  <c r="H17" i="13"/>
  <c r="H18" i="13"/>
  <c r="H19" i="13"/>
  <c r="H12" i="13"/>
  <c r="H8" i="13"/>
  <c r="H9" i="13"/>
  <c r="H11" i="13"/>
  <c r="H10" i="13"/>
  <c r="H5" i="13"/>
  <c r="H2" i="13"/>
  <c r="H3" i="13"/>
  <c r="H7" i="13"/>
  <c r="H6" i="13"/>
  <c r="H4" i="13"/>
  <c r="E64" i="22"/>
  <c r="H23" i="22"/>
  <c r="H24" i="22"/>
  <c r="H13" i="22"/>
  <c r="H21" i="22"/>
  <c r="H22" i="22"/>
  <c r="H10" i="22"/>
  <c r="H11" i="22"/>
  <c r="H12" i="22"/>
  <c r="H6" i="22"/>
  <c r="H7" i="22"/>
  <c r="H8" i="22"/>
  <c r="H9" i="22"/>
  <c r="H4" i="22"/>
  <c r="H5" i="22"/>
  <c r="H2" i="22"/>
  <c r="H3" i="22"/>
  <c r="H19" i="12"/>
  <c r="H20" i="12"/>
  <c r="H17" i="12"/>
  <c r="H18" i="12"/>
  <c r="H12" i="12"/>
  <c r="H13" i="12"/>
  <c r="H9" i="12"/>
  <c r="H11" i="12"/>
  <c r="H10" i="12"/>
  <c r="H7" i="12"/>
  <c r="H8" i="12"/>
  <c r="H6" i="12"/>
  <c r="H4" i="12"/>
  <c r="H5" i="12"/>
  <c r="H2" i="12"/>
  <c r="H3" i="12"/>
  <c r="H20" i="8"/>
  <c r="H21" i="8"/>
  <c r="H17" i="8"/>
  <c r="H18" i="8"/>
  <c r="H19" i="8"/>
  <c r="H14" i="8"/>
  <c r="H15" i="8"/>
  <c r="H16" i="8"/>
  <c r="H8" i="8"/>
  <c r="H9" i="8"/>
  <c r="H10" i="8"/>
  <c r="H6" i="8"/>
  <c r="H7" i="8"/>
  <c r="H4" i="8"/>
  <c r="H5" i="8"/>
  <c r="H2" i="8"/>
  <c r="H3" i="8"/>
  <c r="H23" i="6"/>
  <c r="H20" i="6"/>
  <c r="H21" i="6"/>
  <c r="H22" i="6"/>
  <c r="H18" i="6"/>
  <c r="H19" i="6"/>
  <c r="H12" i="6"/>
  <c r="H13" i="6"/>
  <c r="H9" i="6"/>
  <c r="H10" i="6"/>
  <c r="H11" i="6"/>
  <c r="H8" i="6"/>
  <c r="H4" i="6"/>
  <c r="H7" i="6"/>
  <c r="H6" i="6"/>
  <c r="H5" i="6"/>
  <c r="H3" i="6"/>
  <c r="H2" i="6"/>
  <c r="H20" i="7"/>
  <c r="H21" i="7"/>
  <c r="H17" i="7"/>
  <c r="H18" i="7"/>
  <c r="H19" i="7"/>
  <c r="H12" i="7"/>
  <c r="H16" i="7"/>
  <c r="H9" i="7"/>
  <c r="H10" i="7"/>
  <c r="H11" i="7"/>
  <c r="H7" i="7"/>
  <c r="H8" i="7"/>
  <c r="H5" i="7"/>
  <c r="H6" i="7"/>
  <c r="H3" i="7"/>
  <c r="H4" i="7"/>
  <c r="H2" i="7"/>
  <c r="E59" i="16"/>
  <c r="H18" i="24"/>
  <c r="H19" i="24"/>
  <c r="H21" i="24"/>
  <c r="H22" i="24"/>
  <c r="H20" i="24"/>
  <c r="H16" i="24"/>
  <c r="H17" i="24"/>
  <c r="H10" i="24"/>
  <c r="H11" i="24"/>
  <c r="H7" i="24"/>
  <c r="H6" i="24"/>
  <c r="H8" i="24"/>
  <c r="H5" i="24"/>
  <c r="H9" i="24"/>
  <c r="H2" i="24"/>
  <c r="H3" i="24"/>
  <c r="E57" i="26"/>
  <c r="H20" i="26"/>
  <c r="H21" i="26"/>
  <c r="H22" i="26"/>
  <c r="H18" i="26"/>
  <c r="H19" i="26"/>
  <c r="H12" i="26"/>
  <c r="H13" i="26"/>
  <c r="H10" i="26"/>
  <c r="H11" i="26"/>
  <c r="H8" i="26"/>
  <c r="H9" i="26"/>
  <c r="H6" i="26"/>
  <c r="H7" i="26"/>
  <c r="H4" i="26"/>
  <c r="H5" i="26"/>
  <c r="H2" i="26"/>
  <c r="H3" i="26"/>
  <c r="H26" i="29"/>
  <c r="H27" i="29"/>
  <c r="H14" i="9"/>
  <c r="H12" i="9"/>
  <c r="H13" i="9"/>
  <c r="H10" i="9"/>
  <c r="H11" i="9"/>
  <c r="H8" i="9"/>
  <c r="H9" i="9"/>
  <c r="H7" i="9"/>
  <c r="H6" i="9"/>
  <c r="H2" i="9"/>
  <c r="H3" i="9"/>
  <c r="H4" i="9"/>
  <c r="H5" i="9"/>
  <c r="E59" i="21"/>
  <c r="E60" i="24"/>
  <c r="E67" i="20"/>
  <c r="H20" i="20"/>
  <c r="H21" i="20"/>
  <c r="H22" i="20"/>
  <c r="H18" i="20"/>
  <c r="H19" i="20"/>
  <c r="H12" i="20"/>
  <c r="H13" i="20"/>
  <c r="H10" i="20"/>
  <c r="H11" i="20"/>
  <c r="H8" i="20"/>
  <c r="H9" i="20"/>
  <c r="H4" i="20"/>
  <c r="H5" i="20"/>
  <c r="H6" i="20"/>
  <c r="H7" i="20"/>
  <c r="H2" i="20"/>
  <c r="H3" i="20"/>
  <c r="H23" i="25"/>
  <c r="H24" i="25"/>
  <c r="H19" i="25"/>
  <c r="H22" i="25"/>
  <c r="H21" i="25"/>
  <c r="H20" i="25"/>
  <c r="H11" i="25"/>
  <c r="H18" i="25"/>
  <c r="H9" i="25"/>
  <c r="H10" i="25"/>
  <c r="H7" i="25"/>
  <c r="H8" i="25"/>
  <c r="H5" i="25"/>
  <c r="H6" i="25"/>
  <c r="H3" i="25"/>
  <c r="H4" i="25"/>
  <c r="H2" i="25"/>
  <c r="E68" i="18"/>
  <c r="E59" i="17"/>
  <c r="H25" i="27" l="1"/>
  <c r="H24" i="27"/>
  <c r="H23" i="23"/>
  <c r="H22" i="23"/>
  <c r="H25" i="19"/>
  <c r="H26" i="19"/>
  <c r="H27" i="18"/>
  <c r="H28" i="18"/>
  <c r="H24" i="16"/>
  <c r="H23" i="16"/>
  <c r="H26" i="21"/>
  <c r="H25" i="21"/>
  <c r="H24" i="28"/>
  <c r="H23" i="28"/>
  <c r="H24" i="17"/>
  <c r="H25" i="17"/>
  <c r="H24" i="15"/>
  <c r="H23" i="15"/>
  <c r="H25" i="13"/>
  <c r="H24" i="13"/>
  <c r="H27" i="22"/>
  <c r="H28" i="22"/>
  <c r="H24" i="12"/>
  <c r="H23" i="12"/>
  <c r="H23" i="8"/>
  <c r="H24" i="8"/>
  <c r="H24" i="7"/>
  <c r="H26" i="6"/>
  <c r="H25" i="6"/>
  <c r="H23" i="7"/>
  <c r="H24" i="24"/>
  <c r="H25" i="24"/>
  <c r="H24" i="26"/>
  <c r="H25" i="26"/>
  <c r="H19" i="9"/>
  <c r="H20" i="9"/>
  <c r="H25" i="20"/>
  <c r="H24" i="20"/>
  <c r="H26" i="25"/>
  <c r="H27" i="25"/>
  <c r="G22" i="5"/>
  <c r="G23" i="4"/>
  <c r="H12" i="4" s="1"/>
  <c r="G28" i="3"/>
  <c r="G26" i="2"/>
  <c r="G22" i="1"/>
  <c r="H19" i="5" l="1"/>
  <c r="H20" i="5"/>
  <c r="H14" i="5"/>
  <c r="H18" i="5"/>
  <c r="H11" i="5"/>
  <c r="H13" i="5"/>
  <c r="H12" i="5"/>
  <c r="H9" i="5"/>
  <c r="H10" i="5"/>
  <c r="H6" i="5"/>
  <c r="H8" i="5"/>
  <c r="H7" i="5"/>
  <c r="H4" i="5"/>
  <c r="H5" i="5"/>
  <c r="H2" i="5"/>
  <c r="H3" i="5"/>
  <c r="H22" i="3"/>
  <c r="H20" i="3"/>
  <c r="H24" i="3"/>
  <c r="H21" i="3"/>
  <c r="H25" i="3"/>
  <c r="H23" i="3"/>
  <c r="H26" i="3"/>
  <c r="H19" i="3"/>
  <c r="H13" i="3"/>
  <c r="H14" i="3"/>
  <c r="H11" i="3"/>
  <c r="H12" i="3"/>
  <c r="H8" i="3"/>
  <c r="H10" i="3"/>
  <c r="H9" i="3"/>
  <c r="H6" i="3"/>
  <c r="H7" i="3"/>
  <c r="H4" i="3"/>
  <c r="H5" i="3"/>
  <c r="H2" i="3"/>
  <c r="H3" i="3"/>
  <c r="H22" i="2"/>
  <c r="H23" i="2"/>
  <c r="H24" i="2"/>
  <c r="H13" i="2"/>
  <c r="H15" i="2"/>
  <c r="H14" i="2"/>
  <c r="H10" i="2"/>
  <c r="H9" i="2"/>
  <c r="H11" i="2"/>
  <c r="H12" i="2"/>
  <c r="H7" i="2"/>
  <c r="H8" i="2"/>
  <c r="H4" i="2"/>
  <c r="H5" i="2"/>
  <c r="H6" i="2"/>
  <c r="H2" i="2"/>
  <c r="H3" i="2"/>
  <c r="H21" i="4"/>
  <c r="H18" i="4"/>
  <c r="H19" i="4"/>
  <c r="H20" i="4"/>
  <c r="H9" i="4"/>
  <c r="H11" i="4"/>
  <c r="H10" i="4"/>
  <c r="H8" i="4"/>
  <c r="H5" i="4"/>
  <c r="H6" i="4"/>
  <c r="H4" i="4"/>
  <c r="H7" i="4"/>
  <c r="H2" i="4"/>
  <c r="H3" i="4"/>
  <c r="H19" i="1"/>
  <c r="H20" i="1"/>
  <c r="H15" i="1"/>
  <c r="H18" i="1"/>
  <c r="H17" i="1"/>
  <c r="H16" i="1"/>
  <c r="H9" i="1"/>
  <c r="H10" i="1"/>
  <c r="H2" i="1"/>
  <c r="H6" i="1"/>
  <c r="H4" i="1"/>
  <c r="H8" i="1"/>
  <c r="H3" i="1"/>
  <c r="H7" i="1"/>
  <c r="H5" i="1"/>
  <c r="G23" i="14"/>
  <c r="H18" i="14" l="1"/>
  <c r="H19" i="14"/>
  <c r="H20" i="14"/>
  <c r="H21" i="14"/>
  <c r="H13" i="14"/>
  <c r="H17" i="14"/>
  <c r="H8" i="14"/>
  <c r="H10" i="14"/>
  <c r="H11" i="14"/>
  <c r="H12" i="14"/>
  <c r="H9" i="14"/>
  <c r="H5" i="14"/>
  <c r="H6" i="14"/>
  <c r="H7" i="14"/>
  <c r="H2" i="14"/>
  <c r="H4" i="14"/>
  <c r="H3" i="14"/>
  <c r="H22" i="5"/>
  <c r="H23" i="5"/>
  <c r="H24" i="4"/>
  <c r="H29" i="3"/>
  <c r="H27" i="2"/>
  <c r="H23" i="1"/>
  <c r="H28" i="3"/>
  <c r="H26" i="2"/>
  <c r="H23" i="4"/>
  <c r="H22" i="1"/>
  <c r="D63" i="11"/>
  <c r="C63" i="11"/>
  <c r="H23" i="14" l="1"/>
  <c r="H24" i="14"/>
  <c r="E63" i="11"/>
  <c r="D63" i="10"/>
  <c r="C63" i="10"/>
  <c r="D61" i="8"/>
  <c r="E61" i="8" l="1"/>
  <c r="E63"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tc={41C101C4-C49E-7F49-A984-99DF847C3306}</author>
    <author>tc={83AC30F7-A5CC-7645-BD18-E3842A4B3295}</author>
    <author>tc={12D8C9AC-A47E-DB45-A2C9-AB8D9792EC58}</author>
    <author>tc={6B5D7FA5-A94B-DA4A-A7C5-B5BDC6F3F4DD}</author>
    <author>tc={862C3EA2-12CD-A04E-8C9D-3F42834D4C17}</author>
    <author>tc={738FA7B7-9150-A343-BFA0-13FC10409101}</author>
    <author>tc={200521D7-4C6F-0340-86AB-13D9C0E515E4}</author>
    <author>tc={817184E2-6BA3-2B46-8E06-2A1E36D2F714}</author>
    <author>tc={1027C725-BEF7-5840-AA81-42BC238CDE25}</author>
    <author>tc={1CBEB0BA-E1CC-5C46-A417-C6496AD6BBD6}</author>
    <author>tc={846931DA-7CCF-8845-B0F3-71F108297283}</author>
    <author>tc={D79694B4-3CD4-2542-83ED-BE020A162395}</author>
    <author>tc={C5DC5632-8AD8-0D42-BD62-97166F85848C}</author>
    <author>tc={73A361D0-9374-CC4E-A5E6-65ECAC33B07E}</author>
    <author>tc={C383B115-14DA-9745-A8D9-D527D79F8070}</author>
    <author>tc={8B65A4FD-53FF-E140-85EA-C4B0E558D9FC}</author>
    <author>tc={988E256F-8007-EE44-93C9-B248CF939BAA}</author>
    <author>tc={51F43C3D-26BF-0C4C-8324-0A4C62D4E3A0}</author>
    <author>tc={47BEEBFA-D7CB-AF44-957F-AB43E2EA597E}</author>
    <author>tc={685715F3-60B3-6946-A3E9-5D799C71286D}</author>
    <author>tc={B45B0A82-3C88-A04D-8626-3EC80CF3BA22}</author>
  </authors>
  <commentList>
    <comment ref="C1" authorId="0" shapeId="0" xr:uid="{41C101C4-C49E-7F49-A984-99DF847C3306}">
      <text>
        <t>[Threaded comment]
Your version of Excel allows you to read this threaded comment; however, any edits to it will get removed if the file is opened in a newer version of Excel. Learn more: https://go.microsoft.com/fwlink/?linkid=870924
Comment:
    per Cleaning The Glass</t>
      </text>
    </comment>
    <comment ref="W1" authorId="1" shapeId="0" xr:uid="{83AC30F7-A5CC-7645-BD18-E3842A4B3295}">
      <text>
        <t>[Threaded comment]
Your version of Excel allows you to read this threaded comment; however, any edits to it will get removed if the file is opened in a newer version of Excel. Learn more: https://go.microsoft.com/fwlink/?linkid=870924
Comment:
    per Basketball Reference</t>
      </text>
    </comment>
    <comment ref="S2" authorId="2" shapeId="0" xr:uid="{12D8C9AC-A47E-DB45-A2C9-AB8D9792EC58}">
      <text>
        <t>[Threaded comment]
Your version of Excel allows you to read this threaded comment; however, any edits to it will get removed if the file is opened in a newer version of Excel. Learn more: https://go.microsoft.com/fwlink/?linkid=870924
Comment:
    Bird</t>
      </text>
    </comment>
    <comment ref="Q3" authorId="3" shapeId="0" xr:uid="{6B5D7FA5-A94B-DA4A-A7C5-B5BDC6F3F4DD}">
      <text>
        <t>[Threaded comment]
Your version of Excel allows you to read this threaded comment; however, any edits to it will get removed if the file is opened in a newer version of Excel. Learn more: https://go.microsoft.com/fwlink/?linkid=870924
Comment:
    $1,000,000 gt, fully gt on 7/1/21
Early Bird UFA if waived</t>
      </text>
    </comment>
    <comment ref="R3" authorId="4" shapeId="0" xr:uid="{862C3EA2-12CD-A04E-8C9D-3F42834D4C17}">
      <text>
        <t>[Threaded comment]
Your version of Excel allows you to read this threaded comment; however, any edits to it will get removed if the file is opened in a newer version of Excel. Learn more: https://go.microsoft.com/fwlink/?linkid=870924
Comment:
    Bird</t>
      </text>
    </comment>
    <comment ref="S4" authorId="5" shapeId="0" xr:uid="{738FA7B7-9150-A343-BFA0-13FC10409101}">
      <text>
        <t>[Threaded comment]
Your version of Excel allows you to read this threaded comment; however, any edits to it will get removed if the file is opened in a newer version of Excel. Learn more: https://go.microsoft.com/fwlink/?linkid=870924
Comment:
    $12,973,527 QO</t>
      </text>
    </comment>
    <comment ref="R5" authorId="6" shapeId="0" xr:uid="{200521D7-4C6F-0340-86AB-13D9C0E515E4}">
      <text>
        <t>[Threaded comment]
Your version of Excel allows you to read this threaded comment; however, any edits to it will get removed if the file is opened in a newer version of Excel. Learn more: https://go.microsoft.com/fwlink/?linkid=870924
Comment:
    $11,040,900 QO</t>
      </text>
    </comment>
    <comment ref="S6" authorId="7" shapeId="0" xr:uid="{817184E2-6BA3-2B46-8E06-2A1E36D2F714}">
      <text>
        <t>[Threaded comment]
Your version of Excel allows you to read this threaded comment; however, any edits to it will get removed if the file is opened in a newer version of Excel. Learn more: https://go.microsoft.com/fwlink/?linkid=870924
Comment:
    $8,109,966 QO</t>
      </text>
    </comment>
    <comment ref="Q7" authorId="8" shapeId="0" xr:uid="{1027C725-BEF7-5840-AA81-42BC238CDE25}">
      <text>
        <t>[Threaded comment]
Your version of Excel allows you to read this threaded comment; however, any edits to it will get removed if the file is opened in a newer version of Excel. Learn more: https://go.microsoft.com/fwlink/?linkid=870924
Comment:
    $5,899,793 QO</t>
      </text>
    </comment>
    <comment ref="R8" authorId="9" shapeId="0" xr:uid="{1CBEB0BA-E1CC-5C46-A417-C6496AD6BBD6}">
      <text>
        <t>[Threaded comment]
Your version of Excel allows you to read this threaded comment; however, any edits to it will get removed if the file is opened in a newer version of Excel. Learn more: https://go.microsoft.com/fwlink/?linkid=870924
Comment:
    $6,065,287 QO</t>
      </text>
    </comment>
    <comment ref="P9" authorId="10" shapeId="0" xr:uid="{846931DA-7CCF-8845-B0F3-71F108297283}">
      <text>
        <t>[Threaded comment]
Your version of Excel allows you to read this threaded comment; however, any edits to it will get removed if the file is opened in a newer version of Excel. Learn more: https://go.microsoft.com/fwlink/?linkid=870924
Comment:
    $100,000 gt, fully gt on 8/1/20 (revised date TBD)
Non Bird RFA if waived</t>
      </text>
    </comment>
    <comment ref="Q9" authorId="11" shapeId="0" xr:uid="{D79694B4-3CD4-2542-83ED-BE020A162395}">
      <text>
        <t>[Threaded comment]
Your version of Excel allows you to read this threaded comment; however, any edits to it will get removed if the file is opened in a newer version of Excel. Learn more: https://go.microsoft.com/fwlink/?linkid=870924
Comment:
    $2,126,991 QO
Early Bird</t>
      </text>
    </comment>
    <comment ref="R10" authorId="12" shapeId="0" xr:uid="{C5DC5632-8AD8-0D42-BD62-97166F85848C}">
      <text>
        <t>[Threaded comment]
Your version of Excel allows you to read this threaded comment; however, any edits to it will get removed if the file is opened in a newer version of Excel. Learn more: https://go.microsoft.com/fwlink/?linkid=870924
Comment:
    $2,228,276 QO
Bird</t>
      </text>
    </comment>
    <comment ref="P15" authorId="13" shapeId="0" xr:uid="{73A361D0-9374-CC4E-A5E6-65ECAC33B07E}">
      <text>
        <t>[Threaded comment]
Your version of Excel allows you to read this threaded comment; however, any edits to it will get removed if the file is opened in a newer version of Excel. Learn more: https://go.microsoft.com/fwlink/?linkid=870924
Comment:
    Bird</t>
      </text>
    </comment>
    <comment ref="P16" authorId="14" shapeId="0" xr:uid="{C383B115-14DA-9745-A8D9-D527D79F8070}">
      <text>
        <t>[Threaded comment]
Your version of Excel allows you to read this threaded comment; however, any edits to it will get removed if the file is opened in a newer version of Excel. Learn more: https://go.microsoft.com/fwlink/?linkid=870924
Comment:
    $3,752,338 QO
NEW: 10/17/20 deadline
Bird</t>
      </text>
    </comment>
    <comment ref="P17" authorId="15" shapeId="0" xr:uid="{8B65A4FD-53FF-E140-85EA-C4B0E558D9FC}">
      <text>
        <t>[Threaded comment]
Your version of Excel allows you to read this threaded comment; however, any edits to it will get removed if the file is opened in a newer version of Excel. Learn more: https://go.microsoft.com/fwlink/?linkid=870924
Comment:
    $3,484,882 QO
NEW: 10/17/20 deadline
Bird</t>
      </text>
    </comment>
    <comment ref="P18" authorId="16" shapeId="0" xr:uid="{988E256F-8007-EE44-93C9-B248CF939BAA}">
      <text>
        <t>[Threaded comment]
Your version of Excel allows you to read this threaded comment; however, any edits to it will get removed if the file is opened in a newer version of Excel. Learn more: https://go.microsoft.com/fwlink/?linkid=870924
Comment:
    $3,457,586 QO
NEW: 10/17/20 deadline
Bird</t>
      </text>
    </comment>
    <comment ref="P19" authorId="17" shapeId="0" xr:uid="{51F43C3D-26BF-0C4C-8324-0A4C62D4E3A0}">
      <text>
        <t>[Threaded comment]
Your version of Excel allows you to read this threaded comment; however, any edits to it will get removed if the file is opened in a newer version of Excel. Learn more: https://go.microsoft.com/fwlink/?linkid=870924
Comment:
    Early Bird</t>
      </text>
    </comment>
    <comment ref="P20" authorId="18" shapeId="0" xr:uid="{47BEEBFA-D7CB-AF44-957F-AB43E2EA597E}">
      <text>
        <t>[Threaded comment]
Your version of Excel allows you to read this threaded comment; however, any edits to it will get removed if the file is opened in a newer version of Excel. Learn more: https://go.microsoft.com/fwlink/?linkid=870924
Comment:
    2W QO
Non Bird</t>
      </text>
    </comment>
    <comment ref="P24" authorId="19" shapeId="0" xr:uid="{685715F3-60B3-6946-A3E9-5D799C71286D}">
      <text>
        <t>[Threaded comment]
Your version of Excel allows you to read this threaded comment; however, any edits to it will get removed if the file is opened in a newer version of Excel. Learn more: https://go.microsoft.com/fwlink/?linkid=870924
Comment:
    8 players: Clint Capela / Dewayne Dedmon / DeAndre Hunter / Trae Young / Cam Reddish / John Collins / Kevin Huerter / Bruno Fernando
2020 1st (#6)
2020 MIA 2nd (#50)
Jeff Teague (Bird UFA)
DeAndre Bembry (Bird RFA if QO)
Skal Labissiere (Bird RFA if QO)
Damian Jones (Bird RFA if QO)
Treveon Graham (Early Bird UFA)
Brandon Goodwin (NG, Non Bird RFA if QO)
Charlie Brown Jr. (2W RFA)</t>
      </text>
    </comment>
    <comment ref="P25" authorId="20" shapeId="0" xr:uid="{B45B0A82-3C88-A04D-8626-3EC80CF3BA22}">
      <text>
        <t>[Threaded comment]
Your version of Excel allows you to read this threaded comment; however, any edits to it will get removed if the file is opened in a newer version of Excel. Learn more: https://go.microsoft.com/fwlink/?linkid=870924
Comment:
    9 players: Clint Capela / Dewayne Dedmon / DeAndre Hunter / Trae Young / Cam Reddish / John Collins / Kevin Huerter / Brandon Goodwin (NG) / Bruno Fernando
2020 1st (#6)
2020 MIA 2nd (#50)
Jeff Teague (Bird UFA)
DeAndre Bembry (Bird RFA if QO)
Skal Labissiere (Bird RFA if QO)
Damian Jones (Bird RFA if QO)
Treveon Graham (Early Bird UFA)
Brandon Goodwin (NG, Non Bird RFA if QO)
Charlie Brown Jr. (2W RFA)</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tc={8F56E6AE-5366-5C47-99F4-6D94708B18AC}</author>
    <author>tc={E0DF4978-0953-064D-91C6-C05179C9EB33}</author>
    <author>tc={E3B650DE-8361-BD48-896B-831D90D38498}</author>
    <author>tc={2F7721B0-8D2D-CE4B-84C0-6F0084DBB134}</author>
    <author>tc={F8264E16-02B2-1C41-97AF-F9C8A28950CA}</author>
    <author>tc={A51DAB1C-6DD0-C34A-BBE6-45F070A118B1}</author>
    <author>tc={7011E515-E8DB-0C43-B04D-9F4027EABF23}</author>
    <author>tc={43B862B0-F986-EE44-8C88-FAD006BAD262}</author>
    <author>tc={2F4945D5-1096-594E-9C21-FADCDD0A9449}</author>
    <author>tc={8B8FE588-40A5-124E-8F17-2E1B8CC12ABC}</author>
    <author>tc={E3B7F25E-0454-E348-89CD-6680B5F8A922}</author>
    <author>tc={5C755212-9936-BF48-91FE-324AD201E145}</author>
    <author>tc={8D29C66E-D426-0A43-B4DA-14367D75B1F2}</author>
    <author>tc={4DE049A2-D371-A44D-9903-AF2FCEF3EF51}</author>
    <author>tc={AE06BE22-1A33-9F4D-A7D7-A1A4F004AA2E}</author>
    <author>tc={39E9C62F-CE43-B746-AD49-E4D2F7CB323A}</author>
    <author>tc={34A06F82-81E1-3F42-A123-0C3F6C49A7D7}</author>
    <author>tc={54BBD8F8-4039-BE4F-975A-D00F1C54ECE3}</author>
    <author>tc={440DF42E-6501-C74E-8636-7337C01D454D}</author>
    <author>tc={A539006E-D2A5-0749-8F37-93C8EBC13685}</author>
    <author>tc={22B6A68C-4224-674D-8AEA-24B7EA337909}</author>
    <author>tc={F153CC65-FA2A-1648-ADB9-1817AA77E49C}</author>
    <author>tc={E464A61F-B820-A34B-9832-2D7BE9DE012E}</author>
    <author>tc={3BD6791D-D368-6944-B930-8EC859FE1CD8}</author>
    <author>tc={57061B89-77F2-2A41-8036-774539FE9922}</author>
    <author>tc={3746CE50-EC61-F64C-8936-330847F232A2}</author>
    <author>tc={1D5420E8-8E28-EF4C-AA82-ED5DA8B749B7}</author>
    <author>tc={50677B47-D3AC-DB4F-B1A5-04D16EC891D0}</author>
    <author>tc={048AA527-7C15-F84C-847C-FAFEE6AA2261}</author>
    <author>tc={354D7D84-6729-4D47-8946-B623A2355EF3}</author>
    <author>tc={F43A0F0C-583B-4147-BB94-5FD62CFDDAF8}</author>
    <author>tc={D41F7658-3828-BC43-97F6-BA5AA064C7BC}</author>
    <author>tc={BC803020-8B2B-9541-AA45-0D2566959EF5}</author>
    <author>tc={7F73FF03-166B-0F4A-8B2E-CEF62ED3DC72}</author>
    <author>tc={75E41155-3640-6D48-B4D6-5B976ED795A3}</author>
  </authors>
  <commentList>
    <comment ref="C1" authorId="0" shapeId="0" xr:uid="{8F56E6AE-5366-5C47-99F4-6D94708B18AC}">
      <text>
        <t>[Threaded comment]
Your version of Excel allows you to read this threaded comment; however, any edits to it will get removed if the file is opened in a newer version of Excel. Learn more: https://go.microsoft.com/fwlink/?linkid=870924
Comment:
    per Cleaning The Glass</t>
      </text>
    </comment>
    <comment ref="W1" authorId="1" shapeId="0" xr:uid="{E0DF4978-0953-064D-91C6-C05179C9EB33}">
      <text>
        <t>[Threaded comment]
Your version of Excel allows you to read this threaded comment; however, any edits to it will get removed if the file is opened in a newer version of Excel. Learn more: https://go.microsoft.com/fwlink/?linkid=870924
Comment:
    per Basketball Reference</t>
      </text>
    </comment>
    <comment ref="R2" authorId="2" shapeId="0" xr:uid="{E3B650DE-8361-BD48-896B-831D90D38498}">
      <text>
        <t>[Threaded comment]
Your version of Excel allows you to read this threaded comment; however, any edits to it will get removed if the file is opened in a newer version of Excel. Learn more: https://go.microsoft.com/fwlink/?linkid=870924
Comment:
    Bird</t>
      </text>
    </comment>
    <comment ref="T3" authorId="3" shapeId="0" xr:uid="{2F7721B0-8D2D-CE4B-84C0-6F0084DBB134}">
      <text>
        <t>[Threaded comment]
Your version of Excel allows you to read this threaded comment; however, any edits to it will get removed if the file is opened in a newer version of Excel. Learn more: https://go.microsoft.com/fwlink/?linkid=870924
Comment:
    Bird</t>
      </text>
    </comment>
    <comment ref="Y3" authorId="4" shapeId="0" xr:uid="{F8264E16-02B2-1C41-97AF-F9C8A28950CA}">
      <text>
        <t>[Threaded comment]
Your version of Excel allows you to read this threaded comment; however, any edits to it will get removed if the file is opened in a newer version of Excel. Learn more: https://go.microsoft.com/fwlink/?linkid=870924
Comment:
    2018-2019 stats</t>
      </text>
    </comment>
    <comment ref="S4" authorId="5" shapeId="0" xr:uid="{A51DAB1C-6DD0-C34A-BBE6-45F070A118B1}">
      <text>
        <t>[Threaded comment]
Your version of Excel allows you to read this threaded comment; however, any edits to it will get removed if the file is opened in a newer version of Excel. Learn more: https://go.microsoft.com/fwlink/?linkid=870924
Comment:
    Bird</t>
      </text>
    </comment>
    <comment ref="S5" authorId="6" shapeId="0" xr:uid="{7011E515-E8DB-0C43-B04D-9F4027EABF23}">
      <text>
        <t>[Threaded comment]
Your version of Excel allows you to read this threaded comment; however, any edits to it will get removed if the file is opened in a newer version of Excel. Learn more: https://go.microsoft.com/fwlink/?linkid=870924
Comment:
    6/29/23 deadline
$38,709,702 cap hold
Bird</t>
      </text>
    </comment>
    <comment ref="T5" authorId="7" shapeId="0" xr:uid="{43B862B0-F986-EE44-8C88-FAD006BAD262}">
      <text>
        <t>[Threaded comment]
Your version of Excel allows you to read this threaded comment; however, any edits to it will get removed if the file is opened in a newer version of Excel. Learn more: https://go.microsoft.com/fwlink/?linkid=870924
Comment:
    Bird</t>
      </text>
    </comment>
    <comment ref="Q6" authorId="8" shapeId="0" xr:uid="{2F4945D5-1096-594E-9C21-FADCDD0A9449}">
      <text>
        <t>[Threaded comment]
Your version of Excel allows you to read this threaded comment; however, any edits to it will get removed if the file is opened in a newer version of Excel. Learn more: https://go.microsoft.com/fwlink/?linkid=870924
Comment:
    6/29/21 deadline
$9,160,715 cap hold
Bird</t>
      </text>
    </comment>
    <comment ref="R6" authorId="9" shapeId="0" xr:uid="{8B8FE588-40A5-124E-8F17-2E1B8CC12ABC}">
      <text>
        <t>[Threaded comment]
Your version of Excel allows you to read this threaded comment; however, any edits to it will get removed if the file is opened in a newer version of Excel. Learn more: https://go.microsoft.com/fwlink/?linkid=870924
Comment:
    Bird</t>
      </text>
    </comment>
    <comment ref="Q7" authorId="10" shapeId="0" xr:uid="{E3B7F25E-0454-E348-89CD-6680B5F8A922}">
      <text>
        <t>[Threaded comment]
Your version of Excel allows you to read this threaded comment; however, any edits to it will get removed if the file is opened in a newer version of Excel. Learn more: https://go.microsoft.com/fwlink/?linkid=870924
Comment:
    OLD: 10/31/20 deadline</t>
      </text>
    </comment>
    <comment ref="R7" authorId="11" shapeId="0" xr:uid="{5C755212-9936-BF48-91FE-324AD201E145}">
      <text>
        <t>[Threaded comment]
Your version of Excel allows you to read this threaded comment; however, any edits to it will get removed if the file is opened in a newer version of Excel. Learn more: https://go.microsoft.com/fwlink/?linkid=870924
Comment:
    10/31/21 deadline</t>
      </text>
    </comment>
    <comment ref="S7" authorId="12" shapeId="0" xr:uid="{8D29C66E-D426-0A43-B4DA-14367D75B1F2}">
      <text>
        <t>[Threaded comment]
Your version of Excel allows you to read this threaded comment; however, any edits to it will get removed if the file is opened in a newer version of Excel. Learn more: https://go.microsoft.com/fwlink/?linkid=870924
Comment:
    $5,813,085 QO
6/29/23 deadline
Bird</t>
      </text>
    </comment>
    <comment ref="P8" authorId="13" shapeId="0" xr:uid="{4DE049A2-D371-A44D-9903-AF2FCEF3EF51}">
      <text>
        <t>[Threaded comment]
Your version of Excel allows you to read this threaded comment; however, any edits to it will get removed if the file is opened in a newer version of Excel. Learn more: https://go.microsoft.com/fwlink/?linkid=870924
Comment:
    OLD: $800,000 gt, fully gt on 7/15/20
If waived, Non Bird UFA</t>
      </text>
    </comment>
    <comment ref="Q8" authorId="14" shapeId="0" xr:uid="{AE06BE22-1A33-9F4D-A7D7-A1A4F004AA2E}">
      <text>
        <t>[Threaded comment]
Your version of Excel allows you to read this threaded comment; however, any edits to it will get removed if the file is opened in a newer version of Excel. Learn more: https://go.microsoft.com/fwlink/?linkid=870924
Comment:
    Early Bird</t>
      </text>
    </comment>
    <comment ref="P9" authorId="15" shapeId="0" xr:uid="{39E9C62F-CE43-B746-AD49-E4D2F7CB323A}">
      <text>
        <t>[Threaded comment]
Your version of Excel allows you to read this threaded comment; however, any edits to it will get removed if the file is opened in a newer version of Excel. Learn more: https://go.microsoft.com/fwlink/?linkid=870924
Comment:
    OLD: $600,000 gt, fully gt on 1/10/21
If waived, Early Bird UFA</t>
      </text>
    </comment>
    <comment ref="Q9" authorId="16" shapeId="0" xr:uid="{34A06F82-81E1-3F42-A123-0C3F6C49A7D7}">
      <text>
        <t>[Threaded comment]
Your version of Excel allows you to read this threaded comment; however, any edits to it will get removed if the file is opened in a newer version of Excel. Learn more: https://go.microsoft.com/fwlink/?linkid=870924
Comment:
    fully NG, fully gt on 1/10/22
If waived, Bird UFA</t>
      </text>
    </comment>
    <comment ref="R9" authorId="17" shapeId="0" xr:uid="{54BBD8F8-4039-BE4F-975A-D00F1C54ECE3}">
      <text>
        <t>[Threaded comment]
Your version of Excel allows you to read this threaded comment; however, any edits to it will get removed if the file is opened in a newer version of Excel. Learn more: https://go.microsoft.com/fwlink/?linkid=870924
Comment:
    Bird</t>
      </text>
    </comment>
    <comment ref="R10" authorId="18" shapeId="0" xr:uid="{440DF42E-6501-C74E-8636-7337C01D454D}">
      <text>
        <t>[Threaded comment]
Your version of Excel allows you to read this threaded comment; however, any edits to it will get removed if the file is opened in a newer version of Excel. Learn more: https://go.microsoft.com/fwlink/?linkid=870924
Comment:
    $2,228,287 QO
6/29/22 deadline
Bird</t>
      </text>
    </comment>
    <comment ref="Q11" authorId="19" shapeId="0" xr:uid="{A539006E-D2A5-0749-8F37-93C8EBC13685}">
      <text>
        <t>[Threaded comment]
Your version of Excel allows you to read this threaded comment; however, any edits to it will get removed if the file is opened in a newer version of Excel. Learn more: https://go.microsoft.com/fwlink/?linkid=870924
Comment:
    fully NG, fully gt on 7/6/21
If waived, Early Bird RFA</t>
      </text>
    </comment>
    <comment ref="R11" authorId="20" shapeId="0" xr:uid="{22B6A68C-4224-674D-8AEA-24B7EA337909}">
      <text>
        <t>[Threaded comment]
Your version of Excel allows you to read this threaded comment; however, any edits to it will get removed if the file is opened in a newer version of Excel. Learn more: https://go.microsoft.com/fwlink/?linkid=870924
Comment:
    fully NG, fully gt on 7/6/22
If waived, Bird RFA</t>
      </text>
    </comment>
    <comment ref="S11" authorId="21" shapeId="0" xr:uid="{F153CC65-FA2A-1648-ADB9-1817AA77E49C}">
      <text>
        <t>[Threaded comment]
Your version of Excel allows you to read this threaded comment; however, any edits to it will get removed if the file is opened in a newer version of Excel. Learn more: https://go.microsoft.com/fwlink/?linkid=870924
Comment:
    Bird</t>
      </text>
    </comment>
    <comment ref="P12" authorId="22" shapeId="0" xr:uid="{E464A61F-B820-A34B-9832-2D7BE9DE012E}">
      <text>
        <t>[Threaded comment]
Your version of Excel allows you to read this threaded comment; however, any edits to it will get removed if the file is opened in a newer version of Excel. Learn more: https://go.microsoft.com/fwlink/?linkid=870924
Comment:
    OLD: fully NG, fully gt on 1/10/21</t>
      </text>
    </comment>
    <comment ref="Q12" authorId="23" shapeId="0" xr:uid="{3BD6791D-D368-6944-B930-8EC859FE1CD8}">
      <text>
        <t>[Threaded comment]
Your version of Excel allows you to read this threaded comment; however, any edits to it will get removed if the file is opened in a newer version of Excel. Learn more: https://go.microsoft.com/fwlink/?linkid=870924
Comment:
    fully NG, $200,000 gt on 7/15/21, fully gt on 1/10/22</t>
      </text>
    </comment>
    <comment ref="R12" authorId="24" shapeId="0" xr:uid="{57061B89-77F2-2A41-8036-774539FE9922}">
      <text>
        <t>[Threaded comment]
Your version of Excel allows you to read this threaded comment; however, any edits to it will get removed if the file is opened in a newer version of Excel. Learn more: https://go.microsoft.com/fwlink/?linkid=870924
Comment:
    $2,228,276 QO
6/29/22 deadline
Bird</t>
      </text>
    </comment>
    <comment ref="P13" authorId="25" shapeId="0" xr:uid="{3746CE50-EC61-F64C-8936-330847F232A2}">
      <text>
        <t>[Threaded comment]
Your version of Excel allows you to read this threaded comment; however, any edits to it will get removed if the file is opened in a newer version of Excel. Learn more: https://go.microsoft.com/fwlink/?linkid=870924
Comment:
    OLD: fully NG, fully gt on 1/10/21</t>
      </text>
    </comment>
    <comment ref="Q13" authorId="26" shapeId="0" xr:uid="{1D5420E8-8E28-EF4C-AA82-ED5DA8B749B7}">
      <text>
        <t>[Threaded comment]
Your version of Excel allows you to read this threaded comment; however, any edits to it will get removed if the file is opened in a newer version of Excel. Learn more: https://go.microsoft.com/fwlink/?linkid=870924
Comment:
    fully NG, $200,000 gt on 7/15/21, fully gt on 1/10/22</t>
      </text>
    </comment>
    <comment ref="R13" authorId="27" shapeId="0" xr:uid="{50677B47-D3AC-DB4F-B1A5-04D16EC891D0}">
      <text>
        <t>[Threaded comment]
Your version of Excel allows you to read this threaded comment; however, any edits to it will get removed if the file is opened in a newer version of Excel. Learn more: https://go.microsoft.com/fwlink/?linkid=870924
Comment:
    $2,228,276 QO
6/29/22 deadline
Bird</t>
      </text>
    </comment>
    <comment ref="P14" authorId="28" shapeId="0" xr:uid="{048AA527-7C15-F84C-847C-FAFEE6AA2261}">
      <text>
        <t>[Threaded comment]
Your version of Excel allows you to read this threaded comment; however, any edits to it will get removed if the file is opened in a newer version of Excel. Learn more: https://go.microsoft.com/fwlink/?linkid=870924
Comment:
    OLD: fully NG, $200,000 gt if on opening night roster, fully gt on 1/10/21</t>
      </text>
    </comment>
    <comment ref="Q14" authorId="29" shapeId="0" xr:uid="{354D7D84-6729-4D47-8946-B623A2355EF3}">
      <text>
        <t>[Threaded comment]
Your version of Excel allows you to read this threaded comment; however, any edits to it will get removed if the file is opened in a newer version of Excel. Learn more: https://go.microsoft.com/fwlink/?linkid=870924
Comment:
    fully NG, fully gt on 1/10/22</t>
      </text>
    </comment>
    <comment ref="R14" authorId="30" shapeId="0" xr:uid="{F43A0F0C-583B-4147-BB94-5FD62CFDDAF8}">
      <text>
        <t>[Threaded comment]
Your version of Excel allows you to read this threaded comment; however, any edits to it will get removed if the file is opened in a newer version of Excel. Learn more: https://go.microsoft.com/fwlink/?linkid=870924
Comment:
    $2,228,276 QO
6/29/22 deadline
Bird</t>
      </text>
    </comment>
    <comment ref="P15" authorId="31" shapeId="0" xr:uid="{D41F7658-3828-BC43-97F6-BA5AA064C7BC}">
      <text>
        <t>[Threaded comment]
Your version of Excel allows you to read this threaded comment; however, any edits to it will get removed if the file is opened in a newer version of Excel. Learn more: https://go.microsoft.com/fwlink/?linkid=870924
Comment:
    Shaun Livingston</t>
      </text>
    </comment>
    <comment ref="Q15" authorId="32" shapeId="0" xr:uid="{BC803020-8B2B-9541-AA45-0D2566959EF5}">
      <text>
        <t>[Threaded comment]
Your version of Excel allows you to read this threaded comment; however, any edits to it will get removed if the file is opened in a newer version of Excel. Learn more: https://go.microsoft.com/fwlink/?linkid=870924
Comment:
    Shaun Livingston</t>
      </text>
    </comment>
    <comment ref="P21" authorId="33" shapeId="0" xr:uid="{7F73FF03-166B-0F4A-8B2E-CEF62ED3DC72}">
      <text>
        <t>[Threaded comment]
Your version of Excel allows you to read this threaded comment; however, any edits to it will get removed if the file is opened in a newer version of Excel. Learn more: https://go.microsoft.com/fwlink/?linkid=870924
Comment:
    8 players: Stephen Curry / Klay Thompson / Andrew Wiggins / Draymond Green / Kevon Looney / Jordan Poole / Eric Paschall / Alen Smailagic
2020 1st (#2)
2020 DAL 2nd (#48)
2020 UTA 2nd (#51)
Marquese Chriss (PG)
Damion Lee (PG)
Ky Bowman (NG)
Juan Toscano-Anderson (NG)
Mychal Mulder (NG)</t>
      </text>
    </comment>
    <comment ref="P22" authorId="34" shapeId="0" xr:uid="{75E41155-3640-6D48-B4D6-5B976ED795A3}">
      <text>
        <t>[Threaded comment]
Your version of Excel allows you to read this threaded comment; however, any edits to it will get removed if the file is opened in a newer version of Excel. Learn more: https://go.microsoft.com/fwlink/?linkid=870924
Comment:
    13 players: Stephen Curry / Klay Thompson / Andrew Wiggins / Draymond Green / Kevon Looney / Jordan Poole / Marquese Chriss (PG) / Damion Lee (PG) / Eric Paschall / Alen Smailagic / Ky Bowman (NG) / Mychal Mulder (NG) / Juan Toscano-Anderson (NG)
2020 1st (#2)
2020 DAL 2nd (#48)
2020 UTA 2nd (#51)</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tc={57C8C337-0528-9D42-B51F-97AFC7A31E11}</author>
    <author>tc={95B7C973-360D-5D49-8084-A372E7CA10BD}</author>
    <author>tc={C612CC73-3CF2-DA4D-89DA-C30FDF078455}</author>
    <author>tc={0FADA3A2-5546-C94A-8E63-83A2CB244B52}</author>
    <author>tc={9B4324CB-E5E3-9E47-952B-A0AE988F14CF}</author>
    <author>tc={1A48D798-8F09-0245-8F5B-7A9864004FA9}</author>
    <author>tc={7AB4CC19-F8BF-0641-9A7F-E4F497F74259}</author>
    <author>tc={040C9A67-7ECD-6B45-9446-4D7206FB987B}</author>
    <author>tc={E6DCACD3-64A8-2642-A9F4-CD2FEA8C42AE}</author>
    <author>tc={FE149828-F270-A14D-8955-DB6A02D00459}</author>
    <author>tc={42F9A341-EAB4-F548-B093-B90C3DCCE0F3}</author>
    <author>tc={B8811FBB-2359-E849-9D11-788DD9BCA4E6}</author>
    <author>tc={7D0F3433-42E4-2246-9E94-B4FDD2EF21F6}</author>
    <author>tc={484C76B8-4227-F241-B536-8698BDD2DA63}</author>
    <author>tc={E3953CD9-F8D0-5B48-8B06-49230FAA5296}</author>
    <author>tc={DB8E3117-777A-F54A-A5DC-08AFE17B708B}</author>
    <author>tc={9AD9C97D-EEAF-7E40-9826-FD42AD0AC9DD}</author>
    <author>tc={2D1559B9-6D75-3E47-BE97-387F8F01792D}</author>
  </authors>
  <commentList>
    <comment ref="C1" authorId="0" shapeId="0" xr:uid="{57C8C337-0528-9D42-B51F-97AFC7A31E11}">
      <text>
        <t>[Threaded comment]
Your version of Excel allows you to read this threaded comment; however, any edits to it will get removed if the file is opened in a newer version of Excel. Learn more: https://go.microsoft.com/fwlink/?linkid=870924
Comment:
    per Cleaning The Glass</t>
      </text>
    </comment>
    <comment ref="W1" authorId="1" shapeId="0" xr:uid="{95B7C973-360D-5D49-8084-A372E7CA10BD}">
      <text>
        <t>[Threaded comment]
Your version of Excel allows you to read this threaded comment; however, any edits to it will get removed if the file is opened in a newer version of Excel. Learn more: https://go.microsoft.com/fwlink/?linkid=870924
Comment:
    per Basketball Reference</t>
      </text>
    </comment>
    <comment ref="P9" authorId="2" shapeId="0" xr:uid="{C612CC73-3CF2-DA4D-89DA-C30FDF078455}">
      <text>
        <t>[Threaded comment]
Your version of Excel allows you to read this threaded comment; however, any edits to it will get removed if the file is opened in a newer version of Excel. Learn more: https://go.microsoft.com/fwlink/?linkid=870924
Comment:
    NEW: fully NG, fully gt on 10/17/20</t>
      </text>
    </comment>
    <comment ref="P10" authorId="3" shapeId="0" xr:uid="{0FADA3A2-5546-C94A-8E63-83A2CB244B52}">
      <text>
        <t>[Threaded comment]
Your version of Excel allows you to read this threaded comment; however, any edits to it will get removed if the file is opened in a newer version of Excel. Learn more: https://go.microsoft.com/fwlink/?linkid=870924
Comment:
    NEW: 10/17/20 deadline
If declined, Non Bird</t>
      </text>
    </comment>
    <comment ref="Q10" authorId="4" shapeId="0" xr:uid="{9B4324CB-E5E3-9E47-952B-A0AE988F14CF}">
      <text>
        <t>[Threaded comment]
Your version of Excel allows you to read this threaded comment; however, any edits to it will get removed if the file is opened in a newer version of Excel. Learn more: https://go.microsoft.com/fwlink/?linkid=870924
Comment:
    Early Bird</t>
      </text>
    </comment>
    <comment ref="P11" authorId="5" shapeId="0" xr:uid="{1A48D798-8F09-0245-8F5B-7A9864004FA9}">
      <text>
        <t>[Threaded comment]
Your version of Excel allows you to read this threaded comment; however, any edits to it will get removed if the file is opened in a newer version of Excel. Learn more: https://go.microsoft.com/fwlink/?linkid=870924
Comment:
    fully NG, fully gt on 1/10/21</t>
      </text>
    </comment>
    <comment ref="P12" authorId="6" shapeId="0" xr:uid="{7AB4CC19-F8BF-0641-9A7F-E4F497F74259}">
      <text>
        <t>[Threaded comment]
Your version of Excel allows you to read this threaded comment; however, any edits to it will get removed if the file is opened in a newer version of Excel. Learn more: https://go.microsoft.com/fwlink/?linkid=870924
Comment:
    Troy Williams</t>
      </text>
    </comment>
    <comment ref="Q12" authorId="7" shapeId="0" xr:uid="{040C9A67-7ECD-6B45-9446-4D7206FB987B}">
      <text>
        <t>[Threaded comment]
Your version of Excel allows you to read this threaded comment; however, any edits to it will get removed if the file is opened in a newer version of Excel. Learn more: https://go.microsoft.com/fwlink/?linkid=870924
Comment:
    Troy Williams</t>
      </text>
    </comment>
    <comment ref="R12" authorId="8" shapeId="0" xr:uid="{E6DCACD3-64A8-2642-A9F4-CD2FEA8C42AE}">
      <text>
        <t>[Threaded comment]
Your version of Excel allows you to read this threaded comment; however, any edits to it will get removed if the file is opened in a newer version of Excel. Learn more: https://go.microsoft.com/fwlink/?linkid=870924
Comment:
    Troy Williams</t>
      </text>
    </comment>
    <comment ref="P14" authorId="9" shapeId="0" xr:uid="{FE149828-F270-A14D-8955-DB6A02D00459}">
      <text>
        <t>[Threaded comment]
Your version of Excel allows you to read this threaded comment; however, any edits to it will get removed if the file is opened in a newer version of Excel. Learn more: https://go.microsoft.com/fwlink/?linkid=870924
Comment:
    Early Bird</t>
      </text>
    </comment>
    <comment ref="P15" authorId="10" shapeId="0" xr:uid="{42F9A341-EAB4-F548-B093-B90C3DCCE0F3}">
      <text>
        <t>[Threaded comment]
Your version of Excel allows you to read this threaded comment; however, any edits to it will get removed if the file is opened in a newer version of Excel. Learn more: https://go.microsoft.com/fwlink/?linkid=870924
Comment:
    Non Bird</t>
      </text>
    </comment>
    <comment ref="P16" authorId="11" shapeId="0" xr:uid="{B8811FBB-2359-E849-9D11-788DD9BCA4E6}">
      <text>
        <t>[Threaded comment]
Your version of Excel allows you to read this threaded comment; however, any edits to it will get removed if the file is opened in a newer version of Excel. Learn more: https://go.microsoft.com/fwlink/?linkid=870924
Comment:
    Non Bird</t>
      </text>
    </comment>
    <comment ref="P17" authorId="12" shapeId="0" xr:uid="{7D0F3433-42E4-2246-9E94-B4FDD2EF21F6}">
      <text>
        <t>[Threaded comment]
Your version of Excel allows you to read this threaded comment; however, any edits to it will get removed if the file is opened in a newer version of Excel. Learn more: https://go.microsoft.com/fwlink/?linkid=870924
Comment:
    Non Bird</t>
      </text>
    </comment>
    <comment ref="P18" authorId="13" shapeId="0" xr:uid="{484C76B8-4227-F241-B536-8698BDD2DA63}">
      <text>
        <t>[Threaded comment]
Your version of Excel allows you to read this threaded comment; however, any edits to it will get removed if the file is opened in a newer version of Excel. Learn more: https://go.microsoft.com/fwlink/?linkid=870924
Comment:
    Non Bird</t>
      </text>
    </comment>
    <comment ref="P19" authorId="14" shapeId="0" xr:uid="{E3953CD9-F8D0-5B48-8B06-49230FAA5296}">
      <text>
        <t>[Threaded comment]
Your version of Excel allows you to read this threaded comment; however, any edits to it will get removed if the file is opened in a newer version of Excel. Learn more: https://go.microsoft.com/fwlink/?linkid=870924
Comment:
    No Rights</t>
      </text>
    </comment>
    <comment ref="P25" authorId="15" shapeId="0" xr:uid="{DB8E3117-777A-F54A-A5DC-08AFE17B708B}">
      <text>
        <t xml:space="preserve">[Threaded comment]
Your version of Excel allows you to read this threaded comment; however, any edits to it will get removed if the file is opened in a newer version of Excel. Learn more: https://go.microsoft.com/fwlink/?linkid=870924
Comment:
    6 players: Russell Westbrook / James Harden / Eric Gordon / Robert Covington / P.J. Tucker / Danuel House Jr
Austin Rivers (PO)
Ben McLemore (NG)
David Nwaba (TO)
Chris Clemons (NG)
Bruno Caboclo (Early Bird)
Tyson Chandler (Non Bird)
Thabo Sefolosha (Non Bird)
DeMarre Carroll (Non Bird)
Jeff Green (Non Bird)
Luc Mbah a Moute (No Rights)
William Howard (2W RFA)
Michael Frazier (2W RFA)
</t>
      </text>
    </comment>
    <comment ref="P26" authorId="16" shapeId="0" xr:uid="{9AD9C97D-EEAF-7E40-9826-FD42AD0AC9DD}">
      <text>
        <t xml:space="preserve">[Threaded comment]
Your version of Excel allows you to read this threaded comment; however, any edits to it will get removed if the file is opened in a newer version of Excel. Learn more: https://go.microsoft.com/fwlink/?linkid=870924
Comment:
    7 players: Russell Westbrook / James Harden / Eric Gordon / Robert Covington / P.J. Tucker / Danuel House Jr / Austin Rivers (PO)
Ben McLemore (NG)
David Nwaba (TO)
Chris Clemons (NG)
Bruno Caboclo (Early Bird)
Tyson Chandler (Non Bird)
Thabo Sefolosha (Non Bird)
DeMarre Carroll (Non Bird)
Jeff Green (Non Bird)
Luc Mbah a Moute (No Rights)
William Howard (2W RFA)
Michael Frazier (2W RFA)
</t>
      </text>
    </comment>
    <comment ref="P27" authorId="17" shapeId="0" xr:uid="{2D1559B9-6D75-3E47-BE97-387F8F01792D}">
      <text>
        <t>[Threaded comment]
Your version of Excel allows you to read this threaded comment; however, any edits to it will get removed if the file is opened in a newer version of Excel. Learn more: https://go.microsoft.com/fwlink/?linkid=870924
Comment:
    10 players: Russell Westbrook / James Harden / Eric Gordon / Robert Covington / P.J. Tucker / Danuel House Jr / Austin Rivers (PO) / Ben McLemore (NG) / David Nwaba (TO) / Chris Clemons (NG)
Bruno Caboclo (Early Bird)
Tyson Chandler (Non Bird)
Thabo Sefolosha (Non Bird)
DeMarre Carroll (Non Bird)
Jeff Green (Non Bird)
Luc Mbah a Moute (No Rights)
William Howard (2W RFA)
Michael Frazier (2W RFA)</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tc={41E670C1-4102-A746-B4FB-FEE78E5E6D53}</author>
    <author>tc={944D256E-27F2-3540-BA6F-1D1356A65A81}</author>
    <author>tc={8160C0C5-307F-4444-B335-B626A9FEF62F}</author>
    <author>tc={B50EC20D-4B44-8B40-89D8-9E81972D748A}</author>
    <author>tc={75C56C36-496A-9845-BDB5-E0959D803DAD}</author>
    <author>tc={2FBA8BD2-9B0C-EC43-B006-32DD2430AC25}</author>
    <author>tc={D0490095-E76A-7B49-BF66-8E8A2779DC18}</author>
    <author>tc={67F81795-7859-6346-BD02-813E0C47860E}</author>
    <author>tc={B64E9DCE-1613-2D4B-9AAF-BACAE994C81E}</author>
    <author>tc={6D838159-6824-6A4C-B1EF-189A2C6ECE53}</author>
    <author>tc={A12A50D3-154A-0A46-B381-C64E586D7375}</author>
    <author>tc={A9ABF657-3C05-3443-89F2-7FDEDD05050F}</author>
    <author>tc={553A6F9C-76D6-FC41-ADF7-5AE67AC466C5}</author>
    <author>tc={EB27DFB7-4405-394D-9C40-A7EBDDCE7538}</author>
    <author>tc={5F37FAC8-6947-744F-B004-FCECA6DE19DA}</author>
    <author>tc={B0ED55A1-D5CE-4E44-89D2-FF384AB88761}</author>
    <author>tc={345C4DDD-1296-4D41-AD08-FCA4D929165E}</author>
    <author>tc={D05588E5-04C1-694B-9F8D-DDAFA167445A}</author>
    <author>tc={228C2EBE-979B-4440-B67B-598345BED5D0}</author>
    <author>tc={BCF6DAB2-39FF-C242-A20A-ED9FE8CB1F8F}</author>
    <author>tc={C8785706-3291-3341-B0EB-711714DB639F}</author>
    <author>tc={3AB736E8-6A71-E641-B344-7C487CE13405}</author>
    <author>tc={D2ED40B3-91E6-054A-B793-0D671354984D}</author>
    <author>tc={ADC1E42A-C40A-594D-914A-E6EAB4E9EE67}</author>
    <author>tc={804B2EA9-AA23-5D46-AE0A-30C15AE166F4}</author>
    <author>tc={295CD237-28D3-974F-B573-76B3734D5005}</author>
    <author>tc={83AFBE88-0D20-AB4D-9D22-50F0078C3C07}</author>
    <author>tc={3CF744FE-5353-B143-9E75-BD8300CAA251}</author>
  </authors>
  <commentList>
    <comment ref="C1" authorId="0" shapeId="0" xr:uid="{41E670C1-4102-A746-B4FB-FEE78E5E6D53}">
      <text>
        <t>[Threaded comment]
Your version of Excel allows you to read this threaded comment; however, any edits to it will get removed if the file is opened in a newer version of Excel. Learn more: https://go.microsoft.com/fwlink/?linkid=870924
Comment:
    per Cleaning The Glass</t>
      </text>
    </comment>
    <comment ref="W1" authorId="1" shapeId="0" xr:uid="{944D256E-27F2-3540-BA6F-1D1356A65A81}">
      <text>
        <t>[Threaded comment]
Your version of Excel allows you to read this threaded comment; however, any edits to it will get removed if the file is opened in a newer version of Excel. Learn more: https://go.microsoft.com/fwlink/?linkid=870924
Comment:
    per Basketball Reference</t>
      </text>
    </comment>
    <comment ref="Q2" authorId="2" shapeId="0" xr:uid="{8160C0C5-307F-4444-B335-B626A9FEF62F}">
      <text>
        <t>[Threaded comment]
Your version of Excel allows you to read this threaded comment; however, any edits to it will get removed if the file is opened in a newer version of Excel. Learn more: https://go.microsoft.com/fwlink/?linkid=870924
Comment:
    Bird</t>
      </text>
    </comment>
    <comment ref="S3" authorId="3" shapeId="0" xr:uid="{B50EC20D-4B44-8B40-89D8-9E81972D748A}">
      <text>
        <t>[Threaded comment]
Your version of Excel allows you to read this threaded comment; however, any edits to it will get removed if the file is opened in a newer version of Excel. Learn more: https://go.microsoft.com/fwlink/?linkid=870924
Comment:
    Bird</t>
      </text>
    </comment>
    <comment ref="T4" authorId="4" shapeId="0" xr:uid="{75C56C36-496A-9845-BDB5-E0959D803DAD}">
      <text>
        <t>[Threaded comment]
Your version of Excel allows you to read this threaded comment; however, any edits to it will get removed if the file is opened in a newer version of Excel. Learn more: https://go.microsoft.com/fwlink/?linkid=870924
Comment:
    Bird</t>
      </text>
    </comment>
    <comment ref="S5" authorId="5" shapeId="0" xr:uid="{2FBA8BD2-9B0C-EC43-B006-32DD2430AC25}">
      <text>
        <t>[Threaded comment]
Your version of Excel allows you to read this threaded comment; however, any edits to it will get removed if the file is opened in a newer version of Excel. Learn more: https://go.microsoft.com/fwlink/?linkid=870924
Comment:
    Bird</t>
      </text>
    </comment>
    <comment ref="R6" authorId="6" shapeId="0" xr:uid="{D0490095-E76A-7B49-BF66-8E8A2779DC18}">
      <text>
        <t>[Threaded comment]
Your version of Excel allows you to read this threaded comment; however, any edits to it will get removed if the file is opened in a newer version of Excel. Learn more: https://go.microsoft.com/fwlink/?linkid=870924
Comment:
    Bird</t>
      </text>
    </comment>
    <comment ref="R7" authorId="7" shapeId="0" xr:uid="{67F81795-7859-6346-BD02-813E0C47860E}">
      <text>
        <t>[Threaded comment]
Your version of Excel allows you to read this threaded comment; however, any edits to it will get removed if the file is opened in a newer version of Excel. Learn more: https://go.microsoft.com/fwlink/?linkid=870924
Comment:
    Bird</t>
      </text>
    </comment>
    <comment ref="Q8" authorId="8" shapeId="0" xr:uid="{B64E9DCE-1613-2D4B-9AAF-BACAE994C81E}">
      <text>
        <t>[Threaded comment]
Your version of Excel allows you to read this threaded comment; however, any edits to it will get removed if the file is opened in a newer version of Excel. Learn more: https://go.microsoft.com/fwlink/?linkid=870924
Comment:
    Bird</t>
      </text>
    </comment>
    <comment ref="Q9" authorId="9" shapeId="0" xr:uid="{6D838159-6824-6A4C-B1EF-189A2C6ECE53}">
      <text>
        <t>[Threaded comment]
Your version of Excel allows you to read this threaded comment; however, any edits to it will get removed if the file is opened in a newer version of Excel. Learn more: https://go.microsoft.com/fwlink/?linkid=870924
Comment:
    $6,139,765 QO
6/29/21 deadline
Bird RFA</t>
      </text>
    </comment>
    <comment ref="P10" authorId="10" shapeId="0" xr:uid="{A12A50D3-154A-0A46-B381-C64E586D7375}">
      <text>
        <t>[Threaded comment]
Your version of Excel allows you to read this threaded comment; however, any edits to it will get removed if the file is opened in a newer version of Excel. Learn more: https://go.microsoft.com/fwlink/?linkid=870924
Comment:
    $1,000,000 gt, fully gt on 10/17/20
If waived, Non Bird
$4,200,000 cap hold (max amount)</t>
      </text>
    </comment>
    <comment ref="Q10" authorId="11" shapeId="0" xr:uid="{A9ABF657-3C05-3443-89F2-7FDEDD05050F}">
      <text>
        <t>[Threaded comment]
Your version of Excel allows you to read this threaded comment; however, any edits to it will get removed if the file is opened in a newer version of Excel. Learn more: https://go.microsoft.com/fwlink/?linkid=870924
Comment:
    Early Bird</t>
      </text>
    </comment>
    <comment ref="Q11" authorId="12" shapeId="0" xr:uid="{553A6F9C-76D6-FC41-ADF7-5AE67AC466C5}">
      <text>
        <t>[Threaded comment]
Your version of Excel allows you to read this threaded comment; however, any edits to it will get removed if the file is opened in a newer version of Excel. Learn more: https://go.microsoft.com/fwlink/?linkid=870924
Comment:
    10/31/20 deadline (revised date TBD)</t>
      </text>
    </comment>
    <comment ref="R11" authorId="13" shapeId="0" xr:uid="{EB27DFB7-4405-394D-9C40-A7EBDDCE7538}">
      <text>
        <t>[Threaded comment]
Your version of Excel allows you to read this threaded comment; however, any edits to it will get removed if the file is opened in a newer version of Excel. Learn more: https://go.microsoft.com/fwlink/?linkid=870924
Comment:
    10/31/21 deadline</t>
      </text>
    </comment>
    <comment ref="S11" authorId="14" shapeId="0" xr:uid="{5F37FAC8-6947-744F-B004-FCECA6DE19DA}">
      <text>
        <t>[Threaded comment]
Your version of Excel allows you to read this threaded comment; however, any edits to it will get removed if the file is opened in a newer version of Excel. Learn more: https://go.microsoft.com/fwlink/?linkid=870924
Comment:
    $6,762,016 QO
6/29/23 deadline
Bird RFA</t>
      </text>
    </comment>
    <comment ref="Q12" authorId="15" shapeId="0" xr:uid="{B0ED55A1-D5CE-4E44-89D2-FF384AB88761}">
      <text>
        <t>[Threaded comment]
Your version of Excel allows you to read this threaded comment; however, any edits to it will get removed if the file is opened in a newer version of Excel. Learn more: https://go.microsoft.com/fwlink/?linkid=870924
Comment:
    10/31/20 deadline (revised date TBD)</t>
      </text>
    </comment>
    <comment ref="R12" authorId="16" shapeId="0" xr:uid="{345C4DDD-1296-4D41-AD08-FCA4D929165E}">
      <text>
        <t>[Threaded comment]
Your version of Excel allows you to read this threaded comment; however, any edits to it will get removed if the file is opened in a newer version of Excel. Learn more: https://go.microsoft.com/fwlink/?linkid=870924
Comment:
    $5,791,702 QO
6/29/22 deadline
Bird RFA</t>
      </text>
    </comment>
    <comment ref="Q13" authorId="17" shapeId="0" xr:uid="{D05588E5-04C1-694B-9F8D-DDAFA167445A}">
      <text>
        <t>[Threaded comment]
Your version of Excel allows you to read this threaded comment; however, any edits to it will get removed if the file is opened in a newer version of Excel. Learn more: https://go.microsoft.com/fwlink/?linkid=870924
Comment:
    6/29/21 deadline
If declined, Bird RFA</t>
      </text>
    </comment>
    <comment ref="R13" authorId="18" shapeId="0" xr:uid="{228C2EBE-979B-4440-B67B-598345BED5D0}">
      <text>
        <t>[Threaded comment]
Your version of Excel allows you to read this threaded comment; however, any edits to it will get removed if the file is opened in a newer version of Excel. Learn more: https://go.microsoft.com/fwlink/?linkid=870924
Comment:
    Bird</t>
      </text>
    </comment>
    <comment ref="P14" authorId="19" shapeId="0" xr:uid="{BCF6DAB2-39FF-C242-A20A-ED9FE8CB1F8F}">
      <text>
        <t>[Threaded comment]
Your version of Excel allows you to read this threaded comment; however, any edits to it will get removed if the file is opened in a newer version of Excel. Learn more: https://go.microsoft.com/fwlink/?linkid=870924
Comment:
    Monta Ellis</t>
      </text>
    </comment>
    <comment ref="Q14" authorId="20" shapeId="0" xr:uid="{C8785706-3291-3341-B0EB-711714DB639F}">
      <text>
        <t>[Threaded comment]
Your version of Excel allows you to read this threaded comment; however, any edits to it will get removed if the file is opened in a newer version of Excel. Learn more: https://go.microsoft.com/fwlink/?linkid=870924
Comment:
    Monta Ellis</t>
      </text>
    </comment>
    <comment ref="P17" authorId="21" shapeId="0" xr:uid="{3AB736E8-6A71-E641-B344-7C487CE13405}">
      <text>
        <t>[Threaded comment]
Your version of Excel allows you to read this threaded comment; however, any edits to it will get removed if the file is opened in a newer version of Excel. Learn more: https://go.microsoft.com/fwlink/?linkid=870924
Comment:
    Non Bird</t>
      </text>
    </comment>
    <comment ref="P18" authorId="22" shapeId="0" xr:uid="{D2ED40B3-91E6-054A-B793-0D671354984D}">
      <text>
        <t>[Threaded comment]
Your version of Excel allows you to read this threaded comment; however, any edits to it will get removed if the file is opened in a newer version of Excel. Learn more: https://go.microsoft.com/fwlink/?linkid=870924
Comment:
    Non Bird</t>
      </text>
    </comment>
    <comment ref="P19" authorId="23" shapeId="0" xr:uid="{ADC1E42A-C40A-594D-914A-E6EAB4E9EE67}">
      <text>
        <t>[Threaded comment]
Your version of Excel allows you to read this threaded comment; however, any edits to it will get removed if the file is opened in a newer version of Excel. Learn more: https://go.microsoft.com/fwlink/?linkid=870924
Comment:
    Early Bird RFA</t>
      </text>
    </comment>
    <comment ref="P20" authorId="24" shapeId="0" xr:uid="{804B2EA9-AA23-5D46-AE0A-30C15AE166F4}">
      <text>
        <t>[Threaded comment]
Your version of Excel allows you to read this threaded comment; however, any edits to it will get removed if the file is opened in a newer version of Excel. Learn more: https://go.microsoft.com/fwlink/?linkid=870924
Comment:
    2W RFA</t>
      </text>
    </comment>
    <comment ref="P21" authorId="25" shapeId="0" xr:uid="{295CD237-28D3-974F-B573-76B3734D5005}">
      <text>
        <t>[Threaded comment]
Your version of Excel allows you to read this threaded comment; however, any edits to it will get removed if the file is opened in a newer version of Excel. Learn more: https://go.microsoft.com/fwlink/?linkid=870924
Comment:
    2W RFA</t>
      </text>
    </comment>
    <comment ref="P25" authorId="26" shapeId="0" xr:uid="{83AFBE88-0D20-AB4D-9D22-50F0078C3C07}">
      <text>
        <t>[Threaded comment]
Your version of Excel allows you to read this threaded comment; however, any edits to it will get removed if the file is opened in a newer version of Excel. Learn more: https://go.microsoft.com/fwlink/?linkid=870924
Comment:
    11 players: Victor Oladipo / Malcolm Brogdon / Domantas Sabonis / Myles Turner / T.J. Warren / Jeremy Lamb / Doug McDermott / T.J. Leaf / Goga Bitadze / Aaron Holiday / Edmond Sumner
2020 2nd (#54)
Justin Holiday (Non Bird)
T.J. McConnell (PG)
JaKarr Sampson (Non Bird)
Alize Johnson (Early Bird RFA)
Naz Mitrou Long (2W RFA)
Brian Bowen II (2W RFA)</t>
      </text>
    </comment>
    <comment ref="P26" authorId="27" shapeId="0" xr:uid="{3CF744FE-5353-B143-9E75-BD8300CAA251}">
      <text>
        <t>[Threaded comment]
Your version of Excel allows you to read this threaded comment; however, any edits to it will get removed if the file is opened in a newer version of Excel. Learn more: https://go.microsoft.com/fwlink/?linkid=870924
Comment:
    12 players: Victor Oladipo / Malcolm Brogdon / Domantas Sabonis / Myles Turner / T.J. Warren / Jeremy Lamb / Doug McDermott / T.J. Leaf / T.J. McConnell (PG) / Goga Bitadze / Aaron Holiday / Edmond Sumner
2020 2nd (#54)
Justin Holiday (Non Bird)
JaKarr Sampson (Non Bird)
Alize Johnson (Early Bird RFA)
Naz Mitrou Long (2W RFA)
Brian Bowen II (2W RFA)</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tc={4E56E26F-E92E-DD41-A171-9BFB2037AC55}</author>
    <author>tc={EF0BB603-07BF-7246-B703-D443B5F12C8E}</author>
    <author>tc={3E8F7E2F-C830-E047-8B8B-ECC62DCA76F3}</author>
    <author>tc={C8A9337E-B0B6-DE49-9212-D437AD507C9A}</author>
    <author>tc={8AE07063-3B77-0B4B-ABE6-BBAAD7DB8A15}</author>
  </authors>
  <commentList>
    <comment ref="C1" authorId="0" shapeId="0" xr:uid="{4E56E26F-E92E-DD41-A171-9BFB2037AC55}">
      <text>
        <t>[Threaded comment]
Your version of Excel allows you to read this threaded comment; however, any edits to it will get removed if the file is opened in a newer version of Excel. Learn more: https://go.microsoft.com/fwlink/?linkid=870924
Comment:
    per Cleaning The Glass</t>
      </text>
    </comment>
    <comment ref="W1" authorId="1" shapeId="0" xr:uid="{EF0BB603-07BF-7246-B703-D443B5F12C8E}">
      <text>
        <t>[Threaded comment]
Your version of Excel allows you to read this threaded comment; however, any edits to it will get removed if the file is opened in a newer version of Excel. Learn more: https://go.microsoft.com/fwlink/?linkid=870924
Comment:
    per Basketball Reference</t>
      </text>
    </comment>
    <comment ref="P25" authorId="2" shapeId="0" xr:uid="{3E8F7E2F-C830-E047-8B8B-ECC62DCA76F3}">
      <text>
        <t>[Threaded comment]
Your version of Excel allows you to read this threaded comment; however, any edits to it will get removed if the file is opened in a newer version of Excel. Learn more: https://go.microsoft.com/fwlink/?linkid=870924
Comment:
    10 players: Paul George / Kawhi Leonard / Patrick Beverley / Lou Williams / Ivica Zubac / Rodney McGruder / Landry Shamet / Mfiondu Kabengele / Terance Mann / Amir Coffey (2W)
2020 2nd (#57)
Marcus Morris (Non Bird)
Montrezl Harrell (Bird)
JaMychal Green (PO)
Joakim Noah (NG)
Patrick Patterson (Non Bird)
Reggie Jackson (Non Bird)
Jonathan Motley (2W RFA)</t>
      </text>
    </comment>
    <comment ref="P26" authorId="3" shapeId="0" xr:uid="{C8A9337E-B0B6-DE49-9212-D437AD507C9A}">
      <text>
        <t>[Threaded comment]
Your version of Excel allows you to read this threaded comment; however, any edits to it will get removed if the file is opened in a newer version of Excel. Learn more: https://go.microsoft.com/fwlink/?linkid=870924
Comment:
    11 players: Paul George / Kawhi Leonard / Patrick Beverley / Lou Williams / Ivica Zubac / Rodney McGruder / JaMychal Green (PO) / Landry Shamet / Mfiondu Kabengele / Terance Mann / Amir Coffey (2W)
2020 2nd (#57)
Marcus Morris (Non Bird)
Montrezl Harrell (Bird)
Joakim Noah (NG)
Patrick Patterson (Non Bird)
Reggie Jackson (Non Bird)
Jonathan Motley (2W RFA)</t>
      </text>
    </comment>
    <comment ref="P27" authorId="4" shapeId="0" xr:uid="{8AE07063-3B77-0B4B-ABE6-BBAAD7DB8A15}">
      <text>
        <t>[Threaded comment]
Your version of Excel allows you to read this threaded comment; however, any edits to it will get removed if the file is opened in a newer version of Excel. Learn more: https://go.microsoft.com/fwlink/?linkid=870924
Comment:
    12 players: Paul George / Kawhi Leonard / Patrick Beverley / Lou Williams / Ivica Zubac / Rodney McGruder / JaMychal Green (PO) / Joakim Noah (NG) / Landry Shamet / Mfiondu Kabengele / Terance Mann / Amir Coffey (2W)
2020 2nd (#57)
Marcus Morris (Non Bird)
Montrezl Harrell (Bird)
Patrick Patterson (Non Bird)
Reggie Jackson (Non Bird)
Jonathan Motley (2W RFA)</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tc={5347D57B-BE88-904A-9B5C-D0DE8CA7BCCE}</author>
    <author>tc={39710D51-1C6B-564E-97D6-9EA74F65D803}</author>
    <author>tc={E2DD5A98-D57D-A54E-917D-E7BC56174032}</author>
    <author>tc={C6F30F26-2787-0D4D-8F37-77613790CD10}</author>
    <author>tc={53EA6F4A-738C-1A4E-8B99-FB50FDEB960C}</author>
    <author>tc={24325485-7BE7-B144-9605-DC3BCCAA5B3B}</author>
    <author>tc={0090D79C-3DFC-2548-8C8D-C11D9DD851B6}</author>
    <author>tc={A21B09E4-128B-1B46-8630-1AFFE9BE31C7}</author>
  </authors>
  <commentList>
    <comment ref="C1" authorId="0" shapeId="0" xr:uid="{5347D57B-BE88-904A-9B5C-D0DE8CA7BCCE}">
      <text>
        <t>[Threaded comment]
Your version of Excel allows you to read this threaded comment; however, any edits to it will get removed if the file is opened in a newer version of Excel. Learn more: https://go.microsoft.com/fwlink/?linkid=870924
Comment:
    per Cleaning The Glass</t>
      </text>
    </comment>
    <comment ref="W1" authorId="1" shapeId="0" xr:uid="{39710D51-1C6B-564E-97D6-9EA74F65D803}">
      <text>
        <t>[Threaded comment]
Your version of Excel allows you to read this threaded comment; however, any edits to it will get removed if the file is opened in a newer version of Excel. Learn more: https://go.microsoft.com/fwlink/?linkid=870924
Comment:
    per Basketball Reference</t>
      </text>
    </comment>
    <comment ref="P14" authorId="2" shapeId="0" xr:uid="{E2DD5A98-D57D-A54E-917D-E7BC56174032}">
      <text>
        <t>[Threaded comment]
Your version of Excel allows you to read this threaded comment; however, any edits to it will get removed if the file is opened in a newer version of Excel. Learn more: https://go.microsoft.com/fwlink/?linkid=870924
Comment:
    Luol Deng</t>
      </text>
    </comment>
    <comment ref="Q14" authorId="3" shapeId="0" xr:uid="{C6F30F26-2787-0D4D-8F37-77613790CD10}">
      <text>
        <t>[Threaded comment]
Your version of Excel allows you to read this threaded comment; however, any edits to it will get removed if the file is opened in a newer version of Excel. Learn more: https://go.microsoft.com/fwlink/?linkid=870924
Comment:
    Luol Deng</t>
      </text>
    </comment>
    <comment ref="P26" authorId="4" shapeId="0" xr:uid="{53EA6F4A-738C-1A4E-8B99-FB50FDEB960C}">
      <text>
        <t>[Threaded comment]
Your version of Excel allows you to read this threaded comment; however, any edits to it will get removed if the file is opened in a newer version of Excel. Learn more: https://go.microsoft.com/fwlink/?linkid=870924
Comment:
    6 players: LeBron James / Danny Green / Kyle Kuzma / Alex Caruso / Talen Horton-Tucker / Devontae Cacok (2W)
2020 1st (#28)
Anthony Davis (PO)
Kentavious Caldwell-Pope (PO)
Avery Bradley (PO)
JaVale McGee (PO)
Quinn Cook (PG)
Rajon Rondo (PO)
Markieff Morris (Non Bird)
Jared Dudley (Non Bird)
Dwight Howard (Non Bird)
Dion Waiters (Non Bird)
J.R. Smith (No Rights)
Kostas Antetokounmpo (2W RFA)</t>
      </text>
    </comment>
    <comment ref="P27" authorId="5" shapeId="0" xr:uid="{24325485-7BE7-B144-9605-DC3BCCAA5B3B}">
      <text>
        <t>[Threaded comment]
Your version of Excel allows you to read this threaded comment; however, any edits to it will get removed if the file is opened in a newer version of Excel. Learn more: https://go.microsoft.com/fwlink/?linkid=870924
Comment:
    11 players: LeBron James / Anthony Davis (PO) / Danny Green / Kentavious Caldwell-Pope (PO) / Avery Bradley (PO) / JaVale McGee (PO) / Kyle Kuzma / Alex Caruso / Rajon Rondo (PO) / Talen Horton-Tucker / Devonte Cacok (2W)
2020 1st (#28)
Quinn Cook (PG)
Markieff Morris (Non Bird)
Jared Dudley (Non Bird)
Dwight Howard (Non Bird)
Dion Waiters (Non Bird)
J.R. Smith (No Rights)
Kostas Antetokounmpo (2W RFA)</t>
      </text>
    </comment>
    <comment ref="P28" authorId="6" shapeId="0" xr:uid="{0090D79C-3DFC-2548-8C8D-C11D9DD851B6}">
      <text>
        <t>[Threaded comment]
Your version of Excel allows you to read this threaded comment; however, any edits to it will get removed if the file is opened in a newer version of Excel. Learn more: https://go.microsoft.com/fwlink/?linkid=870924
Comment:
    12 players: LeBron James / Anthony Davis (PO) / Danny Green / Kentavious Caldwell-Pope (PO) / Avery Bradley (PO) / JaVale McGee (PO) / Kyle Kuzma / Quinn Cook (PG) / Alex Caruso / Rajon Rondo (PO) / Talen Horton-Tucker / Devontae Cacok (2W)
2020 1st (#28)
Markieff Morris (Non Bird)
Jared Dudley (Non Bird)
Dwight Howard (Non Bird)
Dion Waiters (Non Bird)
J.R. Smith (No Rights)
Kostas Antetokounmpo (2W RFA)</t>
      </text>
    </comment>
    <comment ref="P29" authorId="7" shapeId="0" xr:uid="{A21B09E4-128B-1B46-8630-1AFFE9BE31C7}">
      <text>
        <t>[Threaded comment]
Your version of Excel allows you to read this threaded comment; however, any edits to it will get removed if the file is opened in a newer version of Excel. Learn more: https://go.microsoft.com/fwlink/?linkid=870924
Comment:
    11 players: LeBron James / Danny Green / Kentavious Caldwell-Pope (PO) / Avery Bradley (PO) / JaVale McGee (PO) / Kyle Kuzma / Quinn Cook (PG) / Alex Caruso / Rajon Rondo (PO) / Talen Horton-Tucker / Devonte Cacok (2W)
2020 1st (#28)
Anthony Davis (declining PO)
Markieff Morris (Non Bird)
Jared Dudley (Non Bird)
Dwight Howard (Non Bird)
Dion Waiters (Non Bird)
J.R. Smith (No Rights)
Kostas Antetokounmpo (2W RFA)</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tc={7AE7EAEE-C8A7-0847-A70C-062DBC651235}</author>
    <author>tc={1079FF1A-BE4F-BE4C-87D8-4DF4F64A90AF}</author>
    <author>tc={8914C5E0-E7C6-6C41-A94D-B34D2F955D73}</author>
    <author>tc={B2CE14E1-4345-DE4F-82C6-8C1D610BA6C0}</author>
    <author>tc={A7CD8877-EE97-3B43-995E-8DC689341DFE}</author>
  </authors>
  <commentList>
    <comment ref="C1" authorId="0" shapeId="0" xr:uid="{7AE7EAEE-C8A7-0847-A70C-062DBC651235}">
      <text>
        <t>[Threaded comment]
Your version of Excel allows you to read this threaded comment; however, any edits to it will get removed if the file is opened in a newer version of Excel. Learn more: https://go.microsoft.com/fwlink/?linkid=870924
Comment:
    per Cleaning The Glass</t>
      </text>
    </comment>
    <comment ref="W1" authorId="1" shapeId="0" xr:uid="{1079FF1A-BE4F-BE4C-87D8-4DF4F64A90AF}">
      <text>
        <t>[Threaded comment]
Your version of Excel allows you to read this threaded comment; however, any edits to it will get removed if the file is opened in a newer version of Excel. Learn more: https://go.microsoft.com/fwlink/?linkid=870924
Comment:
    per Basketball Reference</t>
      </text>
    </comment>
    <comment ref="Y19" authorId="2" shapeId="0" xr:uid="{8914C5E0-E7C6-6C41-A94D-B34D2F955D73}">
      <text>
        <t>[Threaded comment]
Your version of Excel allows you to read this threaded comment; however, any edits to it will get removed if the file is opened in a newer version of Excel. Learn more: https://go.microsoft.com/fwlink/?linkid=870924
Comment:
    only w/ MEM (also 33 games w/ POR, 9 games w/ SAC)</t>
      </text>
    </comment>
    <comment ref="P25" authorId="3" shapeId="0" xr:uid="{B2CE14E1-4345-DE4F-82C6-8C1D610BA6C0}">
      <text>
        <t>[Threaded comment]
Your version of Excel allows you to read this threaded comment; however, any edits to it will get removed if the file is opened in a newer version of Excel. Learn more: https://go.microsoft.com/fwlink/?linkid=870924
Comment:
    11 players: Gorgui Dieng / Jonas Valanciunas / Justise Winslow / Dillon Brooks / Kyle Anderson / Ja Morant / Tyus Jones / Jaren Jackson Jr / Marco Guduric / Brandon Clarke / Grayson Allen
2020 PHX 2nd (#40)
Josh Jackson
DeAnthony Melton (EB RFA)
Jontay Porter (TO)
Anthony Tolliver (Non Bird)
Yuta Watanabe (2W RFA)
John Konchar (2W RFA)</t>
      </text>
    </comment>
    <comment ref="P26" authorId="4" shapeId="0" xr:uid="{A7CD8877-EE97-3B43-995E-8DC689341DFE}">
      <text>
        <t>[Threaded comment]
Your version of Excel allows you to read this threaded comment; however, any edits to it will get removed if the file is opened in a newer version of Excel. Learn more: https://go.microsoft.com/fwlink/?linkid=870924
Comment:
    12 players: Gorgui Dieng / Jonas Valanciunas / Justise Winslow / Dillon Brooks / Kyle Anderson / Ja Morant / Tyus Jones / Jaren Jackson Jr / Marco Guduric / Brandon Clarke / Grayson Allen / Jontay Porter (TO)
2020 PHX 2nd (#40)
Josh Jackson
DeAnthony Melton (EB RFA)
Anthony Tolliver (Non Bird)
Yuta Watanabe (2W RFA)
John Konchar (2W RFA)</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tc={BAAE4130-6C71-654C-9026-0A171156CCBE}</author>
    <author>tc={E1202C58-C91E-CC4E-8541-9724ED855C88}</author>
    <author>tc={778B2608-EDBE-EF41-8659-8068FE90BD99}</author>
    <author>tc={42CFF441-88E1-E34C-8C7B-18E002A85204}</author>
    <author>tc={F46EF84E-D6A3-654A-8C21-DE4F5BFB0036}</author>
    <author>tc={86D40DFA-F764-CD46-B08A-D81E69C9B3DE}</author>
    <author>tc={2666537A-246D-1945-A362-9F4F959C3836}</author>
    <author>tc={B63260CC-A71B-CC4B-AEA8-D4E664B78E49}</author>
    <author>tc={CBDE129F-AE98-C44B-84FF-9BBBF7B2DEF2}</author>
  </authors>
  <commentList>
    <comment ref="C1" authorId="0" shapeId="0" xr:uid="{BAAE4130-6C71-654C-9026-0A171156CCBE}">
      <text>
        <t>[Threaded comment]
Your version of Excel allows you to read this threaded comment; however, any edits to it will get removed if the file is opened in a newer version of Excel. Learn more: https://go.microsoft.com/fwlink/?linkid=870924
Comment:
    per Cleaning The Glass</t>
      </text>
    </comment>
    <comment ref="W1" authorId="1" shapeId="0" xr:uid="{E1202C58-C91E-CC4E-8541-9724ED855C88}">
      <text>
        <t>[Threaded comment]
Your version of Excel allows you to read this threaded comment; however, any edits to it will get removed if the file is opened in a newer version of Excel. Learn more: https://go.microsoft.com/fwlink/?linkid=870924
Comment:
    per Basketball Reference</t>
      </text>
    </comment>
    <comment ref="P11" authorId="2" shapeId="0" xr:uid="{778B2608-EDBE-EF41-8659-8068FE90BD99}">
      <text>
        <t>[Threaded comment]
Your version of Excel allows you to read this threaded comment; however, any edits to it will get removed if the file is opened in a newer version of Excel. Learn more: https://go.microsoft.com/fwlink/?linkid=870924
Comment:
    Ryan Anderson / A.J. Hammons</t>
      </text>
    </comment>
    <comment ref="Q11" authorId="3" shapeId="0" xr:uid="{42CFF441-88E1-E34C-8C7B-18E002A85204}">
      <text>
        <t>[Threaded comment]
Your version of Excel allows you to read this threaded comment; however, any edits to it will get removed if the file is opened in a newer version of Excel. Learn more: https://go.microsoft.com/fwlink/?linkid=870924
Comment:
    Ryan Anderson</t>
      </text>
    </comment>
    <comment ref="P25" authorId="4" shapeId="0" xr:uid="{F46EF84E-D6A3-654A-8C21-DE4F5BFB0036}">
      <text>
        <t>[Threaded comment]
Your version of Excel allows you to read this threaded comment; however, any edits to it will get removed if the file is opened in a newer version of Excel. Learn more: https://go.microsoft.com/fwlink/?linkid=870924
Comment:
    6 players: Jimmy Butler / Andre Iguodala / Bam Adebayo / Tyler Herro / KZ Okpala / Chris Silva
2020 1st (#20)
Goran Dragic (Bird)
Kelly Olynyk (PO)
Solomon Hill (Bird)
Meyers Leonard (Bird)
Jae Crowder (Bird)
Derrick Jones Jr (Bird)
Udonis Haslem (Bird)
Duncan Robinson (NG)
Kendrick Nunn (NG)
Kyle Alexander (2W RFA)
Gabe Vincent (2W RFA)</t>
      </text>
    </comment>
    <comment ref="Q25" authorId="5" shapeId="0" xr:uid="{86D40DFA-F764-CD46-B08A-D81E69C9B3DE}">
      <text>
        <t>[Threaded comment]
Your version of Excel allows you to read this threaded comment; however, any edits to it will get removed if the file is opened in a newer version of Excel. Learn more: https://go.microsoft.com/fwlink/?linkid=870924
Comment:
    Jimmy Butler / Bam Adebayo (hold) / Tyler Herro (rookie option) / Duncan Robinson (hold) / Kendrick Nunn (hold) / KZ Okpala / 2020 1st (#20)</t>
      </text>
    </comment>
    <comment ref="P26" authorId="6" shapeId="0" xr:uid="{2666537A-246D-1945-A362-9F4F959C3836}">
      <text>
        <t>[Threaded comment]
Your version of Excel allows you to read this threaded comment; however, any edits to it will get removed if the file is opened in a newer version of Excel. Learn more: https://go.microsoft.com/fwlink/?linkid=870924
Comment:
    7 players: Jimmy Butler / Andre Iguodala / Kelly Olynyk (PO) / Bam Adebayo / Tyler Herro / KZ Okpala / Chris Silva
2020 1st (#20)
Goran Dragic (Bird)
Solomon Hill (Bird)
Meyers Leonard (Bird)
Jae Crowder (Bird)
Derrick Jones Jr (Bird)
Udonis Haslem (Bird)
Duncan Robinson (NG)
Kendrick Nunn (NG)
Kyle Alexander (2W RFA)
Gabe Vincent (2W RFA)</t>
      </text>
    </comment>
    <comment ref="P27" authorId="7" shapeId="0" xr:uid="{B63260CC-A71B-CC4B-AEA8-D4E664B78E49}">
      <text>
        <t>[Threaded comment]
Your version of Excel allows you to read this threaded comment; however, any edits to it will get removed if the file is opened in a newer version of Excel. Learn more: https://go.microsoft.com/fwlink/?linkid=870924
Comment:
    9 players: Jimmy Butler / Andre Iguodala / Kelly Olynyk (PO) / Bam Adebayo / Tyler Herro / Duncan Robinson (NG) / Kendrick Nunn (NG) / KZ Okpala / Chris Silva
2020 1st (#20)
Goran Dragic (Bird)
Solomon Hill (Bird)
Meyers Leonard (Bird)
Jae Crowder (Bird)
Derrick Jones Jr (Bird)
Udonis Haslem (Bird)
Kyle Alexander (2W RFA)
Gabe Vincent (2W RFA)</t>
      </text>
    </comment>
    <comment ref="P28" authorId="8" shapeId="0" xr:uid="{CBDE129F-AE98-C44B-84FF-9BBBF7B2DEF2}">
      <text>
        <t>[Threaded comment]
Your version of Excel allows you to read this threaded comment; however, any edits to it will get removed if the file is opened in a newer version of Excel. Learn more: https://go.microsoft.com/fwlink/?linkid=870924
Comment:
    8 players: Jimmy Butler / Andre Iguodala / Bam Adebayo / Tyler Herro / Duncan Robinson (NG) / Kendrick Nunn (NG) / KZ Okpala / Chris Silva
2020 1st (#20)
Goran Dragic (Bird)
Kelly Olynyk (PO)
Solomon Hill (Bird)
Meyers Leonard (Bird)
Jae Crowder (Bird)
Derrick Jones Jr (Bird)
Udonis Haslem (Bird)
Kyle Alexander (2W RFA)
Gabe Vincent (2W RFA)</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tc={9178FE07-8A74-EA4A-AC46-BE7BC184EC18}</author>
    <author>tc={12EA62CD-022D-7646-92E6-10270C130C04}</author>
    <author>tc={75F99D64-7824-244D-86DA-52E2B047D3C0}</author>
    <author>tc={D23B683F-2C60-D042-AF97-86B8FCBAA409}</author>
    <author>tc={51C363B0-2AE2-4A42-BD27-6171994380BC}</author>
    <author>tc={2A3245C9-E7E0-2541-9FE3-5BFD9FE1FBB7}</author>
    <author>tc={8580BBD1-97A8-044F-8222-1B906BD42C74}</author>
    <author>tc={A0FFD74E-DDE6-FB47-8201-66B4C016FFC9}</author>
    <author>tc={8FC0A713-495C-584F-9C65-6F51CD7B8AEA}</author>
    <author>tc={F9206F4B-C3D9-FD4D-849F-5E5FC0DBE0B6}</author>
    <author>tc={66446EF8-88C4-4347-BC11-F97FD9173C4E}</author>
    <author>tc={2A7E08CA-D454-1A4B-949E-00AB4C1B8712}</author>
    <author>tc={AE36CCEA-8A7F-794B-B47F-4AD2B5075C11}</author>
    <author>tc={F0D5B544-670B-E744-8CCC-6FA1FD244C66}</author>
    <author>tc={ED708D0D-5CAE-754E-802D-6AB47CBFE40A}</author>
    <author>tc={C75BA0E4-96CB-BB48-B882-9327B1FC41BF}</author>
    <author>tc={B16644D7-6CB1-684F-ADA6-491DC0F0F116}</author>
    <author>tc={DFC0BABB-B6FC-1448-A48C-65110BA89D7D}</author>
    <author>tc={B6A402C0-79CF-9148-8EF9-00297934F7E1}</author>
    <author>tc={83B12865-B773-6A45-927A-CBF2AB8B314C}</author>
    <author>tc={0B1E5631-73F6-6547-A511-889173E86E03}</author>
    <author>tc={763A3F49-BA50-7049-8307-92108C342A46}</author>
    <author>tc={6BB844AE-7F6F-0A41-981A-A29B47792C93}</author>
    <author>tc={59F873F7-4402-3F4D-9FF9-3F269F169709}</author>
    <author>tc={9E7DCC5F-3AC0-1947-96B3-6208C48008D8}</author>
    <author>tc={167B312B-1CB9-0A42-9F18-05173547305A}</author>
    <author>tc={A5853328-8700-4340-A11D-562BB99109F4}</author>
    <author>tc={A90F79BB-EFB6-2A48-B4DF-C3238BFC0AA4}</author>
    <author>tc={808F9468-4152-DB49-9177-8DA030769210}</author>
  </authors>
  <commentList>
    <comment ref="C1" authorId="0" shapeId="0" xr:uid="{9178FE07-8A74-EA4A-AC46-BE7BC184EC18}">
      <text>
        <t>[Threaded comment]
Your version of Excel allows you to read this threaded comment; however, any edits to it will get removed if the file is opened in a newer version of Excel. Learn more: https://go.microsoft.com/fwlink/?linkid=870924
Comment:
    per Cleaning The Glass</t>
      </text>
    </comment>
    <comment ref="W1" authorId="1" shapeId="0" xr:uid="{12EA62CD-022D-7646-92E6-10270C130C04}">
      <text>
        <t>[Threaded comment]
Your version of Excel allows you to read this threaded comment; however, any edits to it will get removed if the file is opened in a newer version of Excel. Learn more: https://go.microsoft.com/fwlink/?linkid=870924
Comment:
    per Basketball Reference</t>
      </text>
    </comment>
    <comment ref="T2" authorId="2" shapeId="0" xr:uid="{75F99D64-7824-244D-86DA-52E2B047D3C0}">
      <text>
        <t>[Threaded comment]
Your version of Excel allows you to read this threaded comment; however, any edits to it will get removed if the file is opened in a newer version of Excel. Learn more: https://go.microsoft.com/fwlink/?linkid=870924
Comment:
    Bird</t>
      </text>
    </comment>
    <comment ref="Q3" authorId="3" shapeId="0" xr:uid="{D23B683F-2C60-D042-AF97-86B8FCBAA409}">
      <text>
        <t>[Threaded comment]
Your version of Excel allows you to read this threaded comment; however, any edits to it will get removed if the file is opened in a newer version of Excel. Learn more: https://go.microsoft.com/fwlink/?linkid=870924
Comment:
    Bird</t>
      </text>
    </comment>
    <comment ref="R4" authorId="4" shapeId="0" xr:uid="{51C363B0-2AE2-4A42-BD27-6171994380BC}">
      <text>
        <t>[Threaded comment]
Your version of Excel allows you to read this threaded comment; however, any edits to it will get removed if the file is opened in a newer version of Excel. Learn more: https://go.microsoft.com/fwlink/?linkid=870924
Comment:
    $3,900,000 gt
6/29/22 gt date</t>
      </text>
    </comment>
    <comment ref="S4" authorId="5" shapeId="0" xr:uid="{2A3245C9-E7E0-2541-9FE3-5BFD9FE1FBB7}">
      <text>
        <t>[Threaded comment]
Your version of Excel allows you to read this threaded comment; however, any edits to it will get removed if the file is opened in a newer version of Excel. Learn more: https://go.microsoft.com/fwlink/?linkid=870924
Comment:
    Bird</t>
      </text>
    </comment>
    <comment ref="S5" authorId="6" shapeId="0" xr:uid="{8580BBD1-97A8-044F-8222-1B906BD42C74}">
      <text>
        <t>[Threaded comment]
Your version of Excel allows you to read this threaded comment; however, any edits to it will get removed if the file is opened in a newer version of Excel. Learn more: https://go.microsoft.com/fwlink/?linkid=870924
Comment:
    Bird</t>
      </text>
    </comment>
    <comment ref="Q6" authorId="7" shapeId="0" xr:uid="{A0FFD74E-DDE6-FB47-8201-66B4C016FFC9}">
      <text>
        <t>[Threaded comment]
Your version of Excel allows you to read this threaded comment; however, any edits to it will get removed if the file is opened in a newer version of Excel. Learn more: https://go.microsoft.com/fwlink/?linkid=870924
Comment:
    $1,275,491 gt
7/1/21 gt date</t>
      </text>
    </comment>
    <comment ref="P7" authorId="8" shapeId="0" xr:uid="{8FC0A713-495C-584F-9C65-6F51CD7B8AEA}">
      <text>
        <t>[Threaded comment]
Your version of Excel allows you to read this threaded comment; however, any edits to it will get removed if the file is opened in a newer version of Excel. Learn more: https://go.microsoft.com/fwlink/?linkid=870924
Comment:
    fully NG
gt date “two days after NBA draft” (10/18/20)
If waived, Early Bird</t>
      </text>
    </comment>
    <comment ref="Q7" authorId="9" shapeId="0" xr:uid="{F9206F4B-C3D9-FD4D-849F-5E5FC0DBE0B6}">
      <text>
        <t>[Threaded comment]
Your version of Excel allows you to read this threaded comment; however, any edits to it will get removed if the file is opened in a newer version of Excel. Learn more: https://go.microsoft.com/fwlink/?linkid=870924
Comment:
    Bird</t>
      </text>
    </comment>
    <comment ref="P8" authorId="10" shapeId="0" xr:uid="{66446EF8-88C4-4347-BC11-F97FD9173C4E}">
      <text>
        <t>[Threaded comment]
Your version of Excel allows you to read this threaded comment; however, any edits to it will get removed if the file is opened in a newer version of Excel. Learn more: https://go.microsoft.com/fwlink/?linkid=870924
Comment:
    $5,720,400 cap hold
Non Bird</t>
      </text>
    </comment>
    <comment ref="Q8" authorId="11" shapeId="0" xr:uid="{2A7E08CA-D454-1A4B-949E-00AB4C1B8712}">
      <text>
        <t>[Threaded comment]
Your version of Excel allows you to read this threaded comment; however, any edits to it will get removed if the file is opened in a newer version of Excel. Learn more: https://go.microsoft.com/fwlink/?linkid=870924
Comment:
    Early Bird</t>
      </text>
    </comment>
    <comment ref="Q9" authorId="12" shapeId="0" xr:uid="{AE36CCEA-8A7F-794B-B47F-4AD2B5075C11}">
      <text>
        <t>[Threaded comment]
Your version of Excel allows you to read this threaded comment; however, any edits to it will get removed if the file is opened in a newer version of Excel. Learn more: https://go.microsoft.com/fwlink/?linkid=870924
Comment:
    $6,422,171 QO</t>
      </text>
    </comment>
    <comment ref="Q10" authorId="13" shapeId="0" xr:uid="{F0D5B544-670B-E744-8CCC-6FA1FD244C66}">
      <text>
        <t>[Threaded comment]
Your version of Excel allows you to read this threaded comment; however, any edits to it will get removed if the file is opened in a newer version of Excel. Learn more: https://go.microsoft.com/fwlink/?linkid=870924
Comment:
    10/31/20 deadline (revised date TBD)</t>
      </text>
    </comment>
    <comment ref="R10" authorId="14" shapeId="0" xr:uid="{ED708D0D-5CAE-754E-802D-6AB47CBFE40A}">
      <text>
        <t>[Threaded comment]
Your version of Excel allows you to read this threaded comment; however, any edits to it will get removed if the file is opened in a newer version of Excel. Learn more: https://go.microsoft.com/fwlink/?linkid=870924
Comment:
    $6,602,272 QO</t>
      </text>
    </comment>
    <comment ref="P11" authorId="15" shapeId="0" xr:uid="{C75BA0E4-96CB-BB48-B882-9327B1FC41BF}">
      <text>
        <t>[Threaded comment]
Your version of Excel allows you to read this threaded comment; however, any edits to it will get removed if the file is opened in a newer version of Excel. Learn more: https://go.microsoft.com/fwlink/?linkid=870924
Comment:
    Min cap hold
Non Bird</t>
      </text>
    </comment>
    <comment ref="Q11" authorId="16" shapeId="0" xr:uid="{B16644D7-6CB1-684F-ADA6-491DC0F0F116}">
      <text>
        <t xml:space="preserve">[Threaded comment]
Your version of Excel allows you to read this threaded comment; however, any edits to it will get removed if the file is opened in a newer version of Excel. Learn more: https://go.microsoft.com/fwlink/?linkid=870924
Comment:
    Early Bird </t>
      </text>
    </comment>
    <comment ref="Q12" authorId="17" shapeId="0" xr:uid="{DFC0BABB-B6FC-1448-A48C-65110BA89D7D}">
      <text>
        <t>[Threaded comment]
Your version of Excel allows you to read this threaded comment; however, any edits to it will get removed if the file is opened in a newer version of Excel. Learn more: https://go.microsoft.com/fwlink/?linkid=870924
Comment:
    Early Bird (RFA)</t>
      </text>
    </comment>
    <comment ref="P13" authorId="18" shapeId="0" xr:uid="{B6A402C0-79CF-9148-8EF9-00297934F7E1}">
      <text>
        <t>[Threaded comment]
Your version of Excel allows you to read this threaded comment; however, any edits to it will get removed if the file is opened in a newer version of Excel. Learn more: https://go.microsoft.com/fwlink/?linkid=870924
Comment:
    Jon Leuer / Larry Sanders</t>
      </text>
    </comment>
    <comment ref="Q13" authorId="19" shapeId="0" xr:uid="{83B12865-B773-6A45-927A-CBF2AB8B314C}">
      <text>
        <t>[Threaded comment]
Your version of Excel allows you to read this threaded comment; however, any edits to it will get removed if the file is opened in a newer version of Excel. Learn more: https://go.microsoft.com/fwlink/?linkid=870924
Comment:
    Jon Leuer / Larry Sanders</t>
      </text>
    </comment>
    <comment ref="P16" authorId="20" shapeId="0" xr:uid="{0B1E5631-73F6-6547-A511-889173E86E03}">
      <text>
        <t>[Threaded comment]
Your version of Excel allows you to read this threaded comment; however, any edits to it will get removed if the file is opened in a newer version of Excel. Learn more: https://go.microsoft.com/fwlink/?linkid=870924
Comment:
    Early Bird</t>
      </text>
    </comment>
    <comment ref="P17" authorId="21" shapeId="0" xr:uid="{763A3F49-BA50-7049-8307-92108C342A46}">
      <text>
        <t>[Threaded comment]
Your version of Excel allows you to read this threaded comment; however, any edits to it will get removed if the file is opened in a newer version of Excel. Learn more: https://go.microsoft.com/fwlink/?linkid=870924
Comment:
    Bird RFA if QO</t>
      </text>
    </comment>
    <comment ref="P18" authorId="22" shapeId="0" xr:uid="{6BB844AE-7F6F-0A41-981A-A29B47792C93}">
      <text>
        <t>[Threaded comment]
Your version of Excel allows you to read this threaded comment; however, any edits to it will get removed if the file is opened in a newer version of Excel. Learn more: https://go.microsoft.com/fwlink/?linkid=870924
Comment:
    Non Bird</t>
      </text>
    </comment>
    <comment ref="P19" authorId="23" shapeId="0" xr:uid="{59F873F7-4402-3F4D-9FF9-3F269F169709}">
      <text>
        <t>[Threaded comment]
Your version of Excel allows you to read this threaded comment; however, any edits to it will get removed if the file is opened in a newer version of Excel. Learn more: https://go.microsoft.com/fwlink/?linkid=870924
Comment:
    Non Bird</t>
      </text>
    </comment>
    <comment ref="P20" authorId="24" shapeId="0" xr:uid="{9E7DCC5F-3AC0-1947-96B3-6208C48008D8}">
      <text>
        <t>[Threaded comment]
Your version of Excel allows you to read this threaded comment; however, any edits to it will get removed if the file is opened in a newer version of Excel. Learn more: https://go.microsoft.com/fwlink/?linkid=870924
Comment:
    2W RFA</t>
      </text>
    </comment>
    <comment ref="P21" authorId="25" shapeId="0" xr:uid="{167B312B-1CB9-0A42-9F18-05173547305A}">
      <text>
        <t>[Threaded comment]
Your version of Excel allows you to read this threaded comment; however, any edits to it will get removed if the file is opened in a newer version of Excel. Learn more: https://go.microsoft.com/fwlink/?linkid=870924
Comment:
    2W RFA</t>
      </text>
    </comment>
    <comment ref="P25" authorId="26" shapeId="0" xr:uid="{A5853328-8700-4340-A11D-562BB99109F4}">
      <text>
        <t>[Threaded comment]
Your version of Excel allows you to read this threaded comment; however, any edits to it will get removed if the file is opened in a newer version of Excel. Learn more: https://go.microsoft.com/fwlink/?linkid=870924
Comment:
    8 players: Khris Middleton / Giannis Antetokounmpo / Eric Bledsoe / Brook Lopez / George Hill / D.J. Wilson / Donte Divincenzo / Thanasis Antetokounmpo
2020 IND 1st (#24)
Ersan Ilyasova (NG)
Robin Lopez (PO)
Wesley Matthews (PO)
Pat Connaughton (EB)
Sterling Bird (Bird RFA)
Kyle Korver (NB)
Marvin Williams (NB)
Cam Reynolds (2W RFA)
Frank Mason (2W RFA)</t>
      </text>
    </comment>
    <comment ref="P26" authorId="27" shapeId="0" xr:uid="{A90F79BB-EFB6-2A48-B4DF-C3238BFC0AA4}">
      <text>
        <t>[Threaded comment]
Your version of Excel allows you to read this threaded comment; however, any edits to it will get removed if the file is opened in a newer version of Excel. Learn more: https://go.microsoft.com/fwlink/?linkid=870924
Comment:
    10 players: Khris Middleton / Giannis Antetokounmpo / Eric Bledsoe / Brook Lopez / George Hill / Robin Lopez (PO) / D.J. Wilson / Donte Divincenzo / Wesley Matthews (PO) / Thanasis Antetokounmpo
2020 IND 1st (#24)
Ersan Ilyasova (NG)
Pat Connaughton (EB)
Sterling Bird (Bird RFA)
Kyle Korver (NB)
Marvin Williams (NB)
Cam Reynolds (2W RFA)
Frank Mason (2W RFA)</t>
      </text>
    </comment>
    <comment ref="P27" authorId="28" shapeId="0" xr:uid="{808F9468-4152-DB49-9177-8DA030769210}">
      <text>
        <t>[Threaded comment]
Your version of Excel allows you to read this threaded comment; however, any edits to it will get removed if the file is opened in a newer version of Excel. Learn more: https://go.microsoft.com/fwlink/?linkid=870924
Comment:
    11 players: Khris Middleton / Giannis Antetokounmpo / Eric Bledsoe / Brook Lopez / George Hill / Ersan Ilyasova (NG) / Robin Lopez (PO) / D.J. Wilson / Donte Divincenzo / Wesley Matthews (PO) / Thanasis Antetokounmpo
2020 IND 1st (#24)
Pat Connaughton (EB)
Sterling Bird (Bird RFA)
Kyle Korver (NB)
Marvin Williams (NB)
Cam Reynolds (2W RFA)
Frank Mason (2W RFA)</t>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tc={99DCA0B6-9F28-9540-BA45-487E6F662387}</author>
    <author>tc={3B8067F0-E637-7A4B-AB7B-6F2583F0D14D}</author>
    <author>tc={9394A6EF-BB98-5F4C-BBF5-DE247C1D12BE}</author>
    <author>tc={6719A550-978D-8B46-9D1B-5AA4049AF982}</author>
    <author>tc={C38E58E2-8A19-E644-9925-CBC984E45232}</author>
    <author>tc={0F23E8FD-A3D2-BC46-BBE5-F1586C550EB7}</author>
    <author>tc={64271E2E-9F39-E24D-ADEE-63A8AD069B9A}</author>
    <author>tc={457DB618-115E-604A-9F72-A8839B153E5A}</author>
    <author>tc={0D0592AE-5044-294D-8A7C-C36DAC6ABB95}</author>
    <author>tc={3CCD59C1-16A8-1748-BE8B-EA6D10C75D58}</author>
    <author>tc={A4CB0428-B225-0D46-A61B-6360E7BAB67E}</author>
  </authors>
  <commentList>
    <comment ref="C1" authorId="0" shapeId="0" xr:uid="{99DCA0B6-9F28-9540-BA45-487E6F662387}">
      <text>
        <t>[Threaded comment]
Your version of Excel allows you to read this threaded comment; however, any edits to it will get removed if the file is opened in a newer version of Excel. Learn more: https://go.microsoft.com/fwlink/?linkid=870924
Comment:
    per Cleaning The Glass</t>
      </text>
    </comment>
    <comment ref="W1" authorId="1" shapeId="0" xr:uid="{3B8067F0-E637-7A4B-AB7B-6F2583F0D14D}">
      <text>
        <t>[Threaded comment]
Your version of Excel allows you to read this threaded comment; however, any edits to it will get removed if the file is opened in a newer version of Excel. Learn more: https://go.microsoft.com/fwlink/?linkid=870924
Comment:
    per Basketball Reference</t>
      </text>
    </comment>
    <comment ref="P10" authorId="2" shapeId="0" xr:uid="{9394A6EF-BB98-5F4C-BBF5-DE247C1D12BE}">
      <text>
        <t>[Threaded comment]
Your version of Excel allows you to read this threaded comment; however, any edits to it will get removed if the file is opened in a newer version of Excel. Learn more: https://go.microsoft.com/fwlink/?linkid=870924
Comment:
    7/15/20 gt date (revised date TBD)</t>
      </text>
    </comment>
    <comment ref="P11" authorId="3" shapeId="0" xr:uid="{6719A550-978D-8B46-9D1B-5AA4049AF982}">
      <text>
        <t>[Threaded comment]
Your version of Excel allows you to read this threaded comment; however, any edits to it will get removed if the file is opened in a newer version of Excel. Learn more: https://go.microsoft.com/fwlink/?linkid=870924
Comment:
    1/10/21 gt date (revised date TBD)</t>
      </text>
    </comment>
    <comment ref="P12" authorId="4" shapeId="0" xr:uid="{C38E58E2-8A19-E644-9925-CBC984E45232}">
      <text>
        <t>[Threaded comment]
Your version of Excel allows you to read this threaded comment; however, any edits to it will get removed if the file is opened in a newer version of Excel. Learn more: https://go.microsoft.com/fwlink/?linkid=870924
Comment:
    1/10/21 gt date (revised date TBD)</t>
      </text>
    </comment>
    <comment ref="P13" authorId="5" shapeId="0" xr:uid="{0F23E8FD-A3D2-BC46-BBE5-F1586C550EB7}">
      <text>
        <t>[Threaded comment]
Your version of Excel allows you to read this threaded comment; however, any edits to it will get removed if the file is opened in a newer version of Excel. Learn more: https://go.microsoft.com/fwlink/?linkid=870924
Comment:
    Cole Aldrich</t>
      </text>
    </comment>
    <comment ref="P19" authorId="6" shapeId="0" xr:uid="{64271E2E-9F39-E24D-ADEE-63A8AD069B9A}">
      <text>
        <t>[Threaded comment]
Your version of Excel allows you to read this threaded comment; however, any edits to it will get removed if the file is opened in a newer version of Excel. Learn more: https://go.microsoft.com/fwlink/?linkid=870924
Comment:
    $4,642,00 QO</t>
      </text>
    </comment>
    <comment ref="P20" authorId="7" shapeId="0" xr:uid="{457DB618-115E-604A-9F72-A8839B153E5A}">
      <text>
        <t>[Threaded comment]
Your version of Excel allows you to read this threaded comment; however, any edits to it will get removed if the file is opened in a newer version of Excel. Learn more: https://go.microsoft.com/fwlink/?linkid=870924
Comment:
    $3,895,424 QO</t>
      </text>
    </comment>
    <comment ref="P26" authorId="8" shapeId="0" xr:uid="{0D0592AE-5044-294D-8A7C-C36DAC6ABB95}">
      <text>
        <t>[Threaded comment]
Your version of Excel allows you to read this threaded comment; however, any edits to it will get removed if the file is opened in a newer version of Excel. Learn more: https://go.microsoft.com/fwlink/?linkid=870924
Comment:
    7 players: Karl-Anthony Towns / D’Angelo Russell / Jarrett Culver / Jake Layman / Josh Okogie / Jacob Evans / Omari Spellman
2020 1st (#1)
2020 BKN 1st (#17)
2020 2nd (#33)
Evan Turner (Bird)
James Johnson (PO)
Juan Hernangomez (Bird RFA)
Malik Beasley (Bird RFA)
Jarred Vanderbilt (NG)
Jalen Nowell (NG)
Naz Reid (NG)
Kelan Martin (2W RFA)
Jordan McLaughlin (2W RFA)</t>
      </text>
    </comment>
    <comment ref="P27" authorId="9" shapeId="0" xr:uid="{3CCD59C1-16A8-1748-BE8B-EA6D10C75D58}">
      <text>
        <t>[Threaded comment]
Your version of Excel allows you to read this threaded comment; however, any edits to it will get removed if the file is opened in a newer version of Excel. Learn more: https://go.microsoft.com/fwlink/?linkid=870924
Comment:
    8 players: Karl-Anthony Towns / D’Angelo Russell / James Johnson (PO) / Jarrett Culver / Jake Layman / Josh Okogie / Jacob Evans / Omari Spellman
2020 1st (#1)
2020 BKN 1st (#17)
2020 2nd (#33)
Evan Turner (Bird)
Juan Hernangomez (Bird RFA)
Malik Beasley (Bird RFA)
Jarred Vanderbilt (NG)
Jalen Nowell (NG)
Naz Reid (NG)
Kelan Martin (2W RFA)
Jordan McLaughlin (2W RFA)</t>
      </text>
    </comment>
    <comment ref="P28" authorId="10" shapeId="0" xr:uid="{A4CB0428-B225-0D46-A61B-6360E7BAB67E}">
      <text>
        <t>[Threaded comment]
Your version of Excel allows you to read this threaded comment; however, any edits to it will get removed if the file is opened in a newer version of Excel. Learn more: https://go.microsoft.com/fwlink/?linkid=870924
Comment:
    11 players: Karl-Anthony Towns / D’Angelo Russell / James Johnson (PO) / Jarrett Culver / Jake Layman / Josh Okogie / Jacob Evans / Omari Spellman / Jarred Vanderbilt (NG) / Jalen Nowell (NG) / Naz Reid (NG)
2020 1st (#1)
2020 BKN 1st (#17)
2020 2nd (#33)
Evan Turner (Bird)
Juan Hernangomez (Bird RFA)
Malik Beasley (Bird RFA)
Kelan Martin (2W RFA)
Jordan McLaughlin (2W RFA)</t>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tc={A1CD1314-07ED-AB4D-B1C6-F99FE26C087E}</author>
    <author>tc={F417C6D9-E6D4-E142-8A16-50F4D57C7B3F}</author>
    <author>tc={D32A2C03-621B-9545-BF42-A39B2A9DA065}</author>
    <author>tc={5F717BAC-452F-064A-B05C-15F73F466ACF}</author>
    <author>tc={BDD714F3-CD63-9C4A-88C8-752B03F7CFEA}</author>
    <author>tc={DB557544-803C-994F-9996-7287CB41DAED}</author>
    <author>tc={9F0C5A7F-819C-DE46-8B77-65AEE085D1F9}</author>
    <author>tc={23DF2A61-2EA1-8546-8890-19601E51B2C5}</author>
    <author>tc={CD4C776B-4BE7-3C49-8C48-B685F53540F2}</author>
    <author>tc={BBA02FED-0F1C-264E-95C9-85CBB47E1F92}</author>
    <author>tc={F09032CF-87D5-6548-B97A-432D26743863}</author>
    <author>tc={B0DB536A-4B0D-C046-A662-4C2DC4AB3DC6}</author>
    <author>tc={2F08B18A-9A3F-EE45-8C9D-7DEE0644D9BA}</author>
    <author>tc={6C95609F-FD63-8641-9A8F-8BB3C8F9E32E}</author>
    <author>tc={CD60DED4-9A57-7C42-891E-6154426D7F7B}</author>
    <author>tc={7528DBDF-EED3-C843-BA7D-E1C5EBF76EC4}</author>
    <author>tc={5877CFC4-6148-EB49-8D1A-A73D03FDF093}</author>
    <author>tc={72E5FDF5-BF5F-AE4F-9EB8-B0F2029C21EF}</author>
    <author>tc={05C55E3B-625A-E645-B3EE-CE1F75889B76}</author>
    <author>tc={BED8222E-3F8D-CC4B-9F87-D90747BE6190}</author>
    <author>tc={D9F1C72E-FC44-3045-A07D-8D040B56F1EA}</author>
  </authors>
  <commentList>
    <comment ref="C1" authorId="0" shapeId="0" xr:uid="{A1CD1314-07ED-AB4D-B1C6-F99FE26C087E}">
      <text>
        <t>[Threaded comment]
Your version of Excel allows you to read this threaded comment; however, any edits to it will get removed if the file is opened in a newer version of Excel. Learn more: https://go.microsoft.com/fwlink/?linkid=870924
Comment:
    per Cleaning The Glass</t>
      </text>
    </comment>
    <comment ref="W1" authorId="1" shapeId="0" xr:uid="{F417C6D9-E6D4-E142-8A16-50F4D57C7B3F}">
      <text>
        <t>[Threaded comment]
Your version of Excel allows you to read this threaded comment; however, any edits to it will get removed if the file is opened in a newer version of Excel. Learn more: https://go.microsoft.com/fwlink/?linkid=870924
Comment:
    per Basketball Reference</t>
      </text>
    </comment>
    <comment ref="R2" authorId="2" shapeId="0" xr:uid="{D32A2C03-621B-9545-BF42-A39B2A9DA065}">
      <text>
        <t>[Threaded comment]
Your version of Excel allows you to read this threaded comment; however, any edits to it will get removed if the file is opened in a newer version of Excel. Learn more: https://go.microsoft.com/fwlink/?linkid=870924
Comment:
    Bird</t>
      </text>
    </comment>
    <comment ref="Q3" authorId="3" shapeId="0" xr:uid="{5F717BAC-452F-064A-B05C-15F73F466ACF}">
      <text>
        <t>[Threaded comment]
Your version of Excel allows you to read this threaded comment; however, any edits to it will get removed if the file is opened in a newer version of Excel. Learn more: https://go.microsoft.com/fwlink/?linkid=870924
Comment:
    Bird</t>
      </text>
    </comment>
    <comment ref="Q4" authorId="4" shapeId="0" xr:uid="{BDD714F3-CD63-9C4A-88C8-752B03F7CFEA}">
      <text>
        <t>[Threaded comment]
Your version of Excel allows you to read this threaded comment; however, any edits to it will get removed if the file is opened in a newer version of Excel. Learn more: https://go.microsoft.com/fwlink/?linkid=870924
Comment:
    $14,359,936 QO</t>
      </text>
    </comment>
    <comment ref="S5" authorId="5" shapeId="0" xr:uid="{DB557544-803C-994F-9996-7287CB41DAED}">
      <text>
        <t>[Threaded comment]
Your version of Excel allows you to read this threaded comment; however, any edits to it will get removed if the file is opened in a newer version of Excel. Learn more: https://go.microsoft.com/fwlink/?linkid=870924
Comment:
    $17,595,262 QO</t>
      </text>
    </comment>
    <comment ref="P6" authorId="6" shapeId="0" xr:uid="{9F0C5A7F-819C-DE46-8B77-65AEE085D1F9}">
      <text>
        <t>[Threaded comment]
Your version of Excel allows you to read this threaded comment; however, any edits to it will get removed if the file is opened in a newer version of Excel. Learn more: https://go.microsoft.com/fwlink/?linkid=870924
Comment:
    7/8/20 gt date (revised date TBD)
If waived, Bird</t>
      </text>
    </comment>
    <comment ref="Q6" authorId="7" shapeId="0" xr:uid="{23DF2A61-2EA1-8546-8890-19601E51B2C5}">
      <text>
        <t>[Threaded comment]
Your version of Excel allows you to read this threaded comment; however, any edits to it will get removed if the file is opened in a newer version of Excel. Learn more: https://go.microsoft.com/fwlink/?linkid=870924
Comment:
    Bird</t>
      </text>
    </comment>
    <comment ref="S7" authorId="8" shapeId="0" xr:uid="{CD4C776B-4BE7-3C49-8C48-B685F53540F2}">
      <text>
        <t>[Threaded comment]
Your version of Excel allows you to read this threaded comment; however, any edits to it will get removed if the file is opened in a newer version of Excel. Learn more: https://go.microsoft.com/fwlink/?linkid=870924
Comment:
    $9,170,460 QO</t>
      </text>
    </comment>
    <comment ref="Q8" authorId="9" shapeId="0" xr:uid="{BBA02FED-0F1C-264E-95C9-85CBB47E1F92}">
      <text>
        <t>[Threaded comment]
Your version of Excel allows you to read this threaded comment; however, any edits to it will get removed if the file is opened in a newer version of Excel. Learn more: https://go.microsoft.com/fwlink/?linkid=870924
Comment:
    Early Bird</t>
      </text>
    </comment>
    <comment ref="Q9" authorId="10" shapeId="0" xr:uid="{F09032CF-87D5-6548-B97A-432D26743863}">
      <text>
        <t>[Threaded comment]
Your version of Excel allows you to read this threaded comment; however, any edits to it will get removed if the file is opened in a newer version of Excel. Learn more: https://go.microsoft.com/fwlink/?linkid=870924
Comment:
    $5,236,739 QO</t>
      </text>
    </comment>
    <comment ref="S10" authorId="11" shapeId="0" xr:uid="{B0DB536A-4B0D-C046-A662-4C2DC4AB3DC6}">
      <text>
        <t>[Threaded comment]
Your version of Excel allows you to read this threaded comment; however, any edits to it will get removed if the file is opened in a newer version of Excel. Learn more: https://go.microsoft.com/fwlink/?linkid=870924
Comment:
    $7,073,602 QO</t>
      </text>
    </comment>
    <comment ref="P17" authorId="12" shapeId="0" xr:uid="{2F08B18A-9A3F-EE45-8C9D-7DEE0644D9BA}">
      <text>
        <t>[Threaded comment]
Your version of Excel allows you to read this threaded comment; however, any edits to it will get removed if the file is opened in a newer version of Excel. Learn more: https://go.microsoft.com/fwlink/?linkid=870924
Comment:
    Bird</t>
      </text>
    </comment>
    <comment ref="P18" authorId="13" shapeId="0" xr:uid="{6C95609F-FD63-8641-9A8F-8BB3C8F9E32E}">
      <text>
        <t>[Threaded comment]
Your version of Excel allows you to read this threaded comment; however, any edits to it will get removed if the file is opened in a newer version of Excel. Learn more: https://go.microsoft.com/fwlink/?linkid=870924
Comment:
    $9,481,458 QO</t>
      </text>
    </comment>
    <comment ref="P19" authorId="14" shapeId="0" xr:uid="{CD60DED4-9A57-7C42-891E-6154426D7F7B}">
      <text>
        <t>[Threaded comment]
Your version of Excel allows you to read this threaded comment; however, any edits to it will get removed if the file is opened in a newer version of Excel. Learn more: https://go.microsoft.com/fwlink/?linkid=870924
Comment:
    Bird</t>
      </text>
    </comment>
    <comment ref="P20" authorId="15" shapeId="0" xr:uid="{7528DBDF-EED3-C843-BA7D-E1C5EBF76EC4}">
      <text>
        <t>[Threaded comment]
Your version of Excel allows you to read this threaded comment; however, any edits to it will get removed if the file is opened in a newer version of Excel. Learn more: https://go.microsoft.com/fwlink/?linkid=870924
Comment:
    Bird</t>
      </text>
    </comment>
    <comment ref="P21" authorId="16" shapeId="0" xr:uid="{5877CFC4-6148-EB49-8D1A-A73D03FDF093}">
      <text>
        <t>[Threaded comment]
Your version of Excel allows you to read this threaded comment; however, any edits to it will get removed if the file is opened in a newer version of Excel. Learn more: https://go.microsoft.com/fwlink/?linkid=870924
Comment:
    Early Bird</t>
      </text>
    </comment>
    <comment ref="P22" authorId="17" shapeId="0" xr:uid="{72E5FDF5-BF5F-AE4F-9EB8-B0F2029C21EF}">
      <text>
        <t>[Threaded comment]
Your version of Excel allows you to read this threaded comment; however, any edits to it will get removed if the file is opened in a newer version of Excel. Learn more: https://go.microsoft.com/fwlink/?linkid=870924
Comment:
    Early Bird</t>
      </text>
    </comment>
    <comment ref="P23" authorId="18" shapeId="0" xr:uid="{05C55E3B-625A-E645-B3EE-CE1F75889B76}">
      <text>
        <t>[Threaded comment]
Your version of Excel allows you to read this threaded comment; however, any edits to it will get removed if the file is opened in a newer version of Excel. Learn more: https://go.microsoft.com/fwlink/?linkid=870924
Comment:
    No Rights</t>
      </text>
    </comment>
    <comment ref="P29" authorId="19" shapeId="0" xr:uid="{BED8222E-3F8D-CC4B-9F87-D90747BE6190}">
      <text>
        <t>[Threaded comment]
Your version of Excel allows you to read this threaded comment; however, any edits to it will get removed if the file is opened in a newer version of Excel. Learn more: https://go.microsoft.com/fwlink/?linkid=870924
Comment:
    8 players: Jrue Holiday / J.J. Redick / Lonzo Ball / Zion Williamson / Jaxson Hayes / Nicolo Melli / Josh Hart / Nickeil Alexander-Walker
2020 1st (#13)
2020 WSH 2nd (#39)
2020 2nd (#42)
2020 MIL 2nd (#60)
Derrick Favors (Bird)
Brandon Ingram (Bird RFA)
E’Twaun Moore (Bird)
Darius Miller (NG)
Frank Jackson (Bird RFA)
Kenrich Williams (EB RFA)
Jahlil Okafor (Early Bird)
Sindarius Thornwell (No rights)
Zylan Cheatham (2W RFA)
Josh Gray (2W RFA)</t>
      </text>
    </comment>
    <comment ref="P30" authorId="20" shapeId="0" xr:uid="{D9F1C72E-FC44-3045-A07D-8D040B56F1EA}">
      <text>
        <t>[Threaded comment]
Your version of Excel allows you to read this threaded comment; however, any edits to it will get removed if the file is opened in a newer version of Excel. Learn more: https://go.microsoft.com/fwlink/?linkid=870924
Comment:
    9 players: Jrue Holiday / J.J. Redick / Lonzo Ball / Zion Williamson / Darius Miller (NG) / Jaxson Hayes / Nicolo Melli / Josh Hart / Nickeil Alexander-Walker
2020 1st (#13)
2020 WSH 2nd (#39)
2020 2nd (#42)
2020 MIL 2nd (#60)
Derrick Favors (Bird)
Brandon Ingram (Bird RFA)
E’Twaun Moore (Bird)
Frank Jackson (Bird RFA)
Kenrich Williams (EB RFA)
Jahlil Okafor (Early Bird)
Sindarius Thornwell (No rights)
Zylan Cheatham (2W RFA)
Josh Gray (2W RFA)</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tc={3FE5D2AF-93AB-9245-9632-BF9143ACC869}</author>
    <author>tc={C6924651-E2BA-AC40-AF17-309EE9FC5E0D}</author>
    <author>tc={ED43EE05-0290-3D4F-A809-63ACB6A0BAE4}</author>
    <author>tc={F93E4740-D8E0-2C4E-AC47-05BAB848FA0D}</author>
    <author>tc={46B0E2BE-05B7-4649-B8C6-3D6D62A7BA67}</author>
    <author>tc={8AAFE13E-BEAF-9C46-86A2-EAE2A0204589}</author>
    <author>tc={7B553168-DD85-D543-8260-A5FCE73193F5}</author>
    <author>tc={10824A58-CE24-FF42-98AF-719EFFD7CBAE}</author>
    <author>tc={EDFDD0F9-495B-6E41-9FF5-DF3896B0A2A9}</author>
    <author>tc={183CB134-FB6B-4C4E-B6EB-2603726829C3}</author>
    <author>tc={7B48A437-8741-3D41-8367-6E6968533B03}</author>
    <author>tc={A238D844-9163-5748-B0F8-044D38356D1E}</author>
    <author>tc={4288DA2A-F74F-9548-B32D-BF0AD50FFC50}</author>
    <author>tc={E8571D8F-758F-6044-86DF-61048C9AD936}</author>
    <author>tc={8033BCF2-D63F-5B40-A047-2F7FBE152241}</author>
    <author>tc={74681AB0-D702-F840-90F1-7AB009D50EC7}</author>
    <author>tc={E9DC93BC-5C01-AC4F-B030-9D5B782DC44A}</author>
    <author>tc={2C1F5DB5-4A7B-EA4F-ACF3-690002257691}</author>
    <author>tc={786CA113-4D13-9749-826A-31BA31CEF0B8}</author>
    <author>tc={9BDFC207-1726-CB4C-BA6A-204C61D5B593}</author>
    <author>tc={BC4518D1-3BB3-8842-A467-77F3160E5FA6}</author>
    <author>tc={83B43F2F-0DA1-524F-9A13-3CDD2A2618E1}</author>
    <author>tc={5F6AE5FB-3D9E-A642-8E38-A75D8F26E16C}</author>
    <author>tc={2E03CE34-6B72-1C49-B9C8-185815D90A53}</author>
    <author>tc={F2B12187-C5BC-B24A-B5EE-FAA54A37A007}</author>
    <author>tc={35C05372-9AE4-FD49-A0DA-950592F079A7}</author>
    <author>tc={6FDF8B23-500F-0047-B592-3E35BDDF588E}</author>
    <author>tc={3030E8FA-2E58-3D41-B5DB-F931145D9AFA}</author>
    <author>tc={1165FB68-6D41-6346-AD1E-E7FB7120556E}</author>
    <author>tc={7F9A7425-27E6-F64A-83F8-619BF9BB6C0E}</author>
    <author>tc={BA6C2814-8ADE-7A4C-B896-5221CD2402B0}</author>
    <author>tc={4043063B-7381-F341-9760-7C60F538F0B6}</author>
    <author>tc={0EB5E09D-9CC5-124A-840F-D449E482916A}</author>
    <author>tc={796B1DAB-4631-234E-AFB4-227F35C2B65F}</author>
  </authors>
  <commentList>
    <comment ref="C1" authorId="0" shapeId="0" xr:uid="{3FE5D2AF-93AB-9245-9632-BF9143ACC869}">
      <text>
        <t>[Threaded comment]
Your version of Excel allows you to read this threaded comment; however, any edits to it will get removed if the file is opened in a newer version of Excel. Learn more: https://go.microsoft.com/fwlink/?linkid=870924
Comment:
    per Cleaning The Glass</t>
      </text>
    </comment>
    <comment ref="W1" authorId="1" shapeId="0" xr:uid="{C6924651-E2BA-AC40-AF17-309EE9FC5E0D}">
      <text>
        <t>[Threaded comment]
Your version of Excel allows you to read this threaded comment; however, any edits to it will get removed if the file is opened in a newer version of Excel. Learn more: https://go.microsoft.com/fwlink/?linkid=870924
Comment:
    per Basketball Reference</t>
      </text>
    </comment>
    <comment ref="R2" authorId="2" shapeId="0" xr:uid="{ED43EE05-0290-3D4F-A809-63ACB6A0BAE4}">
      <text>
        <t>[Threaded comment]
Your version of Excel allows you to read this threaded comment; however, any edits to it will get removed if the file is opened in a newer version of Excel. Learn more: https://go.microsoft.com/fwlink/?linkid=870924
Comment:
    $48,234,375 cap hold
Bird</t>
      </text>
    </comment>
    <comment ref="S2" authorId="3" shapeId="0" xr:uid="{F93E4740-D8E0-2C4E-AC47-05BAB848FA0D}">
      <text>
        <t>[Threaded comment]
Your version of Excel allows you to read this threaded comment; however, any edits to it will get removed if the file is opened in a newer version of Excel. Learn more: https://go.microsoft.com/fwlink/?linkid=870924
Comment:
    Bird</t>
      </text>
    </comment>
    <comment ref="P3" authorId="4" shapeId="0" xr:uid="{46B0E2BE-05B7-4649-B8C6-3D6D62A7BA67}">
      <text>
        <t>[Threaded comment]
Your version of Excel allows you to read this threaded comment; however, any edits to it will get removed if the file is opened in a newer version of Excel. Learn more: https://go.microsoft.com/fwlink/?linkid=870924
Comment:
    NEW: 10/17/20 deadline
$40,250,000 cap hold
Bird</t>
      </text>
    </comment>
    <comment ref="Q3" authorId="5" shapeId="0" xr:uid="{8AAFE13E-BEAF-9C46-86A2-EAE2A0204589}">
      <text>
        <t>[Threaded comment]
Your version of Excel allows you to read this threaded comment; however, any edits to it will get removed if the file is opened in a newer version of Excel. Learn more: https://go.microsoft.com/fwlink/?linkid=870924
Comment:
    Bird</t>
      </text>
    </comment>
    <comment ref="T4" authorId="6" shapeId="0" xr:uid="{7B553168-DD85-D543-8260-A5FCE73193F5}">
      <text>
        <t>[Threaded comment]
Your version of Excel allows you to read this threaded comment; however, any edits to it will get removed if the file is opened in a newer version of Excel. Learn more: https://go.microsoft.com/fwlink/?linkid=870924
Comment:
    Bird</t>
      </text>
    </comment>
    <comment ref="R5" authorId="7" shapeId="0" xr:uid="{10824A58-CE24-FF42-98AF-719EFFD7CBAE}">
      <text>
        <t>[Threaded comment]
Your version of Excel allows you to read this threaded comment; however, any edits to it will get removed if the file is opened in a newer version of Excel. Learn more: https://go.microsoft.com/fwlink/?linkid=870924
Comment:
    Bird</t>
      </text>
    </comment>
    <comment ref="Q6" authorId="8" shapeId="0" xr:uid="{EDFDD0F9-495B-6E41-9FF5-DF3896B0A2A9}">
      <text>
        <t>[Threaded comment]
Your version of Excel allows you to read this threaded comment; however, any edits to it will get removed if the file is opened in a newer version of Excel. Learn more: https://go.microsoft.com/fwlink/?linkid=870924
Comment:
    $12,985,021 QO</t>
      </text>
    </comment>
    <comment ref="P7" authorId="9" shapeId="0" xr:uid="{183CB134-FB6B-4C4E-B6EB-2603726829C3}">
      <text>
        <t>[Threaded comment]
Your version of Excel allows you to read this threaded comment; however, any edits to it will get removed if the file is opened in a newer version of Excel. Learn more: https://go.microsoft.com/fwlink/?linkid=870924
Comment:
    NEW: 10/17/20 deadline
$5,720,400 cap hold
Non Bird</t>
      </text>
    </comment>
    <comment ref="Q7" authorId="10" shapeId="0" xr:uid="{7B48A437-8741-3D41-8367-6E6968533B03}">
      <text>
        <t>[Threaded comment]
Your version of Excel allows you to read this threaded comment; however, any edits to it will get removed if the file is opened in a newer version of Excel. Learn more: https://go.microsoft.com/fwlink/?linkid=870924
Comment:
    Early Bird</t>
      </text>
    </comment>
    <comment ref="P8" authorId="11" shapeId="0" xr:uid="{A238D844-9163-5748-B0F8-044D38356D1E}">
      <text>
        <t>[Threaded comment]
Your version of Excel allows you to read this threaded comment; however, any edits to it will get removed if the file is opened in a newer version of Excel. Learn more: https://go.microsoft.com/fwlink/?linkid=870924
Comment:
    NEW: fully NG, fully gt on 10/20/20
If waived, Bird RFA
$9,500,000 cap hold
$6,250,000 QO</t>
      </text>
    </comment>
    <comment ref="Q8" authorId="12" shapeId="0" xr:uid="{4288DA2A-F74F-9548-B32D-BF0AD50FFC50}">
      <text>
        <t>[Threaded comment]
Your version of Excel allows you to read this threaded comment; however, any edits to it will get removed if the file is opened in a newer version of Excel. Learn more: https://go.microsoft.com/fwlink/?linkid=870924
Comment:
    Bird</t>
      </text>
    </comment>
    <comment ref="S9" authorId="13" shapeId="0" xr:uid="{E8571D8F-758F-6044-86DF-61048C9AD936}">
      <text>
        <t>[Threaded comment]
Your version of Excel allows you to read this threaded comment; however, any edits to it will get removed if the file is opened in a newer version of Excel. Learn more: https://go.microsoft.com/fwlink/?linkid=870924
Comment:
    $7,837,251 QO</t>
      </text>
    </comment>
    <comment ref="Q10" authorId="14" shapeId="0" xr:uid="{8033BCF2-D63F-5B40-A047-2F7FBE152241}">
      <text>
        <t>[Threaded comment]
Your version of Excel allows you to read this threaded comment; however, any edits to it will get removed if the file is opened in a newer version of Excel. Learn more: https://go.microsoft.com/fwlink/?linkid=870924
Comment:
    $3,274,009 QO (*1.25)
Early Bird</t>
      </text>
    </comment>
    <comment ref="S11" authorId="15" shapeId="0" xr:uid="{74681AB0-D702-F840-90F1-7AB009D50EC7}">
      <text>
        <t>[Threaded comment]
Your version of Excel allows you to read this threaded comment; however, any edits to it will get removed if the file is opened in a newer version of Excel. Learn more: https://go.microsoft.com/fwlink/?linkid=870924
Comment:
    $6,235,495 QO</t>
      </text>
    </comment>
    <comment ref="R12" authorId="16" shapeId="0" xr:uid="{E9DC93BC-5C01-AC4F-B030-9D5B782DC44A}">
      <text>
        <t>[Threaded comment]
Your version of Excel allows you to read this threaded comment; however, any edits to it will get removed if the file is opened in a newer version of Excel. Learn more: https://go.microsoft.com/fwlink/?linkid=870924
Comment:
    $5,430,710 QO</t>
      </text>
    </comment>
    <comment ref="P13" authorId="17" shapeId="0" xr:uid="{2C1F5DB5-4A7B-EA4F-ACF3-690002257691}">
      <text>
        <t>[Threaded comment]
Your version of Excel allows you to read this threaded comment; however, any edits to it will get removed if the file is opened in a newer version of Excel. Learn more: https://go.microsoft.com/fwlink/?linkid=870924
Comment:
    NEW: 10/17/20 deadline
If declined, Bird RFA
$2,023,150 QO</t>
      </text>
    </comment>
    <comment ref="Q13" authorId="18" shapeId="0" xr:uid="{786CA113-4D13-9749-826A-31BA31CEF0B8}">
      <text>
        <t>[Threaded comment]
Your version of Excel allows you to read this threaded comment; however, any edits to it will get removed if the file is opened in a newer version of Excel. Learn more: https://go.microsoft.com/fwlink/?linkid=870924
Comment:
    Bird</t>
      </text>
    </comment>
    <comment ref="R14" authorId="19" shapeId="0" xr:uid="{9BDFC207-1726-CB4C-BA6A-204C61D5B593}">
      <text>
        <t>[Threaded comment]
Your version of Excel allows you to read this threaded comment; however, any edits to it will get removed if the file is opened in a newer version of Excel. Learn more: https://go.microsoft.com/fwlink/?linkid=870924
Comment:
    If waived, Bird RFA
$2,228,276 QO</t>
      </text>
    </comment>
    <comment ref="S14" authorId="20" shapeId="0" xr:uid="{BC4518D1-3BB3-8842-A467-77F3160E5FA6}">
      <text>
        <t>[Threaded comment]
Your version of Excel allows you to read this threaded comment; however, any edits to it will get removed if the file is opened in a newer version of Excel. Learn more: https://go.microsoft.com/fwlink/?linkid=870924
Comment:
    Bird</t>
      </text>
    </comment>
    <comment ref="P15" authorId="21" shapeId="0" xr:uid="{83B43F2F-0DA1-524F-9A13-3CDD2A2618E1}">
      <text>
        <t xml:space="preserve">[Threaded comment]
Your version of Excel allows you to read this threaded comment; however, any edits to it will get removed if the file is opened in a newer version of Excel. Learn more: https://go.microsoft.com/fwlink/?linkid=870924
Comment:
    fully NG, fully gt on 1/10/21 (subject to change)
If waived, Non Bird RFA
$1,645,697 QO
</t>
      </text>
    </comment>
    <comment ref="Q15" authorId="22" shapeId="0" xr:uid="{5F6AE5FB-3D9E-A642-8E38-A75D8F26E16C}">
      <text>
        <t>[Threaded comment]
Your version of Excel allows you to read this threaded comment; however, any edits to it will get removed if the file is opened in a newer version of Excel. Learn more: https://go.microsoft.com/fwlink/?linkid=870924
Comment:
    $2,056,061 QO
Early Bird RFA</t>
      </text>
    </comment>
    <comment ref="P16" authorId="23" shapeId="0" xr:uid="{2E03CE34-6B72-1C49-B9C8-185815D90A53}">
      <text>
        <t>[Threaded comment]
Your version of Excel allows you to read this threaded comment; however, any edits to it will get removed if the file is opened in a newer version of Excel. Learn more: https://go.microsoft.com/fwlink/?linkid=870924
Comment:
    Guerschon Yabusele / Demetrius Jackson</t>
      </text>
    </comment>
    <comment ref="Q16" authorId="24" shapeId="0" xr:uid="{F2B12187-C5BC-B24A-B5EE-FAA54A37A007}">
      <text>
        <t>[Threaded comment]
Your version of Excel allows you to read this threaded comment; however, any edits to it will get removed if the file is opened in a newer version of Excel. Learn more: https://go.microsoft.com/fwlink/?linkid=870924
Comment:
    Guerschon Yabusele / Demetrius Jackson</t>
      </text>
    </comment>
    <comment ref="R16" authorId="25" shapeId="0" xr:uid="{35C05372-9AE4-FD49-A0DA-950592F079A7}">
      <text>
        <t>[Threaded comment]
Your version of Excel allows you to read this threaded comment; however, any edits to it will get removed if the file is opened in a newer version of Excel. Learn more: https://go.microsoft.com/fwlink/?linkid=870924
Comment:
    Demetrius Jackson</t>
      </text>
    </comment>
    <comment ref="S16" authorId="26" shapeId="0" xr:uid="{6FDF8B23-500F-0047-B592-3E35BDDF588E}">
      <text>
        <t>[Threaded comment]
Your version of Excel allows you to read this threaded comment; however, any edits to it will get removed if the file is opened in a newer version of Excel. Learn more: https://go.microsoft.com/fwlink/?linkid=870924
Comment:
    Demetrius Jackson</t>
      </text>
    </comment>
    <comment ref="P22" authorId="27" shapeId="0" xr:uid="{3030E8FA-2E58-3D41-B5DB-F931145D9AFA}">
      <text>
        <t>[Threaded comment]
Your version of Excel allows you to read this threaded comment; however, any edits to it will get removed if the file is opened in a newer version of Excel. Learn more: https://go.microsoft.com/fwlink/?linkid=870924
Comment:
    $1,907,576 QO
NEW: 10/17/20 deadline
Early Bird RFA</t>
      </text>
    </comment>
    <comment ref="P23" authorId="28" shapeId="0" xr:uid="{1165FB68-6D41-6346-AD1E-E7FB7120556E}">
      <text>
        <t>[Threaded comment]
Your version of Excel allows you to read this threaded comment; however, any edits to it will get removed if the file is opened in a newer version of Excel. Learn more: https://go.microsoft.com/fwlink/?linkid=870924
Comment:
    2W QO
Non Bird</t>
      </text>
    </comment>
    <comment ref="P24" authorId="29" shapeId="0" xr:uid="{7F9A7425-27E6-F64A-83F8-619BF9BB6C0E}">
      <text>
        <t>[Threaded comment]
Your version of Excel allows you to read this threaded comment; however, any edits to it will get removed if the file is opened in a newer version of Excel. Learn more: https://go.microsoft.com/fwlink/?linkid=870924
Comment:
    2W QO
Non Bird</t>
      </text>
    </comment>
    <comment ref="P28" authorId="30" shapeId="0" xr:uid="{BA6C2814-8ADE-7A4C-B896-5221CD2402B0}">
      <text>
        <t>[Threaded comment]
Your version of Excel allows you to read this threaded comment; however, any edits to it will get removed if the file is opened in a newer version of Excel. Learn more: https://go.microsoft.com/fwlink/?linkid=870924
Comment:
    9 players: Kemba Walker / Jaylen Brown / Marcus Smart / Jayson Tatum / Romeo Langford / Vincent Poirier / Grant Williams / Robert Williams / Carsen Edwards
2020 MEM 1st (#14)
2020 1st (#26)
2020 MIL 1st (#30)
2020 BKN 2nd (#47)
Gordon Hayward (PO)
Enes Kanter (PO)
Daniel Theis (NG)
Semi Ojeleye (TO)
Javonte Green (NG)
Brad Wanamaker (EB RFA)
Tremont Waters (2W RFA)
Tacko Fall (2W RFA)</t>
      </text>
    </comment>
    <comment ref="P29" authorId="31" shapeId="0" xr:uid="{4043063B-7381-F341-9760-7C60F538F0B6}">
      <text>
        <t>[Threaded comment]
Your version of Excel allows you to read this threaded comment; however, any edits to it will get removed if the file is opened in a newer version of Excel. Learn more: https://go.microsoft.com/fwlink/?linkid=870924
Comment:
    11 players: Kemba Walker / Gordon Hayward (PO) / Jaylen Brown / Marcus Smart / Jayson Tatum / Enes Kanter (PO) / Romeo Langford / Vincent Poirier / Grant Williams / Robert Williams / Carsen Edwards
2020 MEM 1st (#14)
2020 1st (#26)
2020 MIL 1st (#30)
2020 BKN 2nd (#47)
Daniel Theis (NG)
Semi Ojeleye (TO)
Javonte Green (NG)
Brad Wanamaker (EB RFA)
Tremont Waters (2W RFA)
Tacko Fall (2W RFA)</t>
      </text>
    </comment>
    <comment ref="P30" authorId="32" shapeId="0" xr:uid="{0EB5E09D-9CC5-124A-840F-D449E482916A}">
      <text>
        <t>[Threaded comment]
Your version of Excel allows you to read this threaded comment; however, any edits to it will get removed if the file is opened in a newer version of Excel. Learn more: https://go.microsoft.com/fwlink/?linkid=870924
Comment:
    14 players: Kemba Walker / Gordon Hayward (PO) / Jaylen Brown / Marcus Smart / Jayson Tatum / Enes Kanter (PO) / Daniel Theis (NG) / Romeo Langford / Vincent Poirier / Grant Williams / Robert Williams / Semi Ojeleye (TO) / Carsen Edwards / Javonte Green (NG)
2020 MEM 1st (#14)
2020 1st (#26)
2020 MIL 1st (#30)
2020 BKN 2nd (#47)
Brad Wanamaker (EB RFA)
Tremont Waters (2W RFA)
Tacko Fall (2W RFA)</t>
      </text>
    </comment>
    <comment ref="P31" authorId="33" shapeId="0" xr:uid="{796B1DAB-4631-234E-AFB4-227F35C2B65F}">
      <text>
        <t>[Threaded comment]
Your version of Excel allows you to read this threaded comment; however, any edits to it will get removed if the file is opened in a newer version of Excel. Learn more: https://go.microsoft.com/fwlink/?linkid=870924
Comment:
    13 players: Kemba Walker / Gordon Hayward (PO) / Jaylen Brown / Marcus Smart / Jayson Tatum / Enes Kanter (PO) / Daniel Theis (NG) / Romeo Langford / Vincent Poirier / Grant Williams / Robert Williams / Semi Ojeleye (TO) / Carsen Edwards
2020 MEM 1st (#14)
2020 1st (#26)
2020 MIL 1st (#30)
2020 BKN 2nd (#47)
Brad Wanamaker (EB RFA)
Javonte Green (NB RFA)
Tremont Waters (2W RFA)
Tacko Fall (2W RFA)</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tc={655DBDEF-D90A-3347-B277-0135A5E654FB}</author>
    <author>tc={6F26E3D7-7BB9-EA47-BE3B-32913D60DEE2}</author>
    <author>tc={DCD5F0EB-C8EE-EE44-A19F-0ECE3FD801B5}</author>
    <author>tc={007FD88C-6485-CE44-B952-C9925B884518}</author>
    <author>tc={EB3D351D-1054-C543-8695-F57BF690F07B}</author>
    <author>tc={25C85D64-2129-104A-BF8A-877CE047BC1A}</author>
    <author>tc={E8B17E9D-B686-A348-B51D-E0A746836497}</author>
    <author>tc={8EA31067-05DC-FC45-83DB-B81963B6E408}</author>
    <author>tc={77A114B1-4380-F94E-98C7-7EAAE2F7DE4C}</author>
    <author>tc={D4890A94-005C-274B-BF79-45945C24CF13}</author>
    <author>tc={8DB57488-BE09-9F43-A4A5-995A8A42AC92}</author>
    <author>tc={DD84317B-2294-1140-A8F2-FA602BEE56FF}</author>
    <author>tc={D353E1E3-D85A-5742-B14E-20F3F93F54A3}</author>
    <author>tc={1515BDFA-5E07-6448-A481-5C19FEE7FA55}</author>
    <author>tc={A5036FF6-20E0-E643-A44C-90A98D7C9BA0}</author>
    <author>tc={673C55D5-C105-6D4A-B0DC-B320DF65BD66}</author>
    <author>tc={F8A20501-7CED-454D-853C-B8D8ED33B42E}</author>
    <author>tc={9510309B-11DC-3D42-80C7-63F292001E52}</author>
    <author>tc={DCF69E07-1E2D-AF46-BD6B-BC1BFF1C2A4F}</author>
    <author>tc={15351989-1696-9946-9958-3808B1A5D4F3}</author>
    <author>tc={EDBD5137-4FAE-0043-B8D4-1E70E3405F25}</author>
    <author>tc={98F93843-2E21-594F-BCD2-FB3A0F837809}</author>
    <author>tc={CB7B6188-92E1-C148-A76C-95647F1BF3C7}</author>
    <author>tc={CFE3AB84-D436-934F-8A8E-17A634BAFC7A}</author>
    <author>tc={377880A5-9C01-C342-80CF-9D3FFB385EDB}</author>
  </authors>
  <commentList>
    <comment ref="C1" authorId="0" shapeId="0" xr:uid="{655DBDEF-D90A-3347-B277-0135A5E654FB}">
      <text>
        <t>[Threaded comment]
Your version of Excel allows you to read this threaded comment; however, any edits to it will get removed if the file is opened in a newer version of Excel. Learn more: https://go.microsoft.com/fwlink/?linkid=870924
Comment:
    per Cleaning The Glass</t>
      </text>
    </comment>
    <comment ref="W1" authorId="1" shapeId="0" xr:uid="{6F26E3D7-7BB9-EA47-BE3B-32913D60DEE2}">
      <text>
        <t>[Threaded comment]
Your version of Excel allows you to read this threaded comment; however, any edits to it will get removed if the file is opened in a newer version of Excel. Learn more: https://go.microsoft.com/fwlink/?linkid=870924
Comment:
    per Basketball Reference</t>
      </text>
    </comment>
    <comment ref="Q2" authorId="2" shapeId="0" xr:uid="{DCD5F0EB-C8EE-EE44-A19F-0ECE3FD801B5}">
      <text>
        <t>[Threaded comment]
Your version of Excel allows you to read this threaded comment; however, any edits to it will get removed if the file is opened in a newer version of Excel. Learn more: https://go.microsoft.com/fwlink/?linkid=870924
Comment:
    $4,000,000 gt
6/28/21 gt date</t>
      </text>
    </comment>
    <comment ref="R2" authorId="3" shapeId="0" xr:uid="{007FD88C-6485-CE44-B952-C9925B884518}">
      <text>
        <t>[Threaded comment]
Your version of Excel allows you to read this threaded comment; however, any edits to it will get removed if the file is opened in a newer version of Excel. Learn more: https://go.microsoft.com/fwlink/?linkid=870924
Comment:
    Bird</t>
      </text>
    </comment>
    <comment ref="P3" authorId="4" shapeId="0" xr:uid="{EB3D351D-1054-C543-8695-F57BF690F07B}">
      <text>
        <t>[Threaded comment]
Your version of Excel allows you to read this threaded comment; however, any edits to it will get removed if the file is opened in a newer version of Excel. Learn more: https://go.microsoft.com/fwlink/?linkid=870924
Comment:
    6/29/20 deadline (revised date TBD)
If declined, Non Bird (up to $18M)</t>
      </text>
    </comment>
    <comment ref="Q3" authorId="5" shapeId="0" xr:uid="{25C85D64-2129-104A-BF8A-877CE047BC1A}">
      <text>
        <t>[Threaded comment]
Your version of Excel allows you to read this threaded comment; however, any edits to it will get removed if the file is opened in a newer version of Excel. Learn more: https://go.microsoft.com/fwlink/?linkid=870924
Comment:
    Early Bird</t>
      </text>
    </comment>
    <comment ref="P4" authorId="6" shapeId="0" xr:uid="{E8B17E9D-B686-A348-B51D-E0A746836497}">
      <text>
        <t>[Threaded comment]
Your version of Excel allows you to read this threaded comment; however, any edits to it will get removed if the file is opened in a newer version of Excel. Learn more: https://go.microsoft.com/fwlink/?linkid=870924
Comment:
    $1,000,000 gt
6/28/20 gt date (revised date TBD)
$10,800,000 cap hold (Non Bird)</t>
      </text>
    </comment>
    <comment ref="Q4" authorId="7" shapeId="0" xr:uid="{8EA31067-05DC-FC45-83DB-B81963B6E408}">
      <text>
        <t>[Threaded comment]
Your version of Excel allows you to read this threaded comment; however, any edits to it will get removed if the file is opened in a newer version of Excel. Learn more: https://go.microsoft.com/fwlink/?linkid=870924
Comment:
    Early Bird</t>
      </text>
    </comment>
    <comment ref="S5" authorId="8" shapeId="0" xr:uid="{77A114B1-4380-F94E-98C7-7EAAE2F7DE4C}">
      <text>
        <t>[Threaded comment]
Your version of Excel allows you to read this threaded comment; however, any edits to it will get removed if the file is opened in a newer version of Excel. Learn more: https://go.microsoft.com/fwlink/?linkid=870924
Comment:
    $14,301,633 QO</t>
      </text>
    </comment>
    <comment ref="P6" authorId="9" shapeId="0" xr:uid="{D4890A94-005C-274B-BF79-45945C24CF13}">
      <text>
        <t>[Threaded comment]
Your version of Excel allows you to read this threaded comment; however, any edits to it will get removed if the file is opened in a newer version of Excel. Learn more: https://go.microsoft.com/fwlink/?linkid=870924
Comment:
    $1,000,000 gt
6/28/20 gt date (revised date TBD)
If waived, Non Bird ($9.60M)</t>
      </text>
    </comment>
    <comment ref="Q6" authorId="10" shapeId="0" xr:uid="{8DB57488-BE09-9F43-A4A5-995A8A42AC92}">
      <text>
        <t>[Threaded comment]
Your version of Excel allows you to read this threaded comment; however, any edits to it will get removed if the file is opened in a newer version of Excel. Learn more: https://go.microsoft.com/fwlink/?linkid=870924
Comment:
    Early Bird</t>
      </text>
    </comment>
    <comment ref="P7" authorId="11" shapeId="0" xr:uid="{DD84317B-2294-1140-A8F2-FA602BEE56FF}">
      <text>
        <t>[Threaded comment]
Your version of Excel allows you to read this threaded comment; however, any edits to it will get removed if the file is opened in a newer version of Excel. Learn more: https://go.microsoft.com/fwlink/?linkid=870924
Comment:
    $1,000,000 gt
6/28/20 gt date (revised date TBD)
If waived, Non Bird ($9.60M)</t>
      </text>
    </comment>
    <comment ref="Q7" authorId="12" shapeId="0" xr:uid="{D353E1E3-D85A-5742-B14E-20F3F93F54A3}">
      <text>
        <t>[Threaded comment]
Your version of Excel allows you to read this threaded comment; however, any edits to it will get removed if the file is opened in a newer version of Excel. Learn more: https://go.microsoft.com/fwlink/?linkid=870924
Comment:
    Early Bird</t>
      </text>
    </comment>
    <comment ref="Q8" authorId="13" shapeId="0" xr:uid="{1515BDFA-5E07-6448-A481-5C19FEE7FA55}">
      <text>
        <t>[Threaded comment]
Your version of Excel allows you to read this threaded comment; however, any edits to it will get removed if the file is opened in a newer version of Excel. Learn more: https://go.microsoft.com/fwlink/?linkid=870924
Comment:
    $8,326,027 QO</t>
      </text>
    </comment>
    <comment ref="Q9" authorId="14" shapeId="0" xr:uid="{A5036FF6-20E0-E643-A44C-90A98D7C9BA0}">
      <text>
        <t>[Threaded comment]
Your version of Excel allows you to read this threaded comment; however, any edits to it will get removed if the file is opened in a newer version of Excel. Learn more: https://go.microsoft.com/fwlink/?linkid=870924
Comment:
    $7,705,447 QO</t>
      </text>
    </comment>
    <comment ref="R10" authorId="15" shapeId="0" xr:uid="{673C55D5-C105-6D4A-B0DC-B320DF65BD66}">
      <text>
        <t>[Threaded comment]
Your version of Excel allows you to read this threaded comment; however, any edits to it will get removed if the file is opened in a newer version of Excel. Learn more: https://go.microsoft.com/fwlink/?linkid=870924
Comment:
    $7,921,300 QO</t>
      </text>
    </comment>
    <comment ref="P11" authorId="16" shapeId="0" xr:uid="{F8A20501-7CED-454D-853C-B8D8ED33B42E}">
      <text>
        <t>[Threaded comment]
Your version of Excel allows you to read this threaded comment; however, any edits to it will get removed if the file is opened in a newer version of Excel. Learn more: https://go.microsoft.com/fwlink/?linkid=870924
Comment:
    $1,000,000 gt
6/28/20 gt date
If waived, Non Bird ($4.80M)</t>
      </text>
    </comment>
    <comment ref="P12" authorId="17" shapeId="0" xr:uid="{9510309B-11DC-3D42-80C7-63F292001E52}">
      <text>
        <t>[Threaded comment]
Your version of Excel allows you to read this threaded comment; however, any edits to it will get removed if the file is opened in a newer version of Excel. Learn more: https://go.microsoft.com/fwlink/?linkid=870924
Comment:
    NEW: 10/17/20 deadline
if declined, Early Bird RFA
$2,126,991 QO</t>
      </text>
    </comment>
    <comment ref="Q12" authorId="18" shapeId="0" xr:uid="{DCF69E07-1E2D-AF46-BD6B-BC1BFF1C2A4F}">
      <text>
        <t>[Threaded comment]
Your version of Excel allows you to read this threaded comment; however, any edits to it will get removed if the file is opened in a newer version of Excel. Learn more: https://go.microsoft.com/fwlink/?linkid=870924
Comment:
    $2,126,991 QO
Bird</t>
      </text>
    </comment>
    <comment ref="Y12" authorId="19" shapeId="0" xr:uid="{15351989-1696-9946-9958-3808B1A5D4F3}">
      <text>
        <t>[Threaded comment]
Your version of Excel allows you to read this threaded comment; however, any edits to it will get removed if the file is opened in a newer version of Excel. Learn more: https://go.microsoft.com/fwlink/?linkid=870924
Comment:
    all w/ BKN</t>
      </text>
    </comment>
    <comment ref="P13" authorId="20" shapeId="0" xr:uid="{EDBD5137-4FAE-0043-B8D4-1E70E3405F25}">
      <text>
        <t>[Threaded comment]
Your version of Excel allows you to read this threaded comment; however, any edits to it will get removed if the file is opened in a newer version of Excel. Learn more: https://go.microsoft.com/fwlink/?linkid=870924
Comment:
    $0 gt
6/29/20 gt date</t>
      </text>
    </comment>
    <comment ref="Y23" authorId="21" shapeId="0" xr:uid="{98F93843-2E21-594F-BCD2-FB3A0F837809}">
      <text>
        <t>[Threaded comment]
Your version of Excel allows you to read this threaded comment; however, any edits to it will get removed if the file is opened in a newer version of Excel. Learn more: https://go.microsoft.com/fwlink/?linkid=870924
Comment:
    all w/ PHX</t>
      </text>
    </comment>
    <comment ref="P27" authorId="22" shapeId="0" xr:uid="{CB7B6188-92E1-C148-A76C-95647F1BF3C7}">
      <text>
        <t>[Threaded comment]
Your version of Excel allows you to read this threaded comment; however, any edits to it will get removed if the file is opened in a newer version of Excel. Learn more: https://go.microsoft.com/fwlink/?linkid=870924
Comment:
    7 players: Julius Randle / R.J. Barrett / Frank Ntilikina / Dennis Smith Jr / Kevin Knox / Ignas Brazdeikis / Kenny Wooten (2W)
2020 1st (#8)
2020 LAC 1st (#27)
2020 CHA 2nd (#38)
Bobby Portis (TO)
Taj Gibson (PG)
Wayne Ellington (PG)
Elfrid Payton (PG)
Reggie Bullock (PG)
Theo Pinson (TO)
Mitchell Robinson (NG)
Maurice Harkless (Bird)
Damyean Dotson (Bird RFA)
Jared Harper (2W RFA)</t>
      </text>
    </comment>
    <comment ref="P28" authorId="23" shapeId="0" xr:uid="{CFE3AB84-D436-934F-8A8E-17A634BAFC7A}">
      <text>
        <t>[Threaded comment]
Your version of Excel allows you to read this threaded comment; however, any edits to it will get removed if the file is opened in a newer version of Excel. Learn more: https://go.microsoft.com/fwlink/?linkid=870924
Comment:
    14 players: Julius Randle / Bobby Portis (TO) / Taj Gibson (PG) / R.J. Barrett / Wayne Ellington (PG) / Elfrid Payton (PG) / Frank Ntilikina / Dennis Smith Jr / Kevin Knox / Reggie Bullock (PG) / Theo Pinson (TO) / Mitchell Robinson (NG) / Ignas Brazdeikis / Kenny Wooten (2W)
2020 1st (#8)
2020 LAC 1st (#27)
2020 CHA 2nd (#38)
Maurice Harkless (Bird)
Damyean Dotson (Bird RFA)
Jared Harper (2W RFA)</t>
      </text>
    </comment>
    <comment ref="P29" authorId="24" shapeId="0" xr:uid="{377880A5-9C01-C342-80CF-9D3FFB385EDB}">
      <text>
        <t>[Threaded comment]
Your version of Excel allows you to read this threaded comment; however, any edits to it will get removed if the file is opened in a newer version of Excel. Learn more: https://go.microsoft.com/fwlink/?linkid=870924
Comment:
    10 players: Julius Randle / R.J. Barrett / Frank Ntilikina / Dennis Smith Jr / Kevin Knox / Reggie Bullock (PG) / Theo Pinson (TO) / Mitchell Robinson (NG) / Ignas Brazdeikis / Kenny Wooten (2W)
2020 1st (#8)
2020 LAC 1st (#27)
2020 CHA 2nd (#38)
Bobby Portis (TO)
Taj Gibson (PG)
Wayne Ellington (PG)
Elfrid Payton (PG)
Maurice Harkless (Bird)
Damyean Dotson (Bird RFA)
Jared Harper (2W RFA)</t>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tc={6B02FE1C-26F4-0544-BAB5-4467FF68C1E3}</author>
    <author>tc={3D923511-D415-CC46-BDA2-E3CB30F63A2F}</author>
    <author>tc={470EE3F7-A746-3C4B-AE56-52764B004F7D}</author>
    <author>tc={97FE6747-F9F4-794E-B36A-8134408F5972}</author>
    <author>tc={A64046E7-5A78-A642-B732-1860EF21A891}</author>
    <author>tc={0AB1EBAC-2BDF-2E48-8A80-AA6BAA91C7D8}</author>
    <author>tc={357D5EB6-800E-E847-B791-46C6C02E13A9}</author>
    <author>tc={4F357345-3872-9A4C-BA1A-07B9279CB240}</author>
    <author>tc={4F3A5800-32EF-124E-88D1-3B6860C5BE9B}</author>
    <author>tc={35988F30-A144-444F-85D1-CB6287F27B56}</author>
    <author>tc={B7097BD3-EC26-8144-9FAA-7AF674B762C2}</author>
    <author>tc={628055FA-D559-9441-B360-D59A76C4FC01}</author>
    <author>tc={477EF010-D630-D74F-AAE6-BB6947C5037C}</author>
    <author>tc={E0D4E86B-C505-BB47-A08D-6470618E0A2D}</author>
    <author>tc={94F362C2-B2EC-0B4D-A80C-EF7B5B2C8168}</author>
    <author>tc={8713B1E5-7614-8A4A-B5DD-8AF9A0502309}</author>
    <author>tc={D6C5F3CB-E963-C243-AD78-FD8D8EB95F89}</author>
    <author>tc={89CC3B1C-810B-2541-926F-FDFDBBA1F3C0}</author>
    <author>tc={A055DF1A-C7C8-6F4F-A611-0B596FF45C45}</author>
    <author>tc={D0A125B8-2530-7849-88F8-2949735FBF37}</author>
    <author>tc={4404BEA1-87B4-3D48-9F0E-768F3E1C1003}</author>
    <author>tc={F0BE8B6D-5FD5-B145-A60B-BA3350A89825}</author>
    <author>tc={58CE1506-7235-BB4A-994B-FC92E2435B9C}</author>
    <author>tc={59C420FD-32DF-5741-B159-5F12A097D3EB}</author>
    <author>tc={D94F704F-3537-074F-B903-7B8D7E2C33AC}</author>
    <author>tc={3DA9E164-2CB6-D44C-BB84-7AEB4B898977}</author>
    <author>tc={50831CD2-ABC2-0041-8667-9A1496C5D6AA}</author>
    <author>tc={95C6C7F2-D3FE-124A-A994-6F2204EB906D}</author>
    <author>tc={FC47211F-0A87-A448-8A8B-993C756F269F}</author>
    <author>tc={C2AB9AA1-853D-F94E-BFAF-48074DD9B96A}</author>
    <author>tc={91834FC2-9F7C-284D-AEE7-F66A234825A8}</author>
    <author>tc={36B9B979-932D-714E-AB7A-82905744A242}</author>
    <author>tc={538DEC9B-B0E3-3249-8BAA-9B1F336FC926}</author>
    <author>tc={C4B3EDC2-07E2-DB47-86F0-9F30A968540C}</author>
    <author>tc={F786168A-1A24-844A-970E-291D3704566E}</author>
  </authors>
  <commentList>
    <comment ref="C1" authorId="0" shapeId="0" xr:uid="{6B02FE1C-26F4-0544-BAB5-4467FF68C1E3}">
      <text>
        <t>[Threaded comment]
Your version of Excel allows you to read this threaded comment; however, any edits to it will get removed if the file is opened in a newer version of Excel. Learn more: https://go.microsoft.com/fwlink/?linkid=870924
Comment:
    per Cleaning The Glass</t>
      </text>
    </comment>
    <comment ref="W1" authorId="1" shapeId="0" xr:uid="{3D923511-D415-CC46-BDA2-E3CB30F63A2F}">
      <text>
        <t>[Threaded comment]
Your version of Excel allows you to read this threaded comment; however, any edits to it will get removed if the file is opened in a newer version of Excel. Learn more: https://go.microsoft.com/fwlink/?linkid=870924
Comment:
    per Basketball Reference</t>
      </text>
    </comment>
    <comment ref="Q2" authorId="2" shapeId="0" xr:uid="{470EE3F7-A746-3C4B-AE56-52764B004F7D}">
      <text>
        <t>[Threaded comment]
Your version of Excel allows you to read this threaded comment; however, any edits to it will get removed if the file is opened in a newer version of Excel. Learn more: https://go.microsoft.com/fwlink/?linkid=870924
Comment:
    6/29/21 deadline
Bird
Max cap hold</t>
      </text>
    </comment>
    <comment ref="R2" authorId="3" shapeId="0" xr:uid="{97FE6747-F9F4-794E-B36A-8134408F5972}">
      <text>
        <t>[Threaded comment]
Your version of Excel allows you to read this threaded comment; however, any edits to it will get removed if the file is opened in a newer version of Excel. Learn more: https://go.microsoft.com/fwlink/?linkid=870924
Comment:
    Bird</t>
      </text>
    </comment>
    <comment ref="Q3" authorId="4" shapeId="0" xr:uid="{A64046E7-5A78-A642-B732-1860EF21A891}">
      <text>
        <t>[Threaded comment]
Your version of Excel allows you to read this threaded comment; however, any edits to it will get removed if the file is opened in a newer version of Excel. Learn more: https://go.microsoft.com/fwlink/?linkid=870924
Comment:
    Bird</t>
      </text>
    </comment>
    <comment ref="Q4" authorId="5" shapeId="0" xr:uid="{0AB1EBAC-2BDF-2E48-8A80-AA6BAA91C7D8}">
      <text>
        <t>[Threaded comment]
Your version of Excel allows you to read this threaded comment; however, any edits to it will get removed if the file is opened in a newer version of Excel. Learn more: https://go.microsoft.com/fwlink/?linkid=870924
Comment:
    Bird</t>
      </text>
    </comment>
    <comment ref="Q5" authorId="6" shapeId="0" xr:uid="{357D5EB6-800E-E847-B791-46C6C02E13A9}">
      <text>
        <t>[Threaded comment]
Your version of Excel allows you to read this threaded comment; however, any edits to it will get removed if the file is opened in a newer version of Excel. Learn more: https://go.microsoft.com/fwlink/?linkid=870924
Comment:
    OLD: 10/31/20 deadline</t>
      </text>
    </comment>
    <comment ref="R5" authorId="7" shapeId="0" xr:uid="{4F357345-3872-9A4C-BA1A-07B9279CB240}">
      <text>
        <t>[Threaded comment]
Your version of Excel allows you to read this threaded comment; however, any edits to it will get removed if the file is opened in a newer version of Excel. Learn more: https://go.microsoft.com/fwlink/?linkid=870924
Comment:
    $7,523,383 QO
6/29/22 deadline
Bird</t>
      </text>
    </comment>
    <comment ref="Q6" authorId="8" shapeId="0" xr:uid="{4F3A5800-32EF-124E-88D1-3B6860C5BE9B}">
      <text>
        <t>[Threaded comment]
Your version of Excel allows you to read this threaded comment; however, any edits to it will get removed if the file is opened in a newer version of Excel. Learn more: https://go.microsoft.com/fwlink/?linkid=870924
Comment:
    $5,683,323 QO
6/29/21 deadline
Bird</t>
      </text>
    </comment>
    <comment ref="Q7" authorId="9" shapeId="0" xr:uid="{35988F30-A144-444F-85D1-CB6287F27B56}">
      <text>
        <t>[Threaded comment]
Your version of Excel allows you to read this threaded comment; however, any edits to it will get removed if the file is opened in a newer version of Excel. Learn more: https://go.microsoft.com/fwlink/?linkid=870924
Comment:
    OLD: 10/31/20 deadline</t>
      </text>
    </comment>
    <comment ref="R7" authorId="10" shapeId="0" xr:uid="{B7097BD3-EC26-8144-9FAA-7AF674B762C2}">
      <text>
        <t>[Threaded comment]
Your version of Excel allows you to read this threaded comment; however, any edits to it will get removed if the file is opened in a newer version of Excel. Learn more: https://go.microsoft.com/fwlink/?linkid=870924
Comment:
    10/31/20 deadline</t>
      </text>
    </comment>
    <comment ref="S7" authorId="11" shapeId="0" xr:uid="{628055FA-D559-9441-B360-D59A76C4FC01}">
      <text>
        <t>[Threaded comment]
Your version of Excel allows you to read this threaded comment; however, any edits to it will get removed if the file is opened in a newer version of Excel. Learn more: https://go.microsoft.com/fwlink/?linkid=870924
Comment:
    $6,205,035 QO
6/29/23 deadline
Bird</t>
      </text>
    </comment>
    <comment ref="P8" authorId="12" shapeId="0" xr:uid="{477EF010-D630-D74F-AAE6-BB6947C5037C}">
      <text>
        <t>[Threaded comment]
Your version of Excel allows you to read this threaded comment; however, any edits to it will get removed if the file is opened in a newer version of Excel. Learn more: https://go.microsoft.com/fwlink/?linkid=870924
Comment:
    10/17/20 deadline
$1,707,576 cap hold
Non Bird</t>
      </text>
    </comment>
    <comment ref="Q8" authorId="13" shapeId="0" xr:uid="{E0D4E86B-C505-BB47-A08D-6470618E0A2D}">
      <text>
        <t>[Threaded comment]
Your version of Excel allows you to read this threaded comment; however, any edits to it will get removed if the file is opened in a newer version of Excel. Learn more: https://go.microsoft.com/fwlink/?linkid=870924
Comment:
    Early Bird</t>
      </text>
    </comment>
    <comment ref="P9" authorId="14" shapeId="0" xr:uid="{94F362C2-B2EC-0B4D-A80C-EF7B5B2C8168}">
      <text>
        <t>[Threaded comment]
Your version of Excel allows you to read this threaded comment; however, any edits to it will get removed if the file is opened in a newer version of Excel. Learn more: https://go.microsoft.com/fwlink/?linkid=870924
Comment:
    10/17/20 deadline
If waived, Bird RFA</t>
      </text>
    </comment>
    <comment ref="Q9" authorId="15" shapeId="0" xr:uid="{8713B1E5-7614-8A4A-B5DD-8AF9A0502309}">
      <text>
        <t>[Threaded comment]
Your version of Excel allows you to read this threaded comment; however, any edits to it will get removed if the file is opened in a newer version of Excel. Learn more: https://go.microsoft.com/fwlink/?linkid=870924
Comment:
    Bird</t>
      </text>
    </comment>
    <comment ref="P10" authorId="16" shapeId="0" xr:uid="{D6C5F3CB-E963-C243-AD78-FD8D8EB95F89}">
      <text>
        <t>[Threaded comment]
Your version of Excel allows you to read this threaded comment; however, any edits to it will get removed if the file is opened in a newer version of Excel. Learn more: https://go.microsoft.com/fwlink/?linkid=870924
Comment:
    10/17/20 deadline
If waived, Early Bird RFA</t>
      </text>
    </comment>
    <comment ref="Q10" authorId="17" shapeId="0" xr:uid="{89CC3B1C-810B-2541-926F-FDFDBBA1F3C0}">
      <text>
        <t>[Threaded comment]
Your version of Excel allows you to read this threaded comment; however, any edits to it will get removed if the file is opened in a newer version of Excel. Learn more: https://go.microsoft.com/fwlink/?linkid=870924
Comment:
    $2,122,822 QO
6/29/21 deadline
Bird</t>
      </text>
    </comment>
    <comment ref="P11" authorId="18" shapeId="0" xr:uid="{A055DF1A-C7C8-6F4F-A611-0B596FF45C45}">
      <text>
        <t>[Threaded comment]
Your version of Excel allows you to read this threaded comment; however, any edits to it will get removed if the file is opened in a newer version of Excel. Learn more: https://go.microsoft.com/fwlink/?linkid=870924
Comment:
    10/15/20 deadline
If kept, $1,174,336 gt
OLD: fully gt on 8/1/20
If waived, Early Bird RFA</t>
      </text>
    </comment>
    <comment ref="Q11" authorId="19" shapeId="0" xr:uid="{D0A125B8-2530-7849-88F8-2949735FBF37}">
      <text>
        <t>[Threaded comment]
Your version of Excel allows you to read this threaded comment; however, any edits to it will get removed if the file is opened in a newer version of Excel. Learn more: https://go.microsoft.com/fwlink/?linkid=870924
Comment:
    $2,122,822 QO
6/29/21 deadline
Bird</t>
      </text>
    </comment>
    <comment ref="Q12" authorId="20" shapeId="0" xr:uid="{4404BEA1-87B4-3D48-9F0E-768F3E1C1003}">
      <text>
        <t>[Threaded comment]
Your version of Excel allows you to read this threaded comment; however, any edits to it will get removed if the file is opened in a newer version of Excel. Learn more: https://go.microsoft.com/fwlink/?linkid=870924
Comment:
    $300k gt
If waived, Early Bird RFA</t>
      </text>
    </comment>
    <comment ref="R12" authorId="21" shapeId="0" xr:uid="{F0BE8B6D-5FD5-B145-A60B-BA3350A89825}">
      <text>
        <t>[Threaded comment]
Your version of Excel allows you to read this threaded comment; however, any edits to it will get removed if the file is opened in a newer version of Excel. Learn more: https://go.microsoft.com/fwlink/?linkid=870924
Comment:
    OLD: 6/29/20 deadline
$325,000 gt if team opts in
If declined, Bird RFA</t>
      </text>
    </comment>
    <comment ref="S12" authorId="22" shapeId="0" xr:uid="{58CE1506-7235-BB4A-994B-FC92E2435B9C}">
      <text>
        <t>[Threaded comment]
Your version of Excel allows you to read this threaded comment; however, any edits to it will get removed if the file is opened in a newer version of Excel. Learn more: https://go.microsoft.com/fwlink/?linkid=870924
Comment:
    Bird</t>
      </text>
    </comment>
    <comment ref="Q13" authorId="23" shapeId="0" xr:uid="{59C420FD-32DF-5741-B159-5F12A097D3EB}">
      <text>
        <t>[Threaded comment]
Your version of Excel allows you to read this threaded comment; however, any edits to it will get removed if the file is opened in a newer version of Excel. Learn more: https://go.microsoft.com/fwlink/?linkid=870924
Comment:
    fully NG, fully gt on 7/3/21
If waived, Early Bird RFA</t>
      </text>
    </comment>
    <comment ref="R13" authorId="24" shapeId="0" xr:uid="{D94F704F-3537-074F-B903-7B8D7E2C33AC}">
      <text>
        <t>[Threaded comment]
Your version of Excel allows you to read this threaded comment; however, any edits to it will get removed if the file is opened in a newer version of Excel. Learn more: https://go.microsoft.com/fwlink/?linkid=870924
Comment:
    6/29/22 deadline
If declined, Bird RFA</t>
      </text>
    </comment>
    <comment ref="S13" authorId="25" shapeId="0" xr:uid="{3DA9E164-2CB6-D44C-BB84-7AEB4B898977}">
      <text>
        <t>[Threaded comment]
Your version of Excel allows you to read this threaded comment; however, any edits to it will get removed if the file is opened in a newer version of Excel. Learn more: https://go.microsoft.com/fwlink/?linkid=870924
Comment:
    Bird</t>
      </text>
    </comment>
    <comment ref="P14" authorId="26" shapeId="0" xr:uid="{50831CD2-ABC2-0041-8667-9A1496C5D6AA}">
      <text>
        <t>[Threaded comment]
Your version of Excel allows you to read this threaded comment; however, any edits to it will get removed if the file is opened in a newer version of Excel. Learn more: https://go.microsoft.com/fwlink/?linkid=870924
Comment:
    Kyle Singler / Patrick Patterson</t>
      </text>
    </comment>
    <comment ref="Q14" authorId="27" shapeId="0" xr:uid="{95C6C7F2-D3FE-124A-A994-6F2204EB906D}">
      <text>
        <t>[Threaded comment]
Your version of Excel allows you to read this threaded comment; however, any edits to it will get removed if the file is opened in a newer version of Excel. Learn more: https://go.microsoft.com/fwlink/?linkid=870924
Comment:
    Kyle Singler / Patrick Patterson</t>
      </text>
    </comment>
    <comment ref="R14" authorId="28" shapeId="0" xr:uid="{FC47211F-0A87-A448-8A8B-993C756F269F}">
      <text>
        <t>[Threaded comment]
Your version of Excel allows you to read this threaded comment; however, any edits to it will get removed if the file is opened in a newer version of Excel. Learn more: https://go.microsoft.com/fwlink/?linkid=870924
Comment:
    Kyle Singler</t>
      </text>
    </comment>
    <comment ref="P18" authorId="29" shapeId="0" xr:uid="{C2AB9AA1-853D-F94E-BFAF-48074DD9B96A}">
      <text>
        <t>[Threaded comment]
Your version of Excel allows you to read this threaded comment; however, any edits to it will get removed if the file is opened in a newer version of Excel. Learn more: https://go.microsoft.com/fwlink/?linkid=870924
Comment:
    Bird</t>
      </text>
    </comment>
    <comment ref="P19" authorId="30" shapeId="0" xr:uid="{91834FC2-9F7C-284D-AEE7-F66A234825A8}">
      <text>
        <t>[Threaded comment]
Your version of Excel allows you to read this threaded comment; however, any edits to it will get removed if the file is opened in a newer version of Excel. Learn more: https://go.microsoft.com/fwlink/?linkid=870924
Comment:
    Bird</t>
      </text>
    </comment>
    <comment ref="P20" authorId="31" shapeId="0" xr:uid="{36B9B979-932D-714E-AB7A-82905744A242}">
      <text>
        <t>[Threaded comment]
Your version of Excel allows you to read this threaded comment; however, any edits to it will get removed if the file is opened in a newer version of Excel. Learn more: https://go.microsoft.com/fwlink/?linkid=870924
Comment:
    Early Bird</t>
      </text>
    </comment>
    <comment ref="P25" authorId="32" shapeId="0" xr:uid="{538DEC9B-B0E3-3249-8BAA-9B1F336FC926}">
      <text>
        <t>[Threaded comment]
Your version of Excel allows you to read this threaded comment; however, any edits to it will get removed if the file is opened in a newer version of Excel. Learn more: https://go.microsoft.com/fwlink/?linkid=870924
Comment:
    8 players: Chris Paul / Steven Adams / Dennis Schroder / Shai Gilgeous-Alexander / Terrance Ferguson / Darius Bazley / Luguentz Dort / Isaiah Roby
2020 DEN 1st (projected #25)
2020 2nd (projected #51)
Mike Muscala (PO)
Abdel Nader (TO)
Hamidou Diallo (TO)
Deonte Burton (TO)
Danilo Gallinari (Bird)
Andre Roberson (Bird)
Nerlens Noel (Bird)
Kevin Hervey (2W RFA)
Devon Hall (2W RFA)</t>
      </text>
    </comment>
    <comment ref="P26" authorId="33" shapeId="0" xr:uid="{C4B3EDC2-07E2-DB47-86F0-9F30A968540C}">
      <text>
        <t>[Threaded comment]
Your version of Excel allows you to read this threaded comment; however, any edits to it will get removed if the file is opened in a newer version of Excel. Learn more: https://go.microsoft.com/fwlink/?linkid=870924
Comment:
    9 players: Chris Paul / Steven Adams / Dennis Schroder / Shai Gilgeous-Alexander / Terrance Ferguson / Darius Bazley / Mike Muscala (PO) / Luguentz Dort / Isaiah Roby
2020 DEN 1st (projected #25)
2020 2nd (projected #51)
Abdel Nader (TO)
Hamidou Diallo (TO)
Deonte Burton (TO)
Danilo Gallinari (Bird)
Andre Roberson (Bird)
Nerlens Noel (Bird)
Kevin Hervey (2W RFA)
Devon Hall (2W RFA)</t>
      </text>
    </comment>
    <comment ref="P27" authorId="34" shapeId="0" xr:uid="{F786168A-1A24-844A-970E-291D3704566E}">
      <text>
        <t>[Threaded comment]
Your version of Excel allows you to read this threaded comment; however, any edits to it will get removed if the file is opened in a newer version of Excel. Learn more: https://go.microsoft.com/fwlink/?linkid=870924
Comment:
    11 players: Chris Paul / Steven Adams / Dennis Schroder / Shai Gilgeous-Alexander / Terrance Ferguson / Darius Bazley / Mike Muscala (PO) / Abdel Nader (TO) / Hamidou Diallo (TO) / Luguentz Dort / Isaiah Roby
2020 DEN 1st (projected #25)
2020 2nd (projected #51)
Deonte Burton (TO)
Danilo Gallinari (Bird)
Andre Roberson (Bird)
Nerlens Noel (Bird)
Kevin Hervey (2W RFA)
Devon Hall (2W RFA)</t>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tc={979F648D-C0A3-2D48-BFEE-BEF7F80CAECA}</author>
    <author>tc={CB6B8F57-20DC-024F-8CFB-9AD04427642B}</author>
    <author>tc={441E1163-8811-C046-8401-0B9B1DFD676D}</author>
    <author>tc={EBE08543-131A-2C4D-B486-41649714C96C}</author>
    <author>tc={CF57DBA3-8CDC-EC44-B027-49CA4E24BA4E}</author>
  </authors>
  <commentList>
    <comment ref="C1" authorId="0" shapeId="0" xr:uid="{979F648D-C0A3-2D48-BFEE-BEF7F80CAECA}">
      <text>
        <t>[Threaded comment]
Your version of Excel allows you to read this threaded comment; however, any edits to it will get removed if the file is opened in a newer version of Excel. Learn more: https://go.microsoft.com/fwlink/?linkid=870924
Comment:
    per Cleaning The Glass</t>
      </text>
    </comment>
    <comment ref="W1" authorId="1" shapeId="0" xr:uid="{CB6B8F57-20DC-024F-8CFB-9AD04427642B}">
      <text>
        <t>[Threaded comment]
Your version of Excel allows you to read this threaded comment; however, any edits to it will get removed if the file is opened in a newer version of Excel. Learn more: https://go.microsoft.com/fwlink/?linkid=870924
Comment:
    per Basketball Reference</t>
      </text>
    </comment>
    <comment ref="P26" authorId="2" shapeId="0" xr:uid="{441E1163-8811-C046-8401-0B9B1DFD676D}">
      <text>
        <t>[Threaded comment]
Your version of Excel allows you to read this threaded comment; however, any edits to it will get removed if the file is opened in a newer version of Excel. Learn more: https://go.microsoft.com/fwlink/?linkid=870924
Comment:
    8 players: Nikola Vucevic / Aaron Gordon / Terrence Ross / Markelle Fultz / Al-Farouq Aminu / Jonathan Isaac / Mo Bamba / Khem Birch
2020 1st (#15)
2020 2nd (#45)
2019 1st (#16 - Chuma Okeke)
Evan Fournier (PO)
James Ennis III (PO)
DJ Augustin (Bird)
Wes Iwundu (Bird RFA)
Michael Carter-Williams (EB)
Melvin Frazier Jr. (TO)
Gary Clark (NB RFA)
B.J. Johnson (2W RFA)
Vic Law (2W RFA)</t>
      </text>
    </comment>
    <comment ref="P27" authorId="3" shapeId="0" xr:uid="{EBE08543-131A-2C4D-B486-41649714C96C}">
      <text>
        <t>[Threaded comment]
Your version of Excel allows you to read this threaded comment; however, any edits to it will get removed if the file is opened in a newer version of Excel. Learn more: https://go.microsoft.com/fwlink/?linkid=870924
Comment:
    10 players: Nikola Vucevic / Aaron Gordon / Evan Fournier (PO) / Terrence Ross / Markelle Fultz / Al-Farouq Aminu / Jonathan Isaac / Mo Bamba / Khem Birch / James Ennis III (PO)
2020 1st (#15)
2020 2nd (#45)
2019 1st (#16 - Chuma Okeke)
DJ Augustin (Bird)
Wes Iwundu (Bird RFA)
Michael Carter-Williams (EB)
Melvin Frazier Jr. (TO)
Gary Clark (NB RFA)
B.J. Johnson (2W RFA)
Vic Law (2W RFA)</t>
      </text>
    </comment>
    <comment ref="P28" authorId="4" shapeId="0" xr:uid="{CF57DBA3-8CDC-EC44-B027-49CA4E24BA4E}">
      <text>
        <t>[Threaded comment]
Your version of Excel allows you to read this threaded comment; however, any edits to it will get removed if the file is opened in a newer version of Excel. Learn more: https://go.microsoft.com/fwlink/?linkid=870924
Comment:
    11 players: Nikola Vucevic / Aaron Gordon / Evan Fournier (PO) / Terrence Ross / Markelle Fultz / Al-Farouq Aminu / Jonathan Isaac / Mo Bamba / Khem Birch / James Ennis III (PO) / Melvin Frazier Jr (TO)
2020 1st (#15)
2020 2nd (#45)
2019 1st (#16 - Chuma Okeke)
DJ Augustin (Bird)
Wes Iwundu (Bird RFA)
Michael Carter-Williams (EB)
Gary Clark (NB RFA)
B.J. Johnson (2W RFA)
Vic Law (2W RFA)</t>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tc={48450934-BCEB-6147-9717-A3CAF93CD0C3}</author>
    <author>tc={293A3FB3-69D2-8D43-B59F-D847066D7841}</author>
    <author>tc={EE8A5EC8-A517-5246-9782-06E4CA7B743C}</author>
    <author>tc={7D563503-9B17-564F-89EC-F869C7785CAE}</author>
    <author>tc={BE224B6B-AB17-BF41-823D-D928AB771D66}</author>
    <author>tc={54692469-D265-E541-9091-C5416341B5BE}</author>
    <author>tc={1CBB70B9-2F96-F94E-8731-7D84D9C36543}</author>
    <author>tc={9EEE5EC8-73E0-6140-B11A-9546B499AF8F}</author>
    <author>tc={49540EAD-6F33-F74B-B98C-81F17BED106C}</author>
    <author>tc={723BA40F-C39D-9043-B320-70061EF0290F}</author>
    <author>tc={F1184F05-FBDF-E64B-9CCE-D2BF6D382D57}</author>
  </authors>
  <commentList>
    <comment ref="C1" authorId="0" shapeId="0" xr:uid="{48450934-BCEB-6147-9717-A3CAF93CD0C3}">
      <text>
        <t>[Threaded comment]
Your version of Excel allows you to read this threaded comment; however, any edits to it will get removed if the file is opened in a newer version of Excel. Learn more: https://go.microsoft.com/fwlink/?linkid=870924
Comment:
    per Cleaning The Glass</t>
      </text>
    </comment>
    <comment ref="W1" authorId="1" shapeId="0" xr:uid="{293A3FB3-69D2-8D43-B59F-D847066D7841}">
      <text>
        <t>[Threaded comment]
Your version of Excel allows you to read this threaded comment; however, any edits to it will get removed if the file is opened in a newer version of Excel. Learn more: https://go.microsoft.com/fwlink/?linkid=870924
Comment:
    per Basketball Reference</t>
      </text>
    </comment>
    <comment ref="P10" authorId="2" shapeId="0" xr:uid="{EE8A5EC8-A517-5246-9782-06E4CA7B743C}">
      <text>
        <t>[Threaded comment]
Your version of Excel allows you to read this threaded comment; however, any edits to it will get removed if the file is opened in a newer version of Excel. Learn more: https://go.microsoft.com/fwlink/?linkid=870924
Comment:
    fully NG, fully gt on 7/10/20 (revised date TBD)</t>
      </text>
    </comment>
    <comment ref="P12" authorId="3" shapeId="0" xr:uid="{7D563503-9B17-564F-89EC-F869C7785CAE}">
      <text>
        <t>[Threaded comment]
Your version of Excel allows you to read this threaded comment; however, any edits to it will get removed if the file is opened in a newer version of Excel. Learn more: https://go.microsoft.com/fwlink/?linkid=870924
Comment:
    fully NG, fully gt on 7/10/20 (revised date TBD)</t>
      </text>
    </comment>
    <comment ref="P21" authorId="4" shapeId="0" xr:uid="{BE224B6B-AB17-BF41-823D-D928AB771D66}">
      <text>
        <t>[Threaded comment]
Your version of Excel allows you to read this threaded comment; however, any edits to it will get removed if the file is opened in a newer version of Excel. Learn more: https://go.microsoft.com/fwlink/?linkid=870924
Comment:
    Non Bird</t>
      </text>
    </comment>
    <comment ref="P22" authorId="5" shapeId="0" xr:uid="{54692469-D265-E541-9091-C5416341B5BE}">
      <text>
        <t>[Threaded comment]
Your version of Excel allows you to read this threaded comment; however, any edits to it will get removed if the file is opened in a newer version of Excel. Learn more: https://go.microsoft.com/fwlink/?linkid=870924
Comment:
    Non Bird</t>
      </text>
    </comment>
    <comment ref="P23" authorId="6" shapeId="0" xr:uid="{1CBB70B9-2F96-F94E-8731-7D84D9C36543}">
      <text>
        <t>[Threaded comment]
Your version of Excel allows you to read this threaded comment; however, any edits to it will get removed if the file is opened in a newer version of Excel. Learn more: https://go.microsoft.com/fwlink/?linkid=870924
Comment:
    Non Bird</t>
      </text>
    </comment>
    <comment ref="P24" authorId="7" shapeId="0" xr:uid="{9EEE5EC8-73E0-6140-B11A-9546B499AF8F}">
      <text>
        <t>[Threaded comment]
Your version of Excel allows you to read this threaded comment; however, any edits to it will get removed if the file is opened in a newer version of Excel. Learn more: https://go.microsoft.com/fwlink/?linkid=870924
Comment:
    Non Bird</t>
      </text>
    </comment>
    <comment ref="P25" authorId="8" shapeId="0" xr:uid="{49540EAD-6F33-F74B-B98C-81F17BED106C}">
      <text>
        <t>[Threaded comment]
Your version of Excel allows you to read this threaded comment; however, any edits to it will get removed if the file is opened in a newer version of Excel. Learn more: https://go.microsoft.com/fwlink/?linkid=870924
Comment:
    No Rights</t>
      </text>
    </comment>
    <comment ref="P29" authorId="9" shapeId="0" xr:uid="{723BA40F-C39D-9043-B320-70061EF0290F}">
      <text>
        <t>[Threaded comment]
Your version of Excel allows you to read this threaded comment; however, any edits to it will get removed if the file is opened in a newer version of Excel. Learn more: https://go.microsoft.com/fwlink/?linkid=870924
Comment:
    10 players: Tobias Harris / Joel Embiid / Al Horford / Ben Simmons / Josh Richardson / Mike Scott / Zhaire Smith / Matisse Thybulle / Shake Milton / Mariel Shayok (2W)
2020 OKC 1st (#21)
2020 ATL 2nd (#34)
2020 NYK 2nd (#36)
2020 2nd (#49)
2020 LAL 2nd (#58)
Furkan Korkmaz (NG)
Norvel Pelle (NG)
Glenn Robinson III (Non Bird)
Alec Burks (Non Bird)
Kyle O’Quinn (Non Bird)
Raul Neto (Non Bird)
Ryan Broekhoff (No Rights)</t>
      </text>
    </comment>
    <comment ref="P30" authorId="10" shapeId="0" xr:uid="{F1184F05-FBDF-E64B-9CCE-D2BF6D382D57}">
      <text>
        <t>[Threaded comment]
Your version of Excel allows you to read this threaded comment; however, any edits to it will get removed if the file is opened in a newer version of Excel. Learn more: https://go.microsoft.com/fwlink/?linkid=870924
Comment:
    12 players: Tobias Harris / Joel Embiid / Al Horford / Ben Simmons / Josh Richardson / Mike Scott / Zhaire Smith / Matisse Thybulle / Furkan Korkmaz (NG) / Shake Milton / Norvel Pelle (NG) / Mariel Shayok (2W)
2020 OKC 1st (#21)
2020 ATL 2nd (#34)
2020 NYK 2nd (#36)
2020 2nd (#49)
2020 LAL 2nd (#58)
Glenn Robinson III (Non Bird)
Alec Burks (Non Bird)
Kyle O’Quinn (Non Bird)
Raul Neto (Non Bird)
Ryan Broekhoff (No Rights)</t>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tc={6E04FD27-20B8-6448-AAC1-30AA77F72161}</author>
    <author>tc={107A77BF-925A-2942-982E-C7881C953BF2}</author>
    <author>tc={E437A2C0-89AC-B448-9FB0-56F835551DFC}</author>
    <author>tc={3A8516CD-E452-D946-A956-FDEF55C3A06B}</author>
    <author>tc={9435DE5E-7F2E-AE40-9371-F16609EB61E4}</author>
  </authors>
  <commentList>
    <comment ref="C1" authorId="0" shapeId="0" xr:uid="{6E04FD27-20B8-6448-AAC1-30AA77F72161}">
      <text>
        <t>[Threaded comment]
Your version of Excel allows you to read this threaded comment; however, any edits to it will get removed if the file is opened in a newer version of Excel. Learn more: https://go.microsoft.com/fwlink/?linkid=870924
Comment:
    per Cleaning The Glass</t>
      </text>
    </comment>
    <comment ref="W1" authorId="1" shapeId="0" xr:uid="{107A77BF-925A-2942-982E-C7881C953BF2}">
      <text>
        <t>[Threaded comment]
Your version of Excel allows you to read this threaded comment; however, any edits to it will get removed if the file is opened in a newer version of Excel. Learn more: https://go.microsoft.com/fwlink/?linkid=870924
Comment:
    per Basketball Reference</t>
      </text>
    </comment>
    <comment ref="P24" authorId="2" shapeId="0" xr:uid="{E437A2C0-89AC-B448-9FB0-56F835551DFC}">
      <text>
        <t>[Threaded comment]
Your version of Excel allows you to read this threaded comment; however, any edits to it will get removed if the file is opened in a newer version of Excel. Learn more: https://go.microsoft.com/fwlink/?linkid=870924
Comment:
    8 players: Devin Booker / Ricky Rubio / Kelly Oubre Jr / DeAndre Ayton / Mikal Bridges / Cam Johnson / Ty Jerome / Jalen Leque
2020 1st (#10)
Frank Kaminsky (TO)
Cheick Diallo (TO)
Cameron Payne (NG)
Elie Okobo (NG)
Dario Saric (Bird RFA)
Aron Baynes (Bird UFA)
Jevon Carter (EB RFA)
Tariq Owens (2W RFA)</t>
      </text>
    </comment>
    <comment ref="P25" authorId="3" shapeId="0" xr:uid="{3A8516CD-E452-D946-A956-FDEF55C3A06B}">
      <text>
        <t>[Threaded comment]
Your version of Excel allows you to read this threaded comment; however, any edits to it will get removed if the file is opened in a newer version of Excel. Learn more: https://go.microsoft.com/fwlink/?linkid=870924
Comment:
    12 players: Devin Booker / Ricky Rubio / Kelly Oubre Jr / DeAndre Ayton / Frank Kaminsky (TO) / Mikal Bridges / Cam Johnson / Ty Jerome / Cheick Diallo (TO) / Cam Payne (NG) / Elie Okob (NG) / Jalen Leque
2020 1st (#10)
Dario Saric (Bird RFA)
Aron Baynes (Bird UFA)
Jevon Carter (EB RFA)
Tariq Owens (2W RFA)</t>
      </text>
    </comment>
    <comment ref="P26" authorId="4" shapeId="0" xr:uid="{9435DE5E-7F2E-AE40-9371-F16609EB61E4}">
      <text>
        <t>[Threaded comment]
Your version of Excel allows you to read this threaded comment; however, any edits to it will get removed if the file is opened in a newer version of Excel. Learn more: https://go.microsoft.com/fwlink/?linkid=870924
Comment:
    9 players: Devin Booker / Ricky Rubio / Kelly Oubre Jr / DeAndre Ayton / Mikal Bridges / Cam Johnson / Ty Jerome / Cam Payne (NG) / Jalen Leque
2020 1st (#10)
Cameron Payne (NG)
Dario Saric (Bird RFA)
Aron Baynes (Bird UFA)
Jevon Carter (EB RFA)
Tariq Owens (2W RFA)</t>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tc={7D0CD040-502E-D94D-AF88-6701BD71DDA1}</author>
    <author>tc={E0038C82-19B6-CE4B-92E7-72AC098A93A6}</author>
    <author>tc={132F840B-565B-FB4E-B410-31CB896A890F}</author>
    <author>tc={D81BA430-7013-1545-975B-6FA0DAB8A99B}</author>
    <author>tc={9E4B89EB-C441-6841-8DBA-431D5F726C49}</author>
    <author>tc={B7BF7F8F-C4B9-0A4C-A95A-0659D9E3CDFF}</author>
    <author>tc={5B1A3162-3D80-8F4E-AD24-C3BA46DA9009}</author>
    <author>tc={56E76614-1ED6-3842-942E-4FCCF3165281}</author>
    <author>tc={95EB4A93-3527-F94E-91B4-2B6D5D3C8B79}</author>
    <author>tc={96477604-6DC2-5847-A313-1F24F790BD0B}</author>
    <author>tc={EA9399B6-3E48-944C-889D-B31CEFCE40AD}</author>
    <author>tc={893B9103-CED7-3B41-AC88-0117B2D2E5F3}</author>
    <author>tc={D66DCA43-EFDB-8344-9BEA-CE580D4E681D}</author>
    <author>tc={50BE2BD7-1E07-4743-9A7D-56EB0477E367}</author>
    <author>tc={2F43838C-AB20-6B4A-84EF-61AF02887F78}</author>
    <author>tc={BA845CEB-D783-5743-8A6D-0172D0B1EF29}</author>
    <author>tc={2735A0A4-7C17-4047-8AB0-B627D89CE34F}</author>
    <author>tc={419C2242-FF71-5E46-83CF-951CC954D62B}</author>
    <author>tc={1F3472C5-577E-D249-BBA6-BBDEB9EBF920}</author>
    <author>tc={D34A6692-6421-FD42-8319-1C7903204EEF}</author>
    <author>tc={46204ACF-D76B-E84B-A09D-164C20417DB2}</author>
    <author>tc={368CEF8D-5F51-A549-B2CA-07C9BE12157C}</author>
    <author>tc={74864525-AD18-B249-9F15-E2B34C79C7B3}</author>
    <author>tc={06101C59-24E4-7542-AA83-4F5E2AD017CB}</author>
    <author>tc={78B63E43-505A-1B4A-85E9-9CADA93980E1}</author>
    <author>tc={3149EC88-F754-D84C-A585-65E9C81552B3}</author>
  </authors>
  <commentList>
    <comment ref="C1" authorId="0" shapeId="0" xr:uid="{7D0CD040-502E-D94D-AF88-6701BD71DDA1}">
      <text>
        <t>[Threaded comment]
Your version of Excel allows you to read this threaded comment; however, any edits to it will get removed if the file is opened in a newer version of Excel. Learn more: https://go.microsoft.com/fwlink/?linkid=870924
Comment:
    per Cleaning The Glass</t>
      </text>
    </comment>
    <comment ref="W1" authorId="1" shapeId="0" xr:uid="{E0038C82-19B6-CE4B-92E7-72AC098A93A6}">
      <text>
        <t>[Threaded comment]
Your version of Excel allows you to read this threaded comment; however, any edits to it will get removed if the file is opened in a newer version of Excel. Learn more: https://go.microsoft.com/fwlink/?linkid=870924
Comment:
    per Basketball Reference</t>
      </text>
    </comment>
    <comment ref="U2" authorId="2" shapeId="0" xr:uid="{132F840B-565B-FB4E-B410-31CB896A890F}">
      <text>
        <t>[Threaded comment]
Your version of Excel allows you to read this threaded comment; however, any edits to it will get removed if the file is opened in a newer version of Excel. Learn more: https://go.microsoft.com/fwlink/?linkid=870924
Comment:
    Bird</t>
      </text>
    </comment>
    <comment ref="T3" authorId="3" shapeId="0" xr:uid="{D81BA430-7013-1545-975B-6FA0DAB8A99B}">
      <text>
        <t>[Threaded comment]
Your version of Excel allows you to read this threaded comment; however, any edits to it will get removed if the file is opened in a newer version of Excel. Learn more: https://go.microsoft.com/fwlink/?linkid=870924
Comment:
    Bird</t>
      </text>
    </comment>
    <comment ref="Q4" authorId="4" shapeId="0" xr:uid="{9E4B89EB-C441-6841-8DBA-431D5F726C49}">
      <text>
        <t xml:space="preserve">[Threaded comment]
Your version of Excel allows you to read this threaded comment; however, any edits to it will get removed if the file is opened in a newer version of Excel. Learn more: https://go.microsoft.com/fwlink/?linkid=870924
Comment:
    $4,000,000 gt, fully gt on 7/1/21
$21,208,334 cap hold
Bird UFA
</t>
      </text>
    </comment>
    <comment ref="R4" authorId="5" shapeId="0" xr:uid="{B7BF7F8F-C4B9-0A4C-A95A-0659D9E3CDFF}">
      <text>
        <t>[Threaded comment]
Your version of Excel allows you to read this threaded comment; however, any edits to it will get removed if the file is opened in a newer version of Excel. Learn more: https://go.microsoft.com/fwlink/?linkid=870924
Comment:
    Bird</t>
      </text>
    </comment>
    <comment ref="P5" authorId="6" shapeId="0" xr:uid="{5B1A3162-3D80-8F4E-AD24-C3BA46DA9009}">
      <text>
        <t>[Threaded comment]
Your version of Excel allows you to read this threaded comment; however, any edits to it will get removed if the file is opened in a newer version of Excel. Learn more: https://go.microsoft.com/fwlink/?linkid=870924
Comment:
    NEW: $1,800,000 gt, fully gt on 10/18/20
$14,640,000 cap hold
Non Bird UFA</t>
      </text>
    </comment>
    <comment ref="Q5" authorId="7" shapeId="0" xr:uid="{56E76614-1ED6-3842-942E-4FCCF3165281}">
      <text>
        <t>[Threaded comment]
Your version of Excel allows you to read this threaded comment; however, any edits to it will get removed if the file is opened in a newer version of Excel. Learn more: https://go.microsoft.com/fwlink/?linkid=870924
Comment:
    Early Bird</t>
      </text>
    </comment>
    <comment ref="P6" authorId="8" shapeId="0" xr:uid="{95EB4A93-3527-F94E-91B4-2B6D5D3C8B79}">
      <text>
        <t>[Threaded comment]
Your version of Excel allows you to read this threaded comment; however, any edits to it will get removed if the file is opened in a newer version of Excel. Learn more: https://go.microsoft.com/fwlink/?linkid=870924
Comment:
    NEW: 10/15/20 deadline
$7,433,400 cap hold
Early Bird UFA</t>
      </text>
    </comment>
    <comment ref="Q6" authorId="9" shapeId="0" xr:uid="{96477604-6DC2-5847-A313-1F24F790BD0B}">
      <text>
        <t>[Threaded comment]
Your version of Excel allows you to read this threaded comment; however, any edits to it will get removed if the file is opened in a newer version of Excel. Learn more: https://go.microsoft.com/fwlink/?linkid=870924
Comment:
    Bird</t>
      </text>
    </comment>
    <comment ref="Q7" authorId="10" shapeId="0" xr:uid="{EA9399B6-3E48-944C-889D-B31CEFCE40AD}">
      <text>
        <t>[Threaded comment]
Your version of Excel allows you to read this threaded comment; however, any edits to it will get removed if the file is opened in a newer version of Excel. Learn more: https://go.microsoft.com/fwlink/?linkid=870924
Comment:
    $7,363,319 QO
6/29/21 deadline
Bird</t>
      </text>
    </comment>
    <comment ref="Q8" authorId="11" shapeId="0" xr:uid="{893B9103-CED7-3B41-AC88-0117B2D2E5F3}">
      <text>
        <t>[Threaded comment]
Your version of Excel allows you to read this threaded comment; however, any edits to it will get removed if the file is opened in a newer version of Excel. Learn more: https://go.microsoft.com/fwlink/?linkid=870924
Comment:
    OLD: 10/31/20 deadline</t>
      </text>
    </comment>
    <comment ref="Q9" authorId="12" shapeId="0" xr:uid="{D66DCA43-EFDB-8344-9BEA-CE580D4E681D}">
      <text>
        <t>[Threaded comment]
Your version of Excel allows you to read this threaded comment; however, any edits to it will get removed if the file is opened in a newer version of Excel. Learn more: https://go.microsoft.com/fwlink/?linkid=870924
Comment:
    OLD: 10/31/20 deadline</t>
      </text>
    </comment>
    <comment ref="R9" authorId="13" shapeId="0" xr:uid="{50BE2BD7-1E07-4743-9A7D-56EB0477E367}">
      <text>
        <t>[Threaded comment]
Your version of Excel allows you to read this threaded comment; however, any edits to it will get removed if the file is opened in a newer version of Excel. Learn more: https://go.microsoft.com/fwlink/?linkid=870924
Comment:
    10/31/21 deadline</t>
      </text>
    </comment>
    <comment ref="P10" authorId="14" shapeId="0" xr:uid="{2F43838C-AB20-6B4A-84EF-61AF02887F78}">
      <text>
        <t>[Threaded comment]
Your version of Excel allows you to read this threaded comment; however, any edits to it will get removed if the file is opened in a newer version of Excel. Learn more: https://go.microsoft.com/fwlink/?linkid=870924
Comment:
    NEW: 10/15/20 deadline
$1,707,576 cap hold (minimum)
Non Bird UFA</t>
      </text>
    </comment>
    <comment ref="P12" authorId="15" shapeId="0" xr:uid="{BA845CEB-D783-5743-8A6D-0172D0B1EF29}">
      <text>
        <t>[Threaded comment]
Your version of Excel allows you to read this threaded comment; however, any edits to it will get removed if the file is opened in a newer version of Excel. Learn more: https://go.microsoft.com/fwlink/?linkid=870924
Comment:
    Andrew Nicholson / Anderson Varejao</t>
      </text>
    </comment>
    <comment ref="Q12" authorId="16" shapeId="0" xr:uid="{2735A0A4-7C17-4047-8AB0-B627D89CE34F}">
      <text>
        <t>[Threaded comment]
Your version of Excel allows you to read this threaded comment; however, any edits to it will get removed if the file is opened in a newer version of Excel. Learn more: https://go.microsoft.com/fwlink/?linkid=870924
Comment:
    Andrew Nicholson</t>
      </text>
    </comment>
    <comment ref="R12" authorId="17" shapeId="0" xr:uid="{419C2242-FF71-5E46-83CF-951CC954D62B}">
      <text>
        <t>[Threaded comment]
Your version of Excel allows you to read this threaded comment; however, any edits to it will get removed if the file is opened in a newer version of Excel. Learn more: https://go.microsoft.com/fwlink/?linkid=870924
Comment:
    Andrew Nicholson</t>
      </text>
    </comment>
    <comment ref="S12" authorId="18" shapeId="0" xr:uid="{1F3472C5-577E-D249-BBA6-BBDEB9EBF920}">
      <text>
        <t>[Threaded comment]
Your version of Excel allows you to read this threaded comment; however, any edits to it will get removed if the file is opened in a newer version of Excel. Learn more: https://go.microsoft.com/fwlink/?linkid=870924
Comment:
    Andrew Nicholson</t>
      </text>
    </comment>
    <comment ref="P16" authorId="19" shapeId="0" xr:uid="{D34A6692-6421-FD42-8319-1C7903204EEF}">
      <text>
        <t>[Threaded comment]
Your version of Excel allows you to read this threaded comment; however, any edits to it will get removed if the file is opened in a newer version of Excel. Learn more: https://go.microsoft.com/fwlink/?linkid=870924
Comment:
    Bird</t>
      </text>
    </comment>
    <comment ref="P17" authorId="20" shapeId="0" xr:uid="{46204ACF-D76B-E84B-A09D-164C20417DB2}">
      <text>
        <t>[Threaded comment]
Your version of Excel allows you to read this threaded comment; however, any edits to it will get removed if the file is opened in a newer version of Excel. Learn more: https://go.microsoft.com/fwlink/?linkid=870924
Comment:
    Bird</t>
      </text>
    </comment>
    <comment ref="P18" authorId="21" shapeId="0" xr:uid="{368CEF8D-5F51-A549-B2CA-07C9BE12157C}">
      <text>
        <t>[Threaded comment]
Your version of Excel allows you to read this threaded comment; however, any edits to it will get removed if the file is opened in a newer version of Excel. Learn more: https://go.microsoft.com/fwlink/?linkid=870924
Comment:
    Early Bird</t>
      </text>
    </comment>
    <comment ref="P19" authorId="22" shapeId="0" xr:uid="{74864525-AD18-B249-9F15-E2B34C79C7B3}">
      <text>
        <t>[Threaded comment]
Your version of Excel allows you to read this threaded comment; however, any edits to it will get removed if the file is opened in a newer version of Excel. Learn more: https://go.microsoft.com/fwlink/?linkid=870924
Comment:
    Non Bird</t>
      </text>
    </comment>
    <comment ref="P26" authorId="23" shapeId="0" xr:uid="{06101C59-24E4-7542-AA83-4F5E2AD017CB}">
      <text>
        <t>[Threaded comment]
Your version of Excel allows you to read this threaded comment; however, any edits to it will get removed if the file is opened in a newer version of Excel. Learn more: https://go.microsoft.com/fwlink/?linkid=870924
Comment:
    7 players: Damian Lillard / C.J. McCollum / Jusuf Nurkic / Zach Collins / Anfernee Simons / Nassir Little / Gary Trent Jr.
2020 1st (#16)
2020 2nd (#46)
Trevor Ariza (PG)
Rodney Hood (PO)
Mario Hezonja (PO)
Hassan Whiteside (Bird)
Caleb Swanigan (Bird)
Wenyen Gabriel (EB RFA)
Carmelo Anthony (NB)
Jaylen Adams (No Rights)
Jaylen Hoard (2W RFA)
Moses Brown (2W RFA)</t>
      </text>
    </comment>
    <comment ref="P27" authorId="24" shapeId="0" xr:uid="{78B63E43-505A-1B4A-85E9-9CADA93980E1}">
      <text>
        <t>[Threaded comment]
Your version of Excel allows you to read this threaded comment; however, any edits to it will get removed if the file is opened in a newer version of Excel. Learn more: https://go.microsoft.com/fwlink/?linkid=870924
Comment:
    9 players: Damian Lillard / C.J. McCollum / Jusuf Nurkic / Rodney Hood (PO) / Zach Collins / Anfernee Simons / Nassir Little / Mario Hezonja (PO) / Gary Trent Jr.
2020 1st (#16)
2020 2nd (#46)
Trevor Ariza (PG)
Hassan Whiteside (Bird)
Caleb Swanigan (Bird)
Wenyen Gabriel (EB RFA)
Carmelo Anthony (NB)
Jaylen Adams (No Rights)
Jaylen Hoard (2W RFA)
Moses Brown (2W RFA)</t>
      </text>
    </comment>
    <comment ref="P28" authorId="25" shapeId="0" xr:uid="{3149EC88-F754-D84C-A585-65E9C81552B3}">
      <text>
        <t>[Threaded comment]
Your version of Excel allows you to read this threaded comment; however, any edits to it will get removed if the file is opened in a newer version of Excel. Learn more: https://go.microsoft.com/fwlink/?linkid=870924
Comment:
    10 players: Damian Lillard / C.J. McCollum / Jusuf Nurkic / Trevor Ariza (PG) / Rodney Hood (PO) / Zach Collins / Anfernee Simons / Nassir Little / Mario Hezonja (PO) / Gary Trent Jr.
2020 1st (#16)
2020 2nd (#46)
Hassan Whiteside (Bird)
Caleb Swanigan (Bird)
Wenyen Gabriel (EB RFA)
Carmelo Anthony (NB)
Jaylen Adams (No Rights)
Jaylen Hoard (2W RFA)
Moses Brown (2W RFA)</t>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tc={FAF0E704-378A-5040-B92F-2C89BA395CD5}</author>
    <author>tc={AC59C36C-2580-6243-ACF6-B86E105F240A}</author>
    <author>tc={0500C166-B389-CE45-93D6-1E061F2873FE}</author>
    <author>tc={AAC7BD19-096A-9C42-89BC-0E497447845E}</author>
    <author>tc={DD69CE99-E66D-A445-9556-4231CF2C83D1}</author>
    <author>tc={06369AC0-CBE4-864C-BE4E-75FAE4FAF071}</author>
    <author>tc={34119DC7-08DB-F84D-A809-999F8F5D8C0B}</author>
    <author>tc={A5F44A24-7489-0B40-ACF6-B52E0FC954B5}</author>
    <author>tc={D211027D-D6D6-CC4F-BF50-9FA49690AC49}</author>
    <author>tc={A5B15EF2-4DCA-7547-B2A4-E26E8E1B962E}</author>
    <author>tc={EE8A2031-CB2B-FA4F-A244-6AEDD1A38D04}</author>
    <author>tc={55BADE78-791D-FE4C-B119-5C8FC2966544}</author>
    <author>tc={BEC4D541-6B2E-7C47-8C09-CDC91EB682C5}</author>
    <author>tc={1B4ECD49-0D2F-974A-8624-FFF832F0E6F9}</author>
    <author>tc={CBD3A7C7-E7E7-5443-AE50-BAB51CEFC44D}</author>
    <author>tc={4A399090-2F0D-4549-88C3-8D6DE24E7B8E}</author>
    <author>tc={EA8C9A82-0BE7-4C4A-BAB9-727C2D37BB11}</author>
    <author>tc={3831C08F-C9DB-D349-88E1-F0F4C061C8D0}</author>
    <author>tc={1522C2A1-1FAD-4D43-89EC-0D27DB500E9E}</author>
    <author>tc={7125CB3D-0740-494F-8AB2-E0D4AA7846FB}</author>
    <author>tc={6550593E-A43E-674D-BD5E-DD4FA3D5E9F5}</author>
    <author>tc={C33AE6D6-C698-C54A-A976-F08379DB3728}</author>
    <author>tc={913B8265-672F-4747-8C73-4F751A2BA7E9}</author>
    <author>tc={BC7B7EC4-BA42-924C-9AE3-2EC9BBADD6C8}</author>
    <author>tc={F02CD10A-24C4-E84F-B3D0-07EA10DD9802}</author>
    <author>tc={EE87787B-80FC-BF49-90D6-8BFD4B7F520D}</author>
  </authors>
  <commentList>
    <comment ref="C1" authorId="0" shapeId="0" xr:uid="{FAF0E704-378A-5040-B92F-2C89BA395CD5}">
      <text>
        <t>[Threaded comment]
Your version of Excel allows you to read this threaded comment; however, any edits to it will get removed if the file is opened in a newer version of Excel. Learn more: https://go.microsoft.com/fwlink/?linkid=870924
Comment:
    per Cleaning The Glass</t>
      </text>
    </comment>
    <comment ref="W1" authorId="1" shapeId="0" xr:uid="{AC59C36C-2580-6243-ACF6-B86E105F240A}">
      <text>
        <t>[Threaded comment]
Your version of Excel allows you to read this threaded comment; however, any edits to it will get removed if the file is opened in a newer version of Excel. Learn more: https://go.microsoft.com/fwlink/?linkid=870924
Comment:
    per Basketball Reference</t>
      </text>
    </comment>
    <comment ref="T2" authorId="2" shapeId="0" xr:uid="{0500C166-B389-CE45-93D6-1E061F2873FE}">
      <text>
        <t>[Threaded comment]
Your version of Excel allows you to read this threaded comment; however, any edits to it will get removed if the file is opened in a newer version of Excel. Learn more: https://go.microsoft.com/fwlink/?linkid=870924
Comment:
    Bird</t>
      </text>
    </comment>
    <comment ref="S3" authorId="3" shapeId="0" xr:uid="{AAC7BD19-096A-9C42-89BC-0E497447845E}">
      <text>
        <t>[Threaded comment]
Your version of Excel allows you to read this threaded comment; however, any edits to it will get removed if the file is opened in a newer version of Excel. Learn more: https://go.microsoft.com/fwlink/?linkid=870924
Comment:
    Bird</t>
      </text>
    </comment>
    <comment ref="Q4" authorId="4" shapeId="0" xr:uid="{DD69CE99-E66D-A445-9556-4231CF2C83D1}">
      <text>
        <t>[Threaded comment]
Your version of Excel allows you to read this threaded comment; however, any edits to it will get removed if the file is opened in a newer version of Excel. Learn more: https://go.microsoft.com/fwlink/?linkid=870924
Comment:
    $2,400,000 gt, fully gt on 6/29/21
Early Bird
$16,380,000 cap hold</t>
      </text>
    </comment>
    <comment ref="R4" authorId="5" shapeId="0" xr:uid="{06369AC0-CBE4-864C-BE4E-75FAE4FAF071}">
      <text>
        <t>[Threaded comment]
Your version of Excel allows you to read this threaded comment; however, any edits to it will get removed if the file is opened in a newer version of Excel. Learn more: https://go.microsoft.com/fwlink/?linkid=870924
Comment:
    Bird</t>
      </text>
    </comment>
    <comment ref="Q5" authorId="6" shapeId="0" xr:uid="{34119DC7-08DB-F84D-A809-999F8F5D8C0B}">
      <text>
        <t>[Threaded comment]
Your version of Excel allows you to read this threaded comment; however, any edits to it will get removed if the file is opened in a newer version of Excel. Learn more: https://go.microsoft.com/fwlink/?linkid=870924
Comment:
    OLD: 10/31/20 deadline</t>
      </text>
    </comment>
    <comment ref="R5" authorId="7" shapeId="0" xr:uid="{A5F44A24-7489-0B40-ACF6-B52E0FC954B5}">
      <text>
        <t>[Threaded comment]
Your version of Excel allows you to read this threaded comment; however, any edits to it will get removed if the file is opened in a newer version of Excel. Learn more: https://go.microsoft.com/fwlink/?linkid=870924
Comment:
    $14,762,309 QO
6/29/22 deadline
Bird</t>
      </text>
    </comment>
    <comment ref="Q6" authorId="8" shapeId="0" xr:uid="{D211027D-D6D6-CC4F-BF50-9FA49690AC49}">
      <text>
        <t>[Threaded comment]
Your version of Excel allows you to read this threaded comment; however, any edits to it will get removed if the file is opened in a newer version of Excel. Learn more: https://go.microsoft.com/fwlink/?linkid=870924
Comment:
    $10,740,105 QO
6/29/21 deadline
Bird</t>
      </text>
    </comment>
    <comment ref="P7" authorId="9" shapeId="0" xr:uid="{A5B15EF2-4DCA-7547-B2A4-E26E8E1B962E}">
      <text>
        <t>[Threaded comment]
Your version of Excel allows you to read this threaded comment; however, any edits to it will get removed if the file is opened in a newer version of Excel. Learn more: https://go.microsoft.com/fwlink/?linkid=870924
Comment:
    fully NG, fully gt on 10/17/20
Early Bird
$8,872,500 cap hold</t>
      </text>
    </comment>
    <comment ref="Q7" authorId="10" shapeId="0" xr:uid="{EE8A2031-CB2B-FA4F-A244-6AEDD1A38D04}">
      <text>
        <t>[Threaded comment]
Your version of Excel allows you to read this threaded comment; however, any edits to it will get removed if the file is opened in a newer version of Excel. Learn more: https://go.microsoft.com/fwlink/?linkid=870924
Comment:
    Bird</t>
      </text>
    </comment>
    <comment ref="P8" authorId="11" shapeId="0" xr:uid="{55BADE78-791D-FE4C-B119-5C8FC2966544}">
      <text>
        <t>[Threaded comment]
Your version of Excel allows you to read this threaded comment; however, any edits to it will get removed if the file is opened in a newer version of Excel. Learn more: https://go.microsoft.com/fwlink/?linkid=870924
Comment:
    10/15/20 deadline
Non Bird
$7,800,000 cap hold</t>
      </text>
    </comment>
    <comment ref="Q8" authorId="12" shapeId="0" xr:uid="{BEC4D541-6B2E-7C47-8C09-CDC91EB682C5}">
      <text>
        <t>[Threaded comment]
Your version of Excel allows you to read this threaded comment; however, any edits to it will get removed if the file is opened in a newer version of Excel. Learn more: https://go.microsoft.com/fwlink/?linkid=870924
Comment:
    Early Bird</t>
      </text>
    </comment>
    <comment ref="Q9" authorId="13" shapeId="0" xr:uid="{1B4ECD49-0D2F-974A-8624-FFF832F0E6F9}">
      <text>
        <t>[Threaded comment]
Your version of Excel allows you to read this threaded comment; however, any edits to it will get removed if the file is opened in a newer version of Excel. Learn more: https://go.microsoft.com/fwlink/?linkid=870924
Comment:
    Early Bird</t>
      </text>
    </comment>
    <comment ref="Q10" authorId="14" shapeId="0" xr:uid="{CBD3A7C7-E7E7-5443-AE50-BAB51CEFC44D}">
      <text>
        <t xml:space="preserve">[Threaded comment]
Your version of Excel allows you to read this threaded comment; however, any edits to it will get removed if the file is opened in a newer version of Excel. Learn more: https://go.microsoft.com/fwlink/?linkid=870924
Comment:
    fully NG, fully gt on 7/15/21
Early Bird RFA
min cap hold
</t>
      </text>
    </comment>
    <comment ref="R10" authorId="15" shapeId="0" xr:uid="{4A399090-2F0D-4549-88C3-8D6DE24E7B8E}">
      <text>
        <t>[Threaded comment]
Your version of Excel allows you to read this threaded comment; however, any edits to it will get removed if the file is opened in a newer version of Excel. Learn more: https://go.microsoft.com/fwlink/?linkid=870924
Comment:
    $2,228,276 QO
Bird</t>
      </text>
    </comment>
    <comment ref="P18" authorId="16" shapeId="0" xr:uid="{EA8C9A82-0BE7-4C4A-BAB9-727C2D37BB11}">
      <text>
        <t>[Threaded comment]
Your version of Excel allows you to read this threaded comment; however, any edits to it will get removed if the file is opened in a newer version of Excel. Learn more: https://go.microsoft.com/fwlink/?linkid=870924
Comment:
    Bird</t>
      </text>
    </comment>
    <comment ref="P19" authorId="17" shapeId="0" xr:uid="{3831C08F-C9DB-D349-88E1-F0F4C061C8D0}">
      <text>
        <t>[Threaded comment]
Your version of Excel allows you to read this threaded comment; however, any edits to it will get removed if the file is opened in a newer version of Excel. Learn more: https://go.microsoft.com/fwlink/?linkid=870924
Comment:
    $10,661,733 QO
10/17/20 deadline
Bird</t>
      </text>
    </comment>
    <comment ref="P20" authorId="18" shapeId="0" xr:uid="{1522C2A1-1FAD-4D43-89EC-0D27DB500E9E}">
      <text>
        <t>[Threaded comment]
Your version of Excel allows you to read this threaded comment; however, any edits to it will get removed if the file is opened in a newer version of Excel. Learn more: https://go.microsoft.com/fwlink/?linkid=870924
Comment:
    Early Bird</t>
      </text>
    </comment>
    <comment ref="P21" authorId="19" shapeId="0" xr:uid="{7125CB3D-0740-494F-8AB2-E0D4AA7846FB}">
      <text>
        <t>[Threaded comment]
Your version of Excel allows you to read this threaded comment; however, any edits to it will get removed if the file is opened in a newer version of Excel. Learn more: https://go.microsoft.com/fwlink/?linkid=870924
Comment:
    Early Bird</t>
      </text>
    </comment>
    <comment ref="P22" authorId="20" shapeId="0" xr:uid="{6550593E-A43E-674D-BD5E-DD4FA3D5E9F5}">
      <text>
        <t>[Threaded comment]
Your version of Excel allows you to read this threaded comment; however, any edits to it will get removed if the file is opened in a newer version of Excel. Learn more: https://go.microsoft.com/fwlink/?linkid=870924
Comment:
    CANNOT PAY MORE THAN THIS AMOUNT</t>
      </text>
    </comment>
    <comment ref="P23" authorId="21" shapeId="0" xr:uid="{C33AE6D6-C698-C54A-A976-F08379DB3728}">
      <text>
        <t>[Threaded comment]
Your version of Excel allows you to read this threaded comment; however, any edits to it will get removed if the file is opened in a newer version of Excel. Learn more: https://go.microsoft.com/fwlink/?linkid=870924
Comment:
    Non Bird</t>
      </text>
    </comment>
    <comment ref="P24" authorId="22" shapeId="0" xr:uid="{913B8265-672F-4747-8C73-4F751A2BA7E9}">
      <text>
        <t>[Threaded comment]
Your version of Excel allows you to read this threaded comment; however, any edits to it will get removed if the file is opened in a newer version of Excel. Learn more: https://go.microsoft.com/fwlink/?linkid=870924
Comment:
    2W qualifying offer
Non Bird</t>
      </text>
    </comment>
    <comment ref="P28" authorId="23" shapeId="0" xr:uid="{BC7B7EC4-BA42-924C-9AE3-2EC9BBADD6C8}">
      <text>
        <t>[Threaded comment]
Your version of Excel allows you to read this threaded comment; however, any edits to it will get removed if the file is opened in a newer version of Excel. Learn more: https://go.microsoft.com/fwlink/?linkid=870924
Comment:
    7 players: Buddy Hield / Harrison Barnes / Cory Joseph / Marvin Bagley / De’Aaron Fox / Richaun Holmes / Justin James
2020 1st (projected #12)
2020 DET 2nd (projected #35)
2020 2nd (projected #42)
2020 MIA 2nd (projected #53)
Jabari Parker (PO)
Nemanja Bjelica (NG)
Kent Bazemore
Bogdan Bogdanovic (RFA)
Alex Len
Yogi Ferrell
Harry Giles
Cory Brewer
Daquan Jeffries</t>
      </text>
    </comment>
    <comment ref="P29" authorId="24" shapeId="0" xr:uid="{F02CD10A-24C4-E84F-B3D0-07EA10DD9802}">
      <text>
        <t>[Threaded comment]
Your version of Excel allows you to read this threaded comment; however, any edits to it will get removed if the file is opened in a newer version of Excel. Learn more: https://go.microsoft.com/fwlink/?linkid=870924
Comment:
    8 players: Buddy Hield / Harrison Barnes / Cory Joseph / Marvin Bagley / De’Aaron Fox / Jabari Parker (PO) / Richaun Holmes / Justin James
2020 1st (projected #12)
2020 DET 2nd (projected #35)
2020 2nd (projected #42)
2020 MIA 2nd (projected #53)
Nemanja Bjelica (NG)
Kent Bazemore
Bogdan Bogdanovic (RFA)
Alex Len
Yogi Ferrell
Harry Giles
Cory Brewer
Daquan Jeffries</t>
      </text>
    </comment>
    <comment ref="P30" authorId="25" shapeId="0" xr:uid="{EE87787B-80FC-BF49-90D6-8BFD4B7F520D}">
      <text>
        <t>[Threaded comment]
Your version of Excel allows you to read this threaded comment; however, any edits to it will get removed if the file is opened in a newer version of Excel. Learn more: https://go.microsoft.com/fwlink/?linkid=870924
Comment:
    9 players: Buddy Hield / Harrison Barnes / Cory Joseph / Marvin Bagley / De’Aaron Fox / Nemanja Bjelica (NG) / Jabari Parker (PO) / Richaun Holmes / Justin James
2020 1st (projected #12)
2020 DET 2nd (projected #35)
2020 2nd (projected #42)
2020 MIA 2nd (projected #53)
Kent Bazemore
Bogdan Bogdanovic (RFA)
Alex Len
Yogi Ferrell
Harry Giles
Cory Brewer
Daquan Jeffries</t>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tc={D3B104FD-F475-C444-9EED-C061EDE0F90F}</author>
    <author>tc={8E0CAE03-D8AE-074E-816D-171E99E0C74D}</author>
    <author>tc={D89C3520-B2EA-2141-BE3C-AFA5899192F3}</author>
    <author>tc={3B1307C2-8F64-554A-B666-3C7D9D95B87D}</author>
    <author>tc={3BDEC0A9-2231-F44F-BA21-BAA144C326E3}</author>
    <author>tc={F7C35161-F381-1644-93B7-D880499851FE}</author>
    <author>tc={D8155CF3-FA85-144F-BDE6-DEC718E8A30A}</author>
    <author>tc={A23B3135-7712-F748-B096-7C48C5B70BB8}</author>
    <author>tc={668A6DFC-A2A5-E542-9B2F-58C9267CFAA9}</author>
    <author>tc={6B767B98-D95C-5C46-892E-6E4CF578C5F7}</author>
    <author>tc={3AFA01BA-A1B1-4B46-9878-1ACD08860A81}</author>
    <author>tc={C5215AA2-B53F-6144-B4CB-6B00647DBF7E}</author>
  </authors>
  <commentList>
    <comment ref="C1" authorId="0" shapeId="0" xr:uid="{D3B104FD-F475-C444-9EED-C061EDE0F90F}">
      <text>
        <t>[Threaded comment]
Your version of Excel allows you to read this threaded comment; however, any edits to it will get removed if the file is opened in a newer version of Excel. Learn more: https://go.microsoft.com/fwlink/?linkid=870924
Comment:
    per Cleaning The Glass</t>
      </text>
    </comment>
    <comment ref="W1" authorId="1" shapeId="0" xr:uid="{8E0CAE03-D8AE-074E-816D-171E99E0C74D}">
      <text>
        <t>[Threaded comment]
Your version of Excel allows you to read this threaded comment; however, any edits to it will get removed if the file is opened in a newer version of Excel. Learn more: https://go.microsoft.com/fwlink/?linkid=870924
Comment:
    per Basketball Reference</t>
      </text>
    </comment>
    <comment ref="P2" authorId="2" shapeId="0" xr:uid="{D89C3520-B2EA-2141-BE3C-AFA5899192F3}">
      <text>
        <t>[Threaded comment]
Your version of Excel allows you to read this threaded comment; however, any edits to it will get removed if the file is opened in a newer version of Excel. Learn more: https://go.microsoft.com/fwlink/?linkid=870924
Comment:
    NEW: 10/13/20 deadline
Max cap hold
Bird</t>
      </text>
    </comment>
    <comment ref="P7" authorId="3" shapeId="0" xr:uid="{3B1307C2-8F64-554A-B666-3C7D9D95B87D}">
      <text>
        <t>[Threaded comment]
Your version of Excel allows you to read this threaded comment; however, any edits to it will get removed if the file is opened in a newer version of Excel. Learn more: https://go.microsoft.com/fwlink/?linkid=870924
Comment:
    NEW: $1,000,000 gt, fully gt on 10/18/20
If waived, Non Bird UFA
$6,600,000 cap hold</t>
      </text>
    </comment>
    <comment ref="P11" authorId="4" shapeId="0" xr:uid="{3BDEC0A9-2231-F44F-BA21-BAA144C326E3}">
      <text>
        <t>[Threaded comment]
Your version of Excel allows you to read this threaded comment; however, any edits to it will get removed if the file is opened in a newer version of Excel. Learn more: https://go.microsoft.com/fwlink/?linkid=870924
Comment:
    OLD: fully NG, fully gt on 1/10/21
If waived, Non Bird</t>
      </text>
    </comment>
    <comment ref="P13" authorId="5" shapeId="0" xr:uid="{F7C35161-F381-1644-93B7-D880499851FE}">
      <text>
        <t>[Threaded comment]
Your version of Excel allows you to read this threaded comment; however, any edits to it will get removed if the file is opened in a newer version of Excel. Learn more: https://go.microsoft.com/fwlink/?linkid=870924
Comment:
    OLD: fully NG, fully gt on 8/1/20</t>
      </text>
    </comment>
    <comment ref="P18" authorId="6" shapeId="0" xr:uid="{D8155CF3-FA85-144F-BDE6-DEC718E8A30A}">
      <text>
        <t>[Threaded comment]
Your version of Excel allows you to read this threaded comment; however, any edits to it will get removed if the file is opened in a newer version of Excel. Learn more: https://go.microsoft.com/fwlink/?linkid=870924
Comment:
    $5,087,871 QO
NEW: 10/17/20 deadline
Bird</t>
      </text>
    </comment>
    <comment ref="P19" authorId="7" shapeId="0" xr:uid="{A23B3135-7712-F748-B096-7C48C5B70BB8}">
      <text>
        <t>[Threaded comment]
Your version of Excel allows you to read this threaded comment; however, any edits to it will get removed if the file is opened in a newer version of Excel. Learn more: https://go.microsoft.com/fwlink/?linkid=870924
Comment:
    Early Bird</t>
      </text>
    </comment>
    <comment ref="P20" authorId="8" shapeId="0" xr:uid="{668A6DFC-A2A5-E542-9B2F-58C9267CFAA9}">
      <text>
        <t>[Threaded comment]
Your version of Excel allows you to read this threaded comment; however, any edits to it will get removed if the file is opened in a newer version of Excel. Learn more: https://go.microsoft.com/fwlink/?linkid=870924
Comment:
    Bryn Forbes</t>
      </text>
    </comment>
    <comment ref="P25" authorId="9" shapeId="0" xr:uid="{6B767B98-D95C-5C46-892E-6E4CF578C5F7}">
      <text>
        <t>[Threaded comment]
Your version of Excel allows you to read this threaded comment; however, any edits to it will get removed if the file is opened in a newer version of Excel. Learn more: https://go.microsoft.com/fwlink/?linkid=870924
Comment:
    8 players: LaMarcus Aldridge / Rudy Gay / Dejounte Murray / Patty Mills / Derrick White / Lonnie Walker / Luka Samanic / Keldon Johnson
2020 1st (projected #11)
2020 2nd (projected #41)
DeMar DeRozan (PO)
Trey Lyles (PG)
Tyler Zeller (NG)
Chimezie Metu (NG)
Jakob Poeltl (RFA)
Marco Belinelli (UFA, Early Bird)
Bryn Forbes (UFA, Bird)
Drew Eubanks
Quindary Weatherspoon</t>
      </text>
    </comment>
    <comment ref="P26" authorId="10" shapeId="0" xr:uid="{3AFA01BA-A1B1-4B46-9878-1ACD08860A81}">
      <text>
        <t>[Threaded comment]
Your version of Excel allows you to read this threaded comment; however, any edits to it will get removed if the file is opened in a newer version of Excel. Learn more: https://go.microsoft.com/fwlink/?linkid=870924
Comment:
    9 players: DeMar DeRozan (PO) / LaMarcus Aldridge / Rudy Gay / Dejounte Murray / Patty Mills / Derrick White / Lonnie Walker / Luka Samanic / Keldon Johnson
2020 1st (projected #11)
2020 2nd (projected #41)
Trey Lyles (PG)
Tyler Zeller (NG)
Chimezie Metu (NG)
Jakob Poeltl (RFA)
Marco Belinelli (UFA, Early Bird)
Bryn Forbes (UFA, Bird)
Drew Eubanks
Quindary Weatherspoon</t>
      </text>
    </comment>
    <comment ref="P27" authorId="11" shapeId="0" xr:uid="{C5215AA2-B53F-6144-B4CB-6B00647DBF7E}">
      <text>
        <t>[Threaded comment]
Your version of Excel allows you to read this threaded comment; however, any edits to it will get removed if the file is opened in a newer version of Excel. Learn more: https://go.microsoft.com/fwlink/?linkid=870924
Comment:
    12 players: DeMar DeRozan (PO) / LaMarcus Aldridge / Rudy Gay / Dejounte Murray / Patty Mills / Trey Lyles (PG) / Derrick White / Lonnie Walker / Luka Samanic / Tyler Zeller (NG) / Keldon Johnson / Chimezie Metu (NG)
2020 1st (projected #11)
2020 2nd (projected #41)
Jakob Poeltl (RFA)
Marco Belinelli (UFA, Early Bird)
Bryn Forbes (UFA, Bird)
Drew Eubanks
Quindary Weatherspoon</t>
      </text>
    </comment>
  </commentList>
</comments>
</file>

<file path=xl/comments28.xml><?xml version="1.0" encoding="utf-8"?>
<comments xmlns="http://schemas.openxmlformats.org/spreadsheetml/2006/main" xmlns:mc="http://schemas.openxmlformats.org/markup-compatibility/2006" xmlns:xr="http://schemas.microsoft.com/office/spreadsheetml/2014/revision" mc:Ignorable="xr">
  <authors>
    <author>tc={6765AA5E-E77F-1542-8274-1805F94C6820}</author>
    <author>tc={FCC16F38-B83C-8A40-9701-47F894E8F89E}</author>
    <author>tc={28F89657-DEC9-3F45-BF15-0DC4FB276D7F}</author>
    <author>tc={FAB69FAF-0311-8F4F-BF4B-22A31B752EE7}</author>
    <author>tc={C099DE51-D476-6843-86D0-55BD282BE94A}</author>
    <author>tc={D0869557-B29B-C44B-8915-5C3F3704E6EF}</author>
    <author>tc={8D8D266B-E03D-AC49-8CB5-4D0EC2B93C13}</author>
    <author>tc={72A578A6-AAD2-974D-B2F0-144E1A39EADC}</author>
    <author>tc={617320B9-0FDA-0A4C-8FC2-DCD768AFD5B9}</author>
    <author>tc={456827D5-4B40-B44F-AC43-F689AC0834FA}</author>
    <author>tc={CEA3F3EF-6394-1B42-8F33-078620FB114A}</author>
    <author>tc={8505249A-C690-8F4F-B2E5-3C5044ECB4DA}</author>
  </authors>
  <commentList>
    <comment ref="C1" authorId="0" shapeId="0" xr:uid="{6765AA5E-E77F-1542-8274-1805F94C6820}">
      <text>
        <t>[Threaded comment]
Your version of Excel allows you to read this threaded comment; however, any edits to it will get removed if the file is opened in a newer version of Excel. Learn more: https://go.microsoft.com/fwlink/?linkid=870924
Comment:
    per Cleaning The Glass</t>
      </text>
    </comment>
    <comment ref="W1" authorId="1" shapeId="0" xr:uid="{FCC16F38-B83C-8A40-9701-47F894E8F89E}">
      <text>
        <t>[Threaded comment]
Your version of Excel allows you to read this threaded comment; however, any edits to it will get removed if the file is opened in a newer version of Excel. Learn more: https://go.microsoft.com/fwlink/?linkid=870924
Comment:
    per Basketball Reference</t>
      </text>
    </comment>
    <comment ref="Q6" authorId="2" shapeId="0" xr:uid="{28F89657-DEC9-3F45-BF15-0DC4FB276D7F}">
      <text>
        <t>[Threaded comment]
Your version of Excel allows you to read this threaded comment; however, any edits to it will get removed if the file is opened in a newer version of Excel. Learn more: https://go.microsoft.com/fwlink/?linkid=870924
Comment:
    $5,634,073 QO
6/29/21 deadline
Extension eligible first day of offseason through first game of 20-21 season</t>
      </text>
    </comment>
    <comment ref="P8" authorId="3" shapeId="0" xr:uid="{FAB69FAF-0311-8F4F-BF4B-22A31B752EE7}">
      <text>
        <t>[Threaded comment]
Your version of Excel allows you to read this threaded comment; however, any edits to it will get removed if the file is opened in a newer version of Excel. Learn more: https://go.microsoft.com/fwlink/?linkid=870924
Comment:
    $725,000 gt
1/10/21 gt date (revised date TBD)</t>
      </text>
    </comment>
    <comment ref="P9" authorId="4" shapeId="0" xr:uid="{C099DE51-D476-6843-86D0-55BD282BE94A}">
      <text>
        <t>[Threaded comment]
Your version of Excel allows you to read this threaded comment; however, any edits to it will get removed if the file is opened in a newer version of Excel. Learn more: https://go.microsoft.com/fwlink/?linkid=870924
Comment:
    7/1/20 gt date (revised date TBD)
If waived, Non Bird
Min cap hold</t>
      </text>
    </comment>
    <comment ref="Q9" authorId="5" shapeId="0" xr:uid="{D0869557-B29B-C44B-8915-5C3F3704E6EF}">
      <text>
        <t>[Threaded comment]
Your version of Excel allows you to read this threaded comment; however, any edits to it will get removed if the file is opened in a newer version of Excel. Learn more: https://go.microsoft.com/fwlink/?linkid=870924
Comment:
    Early Bird</t>
      </text>
    </comment>
    <comment ref="P10" authorId="6" shapeId="0" xr:uid="{8D8D266B-E03D-AC49-8CB5-4D0EC2B93C13}">
      <text>
        <t>[Threaded comment]
Your version of Excel allows you to read this threaded comment; however, any edits to it will get removed if the file is opened in a newer version of Excel. Learn more: https://go.microsoft.com/fwlink/?linkid=870924
Comment:
    6/30/20 gt date (revised date TBD)</t>
      </text>
    </comment>
    <comment ref="Q10" authorId="7" shapeId="0" xr:uid="{72A578A6-AAD2-974D-B2F0-144E1A39EADC}">
      <text>
        <t>[Threaded comment]
Your version of Excel allows you to read this threaded comment; however, any edits to it will get removed if the file is opened in a newer version of Excel. Learn more: https://go.microsoft.com/fwlink/?linkid=870924
Comment:
    6/30/21 gt date</t>
      </text>
    </comment>
    <comment ref="R10" authorId="8" shapeId="0" xr:uid="{617320B9-0FDA-0A4C-8FC2-DCD768AFD5B9}">
      <text>
        <t>[Threaded comment]
Your version of Excel allows you to read this threaded comment; however, any edits to it will get removed if the file is opened in a newer version of Excel. Learn more: https://go.microsoft.com/fwlink/?linkid=870924
Comment:
    Bird</t>
      </text>
    </comment>
    <comment ref="P26" authorId="9" shapeId="0" xr:uid="{456827D5-4B40-B44F-AC43-F689AC0834FA}">
      <text>
        <t>[Threaded comment]
Your version of Excel allows you to read this threaded comment; however, any edits to it will get removed if the file is opened in a newer version of Excel. Learn more: https://go.microsoft.com/fwlink/?linkid=870924
Comment:
    5 players: Kyle Lowry / Pascal Siakam / Norman Powell / Patrick McCaw / O.G. Anunoby
2020 1st (#29)
2020 2nd (#59)
Stanley Johnson (PO)
Matt Thomas (PG)
Terence Davis III (NG)
Dewan Hernandez (NG)
Marc Gasol (Bird)
Serge Ibaka (Bird)
Fred VanVleet (Bird)
Rondae Hollis-Jefferson (NB)
Chris Boucher (EB RFA)
Malcolm Miller (Bird RFA)
O’Shae Brissett (2W RFA)
Paul Watson (2W RFA)</t>
      </text>
    </comment>
    <comment ref="P27" authorId="10" shapeId="0" xr:uid="{CEA3F3EF-6394-1B42-8F33-078620FB114A}">
      <text>
        <t>[Threaded comment]
Your version of Excel allows you to read this threaded comment; however, any edits to it will get removed if the file is opened in a newer version of Excel. Learn more: https://go.microsoft.com/fwlink/?linkid=870924
Comment:
    6 players: Kyle Lowry / Pascal Siakam / Norman Powell / Patrick McCaw / O.G. Anunoby / Stanley Johnson (PO)
2020 1st (#29)
2020 2nd (#59)
Matt Thomas (PG)
Terence Davis III (NG)
Dewan Hernandez (NG)
Marc Gasol (Bird)
Serge Ibaka (Bird)
Fred VanVleet (Bird)
Rondae Hollis-Jefferson (NB)
Chris Boucher (EB RFA)
Malcolm Miller (Bird RFA)
O’Shae Brissett (2W RFA)
Paul Watson (2W RFA)</t>
      </text>
    </comment>
    <comment ref="P28" authorId="11" shapeId="0" xr:uid="{8505249A-C690-8F4F-B2E5-3C5044ECB4DA}">
      <text>
        <t>[Threaded comment]
Your version of Excel allows you to read this threaded comment; however, any edits to it will get removed if the file is opened in a newer version of Excel. Learn more: https://go.microsoft.com/fwlink/?linkid=870924
Comment:
    9 players: Kyle Lowry / Pascal Siakam / Norman Powell / Patrick McCaw / O.G. Anunoby / Stanley Johnson (PO) / Matt Thomas (PG) / Terence Davis III (NG) / Dewan Hernandez (NG)
2020 1st (#29)
2020 2nd (#59)
Marc Gasol (Bird)
Serge Ibaka (Bird)
Fred VanVleet (Bird)
Rondae Hollis-Jefferson (NB)
Chris Boucher (EB RFA)
Malcolm Miller (Bird RFA)
O’Shae Brissett (2W RFA)
Paul Watson (2W RFA)</t>
      </text>
    </comment>
  </commentList>
</comments>
</file>

<file path=xl/comments29.xml><?xml version="1.0" encoding="utf-8"?>
<comments xmlns="http://schemas.openxmlformats.org/spreadsheetml/2006/main" xmlns:mc="http://schemas.openxmlformats.org/markup-compatibility/2006" xmlns:xr="http://schemas.microsoft.com/office/spreadsheetml/2014/revision" mc:Ignorable="xr">
  <authors>
    <author>tc={F3E01780-7BF4-4049-8B1C-717F9B1D33AD}</author>
    <author>tc={F47B3C57-985F-644E-8326-668ED14641A1}</author>
    <author>tc={C2DB6558-3810-6841-90C1-786E5BAB155F}</author>
    <author>tc={83EBCC29-4352-B14A-A718-0E984F4C981A}</author>
    <author>tc={8481B63A-E221-CE40-8B65-18485CED28E8}</author>
    <author>tc={A6C5C2B9-E229-254A-B928-1A69060FA3E8}</author>
    <author>tc={51863912-BE77-9C48-9C9B-46E8820F974D}</author>
    <author>tc={790258BA-480E-8B47-8F00-886C62FCCCE8}</author>
    <author>tc={684AA03A-B4FC-0D49-8BB7-9B614F60E743}</author>
    <author>tc={46C0FA72-3FCF-A14B-9727-D8737B52B526}</author>
    <author>tc={17897B29-F49B-E042-A27E-025E9C9971A7}</author>
    <author>tc={31927F29-7F48-F641-9356-23AC60CBACCC}</author>
    <author>tc={3E55BFF0-099A-4548-AE2F-4EE08958987A}</author>
    <author>tc={FA9CA3E7-0ECF-B64D-9045-904201604935}</author>
    <author>tc={11E4C211-046E-144F-8975-11956B79108C}</author>
    <author>tc={2B29DE7E-3A59-6F4B-97B3-D8BD852F7AD4}</author>
  </authors>
  <commentList>
    <comment ref="C1" authorId="0" shapeId="0" xr:uid="{F3E01780-7BF4-4049-8B1C-717F9B1D33AD}">
      <text>
        <t>[Threaded comment]
Your version of Excel allows you to read this threaded comment; however, any edits to it will get removed if the file is opened in a newer version of Excel. Learn more: https://go.microsoft.com/fwlink/?linkid=870924
Comment:
    per Cleaning The Glass</t>
      </text>
    </comment>
    <comment ref="W1" authorId="1" shapeId="0" xr:uid="{F47B3C57-985F-644E-8326-668ED14641A1}">
      <text>
        <t>[Threaded comment]
Your version of Excel allows you to read this threaded comment; however, any edits to it will get removed if the file is opened in a newer version of Excel. Learn more: https://go.microsoft.com/fwlink/?linkid=870924
Comment:
    per Basketball Reference</t>
      </text>
    </comment>
    <comment ref="S6" authorId="2" shapeId="0" xr:uid="{C2DB6558-3810-6841-90C1-786E5BAB155F}">
      <text>
        <t>[Threaded comment]
Your version of Excel allows you to read this threaded comment; however, any edits to it will get removed if the file is opened in a newer version of Excel. Learn more: https://go.microsoft.com/fwlink/?linkid=870924
Comment:
    7/10/23 gt date</t>
      </text>
    </comment>
    <comment ref="P10" authorId="3" shapeId="0" xr:uid="{83EBCC29-4352-B14A-A718-0E984F4C981A}">
      <text>
        <t>[Threaded comment]
Your version of Excel allows you to read this threaded comment; however, any edits to it will get removed if the file is opened in a newer version of Excel. Learn more: https://go.microsoft.com/fwlink/?linkid=870924
Comment:
    7/9/20 gt date (revised date TBD)</t>
      </text>
    </comment>
    <comment ref="P11" authorId="4" shapeId="0" xr:uid="{8481B63A-E221-CE40-8B65-18485CED28E8}">
      <text>
        <t>[Threaded comment]
Your version of Excel allows you to read this threaded comment; however, any edits to it will get removed if the file is opened in a newer version of Excel. Learn more: https://go.microsoft.com/fwlink/?linkid=870924
Comment:
    1/10/21 gt date (revised date TBD)</t>
      </text>
    </comment>
    <comment ref="P12" authorId="5" shapeId="0" xr:uid="{A6C5C2B9-E229-254A-B928-1A69060FA3E8}">
      <text>
        <t>[Threaded comment]
Your version of Excel allows you to read this threaded comment; however, any edits to it will get removed if the file is opened in a newer version of Excel. Learn more: https://go.microsoft.com/fwlink/?linkid=870924
Comment:
    1/10/21 gt date (revised date TBD)</t>
      </text>
    </comment>
    <comment ref="P13" authorId="6" shapeId="0" xr:uid="{51863912-BE77-9C48-9C9B-46E8820F974D}">
      <text>
        <t>[Threaded comment]
Your version of Excel allows you to read this threaded comment; however, any edits to it will get removed if the file is opened in a newer version of Excel. Learn more: https://go.microsoft.com/fwlink/?linkid=870924
Comment:
    1/10/21 gt date (revised date TBD)</t>
      </text>
    </comment>
    <comment ref="P14" authorId="7" shapeId="0" xr:uid="{790258BA-480E-8B47-8F00-886C62FCCCE8}">
      <text>
        <t>[Threaded comment]
Your version of Excel allows you to read this threaded comment; however, any edits to it will get removed if the file is opened in a newer version of Excel. Learn more: https://go.microsoft.com/fwlink/?linkid=870924
Comment:
    $340,000 gt
7/22/20 gt date, revised date TBD</t>
      </text>
    </comment>
    <comment ref="P18" authorId="8" shapeId="0" xr:uid="{684AA03A-B4FC-0D49-8BB7-9B614F60E743}">
      <text>
        <t>[Threaded comment]
Your version of Excel allows you to read this threaded comment; however, any edits to it will get removed if the file is opened in a newer version of Excel. Learn more: https://go.microsoft.com/fwlink/?linkid=870924
Comment:
    Bird</t>
      </text>
    </comment>
    <comment ref="P19" authorId="9" shapeId="0" xr:uid="{46C0FA72-3FCF-A14B-9727-D8737B52B526}">
      <text>
        <t>[Threaded comment]
Your version of Excel allows you to read this threaded comment; however, any edits to it will get removed if the file is opened in a newer version of Excel. Learn more: https://go.microsoft.com/fwlink/?linkid=870924
Comment:
    Non Bird</t>
      </text>
    </comment>
    <comment ref="P20" authorId="10" shapeId="0" xr:uid="{17897B29-F49B-E042-A27E-025E9C9971A7}">
      <text>
        <t>[Threaded comment]
Your version of Excel allows you to read this threaded comment; however, any edits to it will get removed if the file is opened in a newer version of Excel. Learn more: https://go.microsoft.com/fwlink/?linkid=870924
Comment:
    2W RFA</t>
      </text>
    </comment>
    <comment ref="P21" authorId="11" shapeId="0" xr:uid="{31927F29-7F48-F641-9356-23AC60CBACCC}">
      <text>
        <t>[Threaded comment]
Your version of Excel allows you to read this threaded comment; however, any edits to it will get removed if the file is opened in a newer version of Excel. Learn more: https://go.microsoft.com/fwlink/?linkid=870924
Comment:
    2W RFA</t>
      </text>
    </comment>
    <comment ref="P25" authorId="12" shapeId="0" xr:uid="{3E55BFF0-099A-4548-AE2F-4EE08958987A}">
      <text>
        <t>[Threaded comment]
Your version of Excel allows you to read this threaded comment; however, any edits to it will get removed if the file is opened in a newer version of Excel. Learn more: https://go.microsoft.com/fwlink/?linkid=870924
Comment:
    7 players: Rudy Gobert / Bojan Bogdanovic / Joe Ingles / Royce O’Neale / Ed Davis / Donovan Mitchell / Tony Bradley
2020 1st (#23)
Mike Conley (ETO)
Jordan Clarkson (Bird)
Emmanuel Mudiay (Non Bird)
Georges Niang (NG)
Rayjon Tucker (PG)
Miye Oni (NG)
Juwan Morgan (NG)
Nigel Williams-Goss (NG)
Justin Wright-Foreman (2W RFA)
Jarrell Brantley (2W RFA)</t>
      </text>
    </comment>
    <comment ref="P26" authorId="13" shapeId="0" xr:uid="{FA9CA3E7-0ECF-B64D-9045-904201604935}">
      <text>
        <t>[Threaded comment]
Your version of Excel allows you to read this threaded comment; however, any edits to it will get removed if the file is opened in a newer version of Excel. Learn more: https://go.microsoft.com/fwlink/?linkid=870924
Comment:
    8 players: Mike Conley / Rudy Gobert / Bojan Bogdanovic / Joe Ingles / Royce O’Neale / Ed Davis / Donovan Mitchell / Tony Bradley
2020 1st (#23)
Jordan Clarkson (Bird)
Emmanuel Mudiay (Non Bird)
Georges Niang (NG)
Rayjon Tucker (PG)
Miye Oni (NG)
Juwan Morgan (NG)
Nigel Williams-Goss (NG)
Justin Wright-Foreman (2W RFA)
Jarrell Brantley (2W RFA)</t>
      </text>
    </comment>
    <comment ref="P27" authorId="14" shapeId="0" xr:uid="{11E4C211-046E-144F-8975-11956B79108C}">
      <text>
        <t>[Threaded comment]
Your version of Excel allows you to read this threaded comment; however, any edits to it will get removed if the file is opened in a newer version of Excel. Learn more: https://go.microsoft.com/fwlink/?linkid=870924
Comment:
    13 players: Mike Conley / Rudy Gobert / Bojan Bogdanovic / Joe Ingles / Royce O’Neale / Ed Davis / Donovan Mitchell / Tony Bradley / Georges Niang (NG) / Rayjon Tucker (PG) / Miye Oni (NG) / Nigel Williams-Goss (NG) / Juwan Morgan (NG)
2020 1st (#23)
Jordan Clarkson (Bird)
Emmanuel Mudiay (Non Bird)
Justin Wright-Foreman (2W RFA)
Jarrell Brantley (2W RFA)</t>
      </text>
    </comment>
    <comment ref="P28" authorId="15" shapeId="0" xr:uid="{2B29DE7E-3A59-6F4B-97B3-D8BD852F7AD4}">
      <text>
        <t>[Threaded comment]
Your version of Excel allows you to read this threaded comment; however, any edits to it will get removed if the file is opened in a newer version of Excel. Learn more: https://go.microsoft.com/fwlink/?linkid=870924
Comment:
    12 players: Mike Conley / Rudy Gobert / Bojan Bogdanovic / Joe Ingles / Royce O’Neale / Ed Davis / Donovan Mitchell / Tony Bradley / Georges Niang (NG) / Rayjon Tucker (PG) / Miye Oni (NG) / Juwan Morgan (NG)
2020 1st (#23)
Jordan Clarkson (Bird)
Emmanuel Mudiay (Non Bird)
Nigel Williams-Goss (NG)
Justin Wright-Foreman (2W RFA)
Jarrell Brantley (2W RFA)</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tc={0A06010C-84CB-E747-81E2-F93017BD084F}</author>
    <author>tc={7009C189-0131-FB43-B15E-DE5BC4C1AD0E}</author>
    <author>tc={D6EAD2F0-820F-4249-B295-A3B52B129D4D}</author>
    <author>tc={E55C5748-2A1E-234D-8EB9-50F1A41DF1E1}</author>
    <author>tc={54DDCEC7-34D2-DA4E-932A-BE3EE892684B}</author>
    <author>tc={F44D2850-2824-6C4B-93E7-A62A93C72923}</author>
    <author>tc={D85EA0C9-FD9A-F843-A8CB-F07A29CA6727}</author>
    <author>tc={84CF9EEB-D34F-4D4E-8332-FECB982BD849}</author>
    <author>tc={DB2F42E5-9102-CE44-B14B-CD8EA6B44A2E}</author>
    <author>tc={A535C1F8-99A7-8D41-91FD-036E392A8BA0}</author>
    <author>tc={F84DD596-AAD6-A149-B7C7-6AA9BC900086}</author>
    <author>tc={A5759D19-B4AE-E14E-9F0D-99049B195926}</author>
    <author>tc={7DEC9E51-0D74-A243-A158-B33A6BC08FF0}</author>
    <author>tc={CBF98C93-3BF4-7948-B13F-C65E6A61E14A}</author>
    <author>tc={2C1946FB-7DFA-3340-8FD5-BCBBA85DD47A}</author>
    <author>tc={C30E17B9-2327-0B47-B40F-AA7CE6BA0A8B}</author>
    <author>tc={1626FC60-958C-8342-800B-839F829979F1}</author>
    <author>tc={24CE887B-B656-4344-95B4-7F9A14D8E18C}</author>
    <author>tc={F0F836A2-F3FF-AC4B-92A9-39B46C9CDEFF}</author>
    <author>tc={5262DDFE-6CFF-524E-BB8B-17EDAB739227}</author>
    <author>tc={41038FB6-BEB0-FE4C-AB17-3A87EF3BE9A2}</author>
    <author>tc={FBE5962E-9228-D049-B201-AA00EC1526C9}</author>
    <author>tc={9DBADD33-AE2E-9D43-A491-059F161D639F}</author>
    <author>tc={B83A8DD0-B54A-DF40-9318-5CBC1D29EC44}</author>
    <author>tc={BAE3F19C-3A48-B448-8F81-FE1A6AAB1C99}</author>
    <author>tc={6C23A5F6-A257-4249-B326-D16769EA9ADE}</author>
    <author>tc={37879F89-026C-5C49-B973-D287BEAC9923}</author>
  </authors>
  <commentList>
    <comment ref="C1" authorId="0" shapeId="0" xr:uid="{0A06010C-84CB-E747-81E2-F93017BD084F}">
      <text>
        <t>[Threaded comment]
Your version of Excel allows you to read this threaded comment; however, any edits to it will get removed if the file is opened in a newer version of Excel. Learn more: https://go.microsoft.com/fwlink/?linkid=870924
Comment:
    per Cleaning The Glass</t>
      </text>
    </comment>
    <comment ref="W1" authorId="1" shapeId="0" xr:uid="{7009C189-0131-FB43-B15E-DE5BC4C1AD0E}">
      <text>
        <t>[Threaded comment]
Your version of Excel allows you to read this threaded comment; however, any edits to it will get removed if the file is opened in a newer version of Excel. Learn more: https://go.microsoft.com/fwlink/?linkid=870924
Comment:
    per Basketball Reference</t>
      </text>
    </comment>
    <comment ref="R2" authorId="2" shapeId="0" xr:uid="{D6EAD2F0-820F-4249-B295-A3B52B129D4D}">
      <text>
        <t>[Threaded comment]
Your version of Excel allows you to read this threaded comment; however, any edits to it will get removed if the file is opened in a newer version of Excel. Learn more: https://go.microsoft.com/fwlink/?linkid=870924
Comment:
    $45,937,500 cap hold
Bird</t>
      </text>
    </comment>
    <comment ref="S2" authorId="3" shapeId="0" xr:uid="{E55C5748-2A1E-234D-8EB9-50F1A41DF1E1}">
      <text>
        <t>[Threaded comment]
Your version of Excel allows you to read this threaded comment; however, any edits to it will get removed if the file is opened in a newer version of Excel. Learn more: https://go.microsoft.com/fwlink/?linkid=870924
Comment:
    Bird</t>
      </text>
    </comment>
    <comment ref="R3" authorId="4" shapeId="0" xr:uid="{54DDCEC7-34D2-DA4E-932A-BE3EE892684B}">
      <text>
        <t>[Threaded comment]
Your version of Excel allows you to read this threaded comment; however, any edits to it will get removed if the file is opened in a newer version of Excel. Learn more: https://go.microsoft.com/fwlink/?linkid=870924
Comment:
    $45,937,500 cap hold
Bird</t>
      </text>
    </comment>
    <comment ref="S3" authorId="5" shapeId="0" xr:uid="{F44D2850-2824-6C4B-93E7-A62A93C72923}">
      <text>
        <t>[Threaded comment]
Your version of Excel allows you to read this threaded comment; however, any edits to it will get removed if the file is opened in a newer version of Excel. Learn more: https://go.microsoft.com/fwlink/?linkid=870924
Comment:
    Bird</t>
      </text>
    </comment>
    <comment ref="S4" authorId="6" shapeId="0" xr:uid="{D85EA0C9-FD9A-F843-A8CB-F07A29CA6727}">
      <text>
        <t>[Threaded comment]
Your version of Excel allows you to read this threaded comment; however, any edits to it will get removed if the file is opened in a newer version of Excel. Learn more: https://go.microsoft.com/fwlink/?linkid=870924
Comment:
    Bird</t>
      </text>
    </comment>
    <comment ref="R5" authorId="7" shapeId="0" xr:uid="{84CF9EEB-D34F-4D4E-8332-FECB982BD849}">
      <text>
        <t>[Threaded comment]
Your version of Excel allows you to read this threaded comment; however, any edits to it will get removed if the file is opened in a newer version of Excel. Learn more: https://go.microsoft.com/fwlink/?linkid=870924
Comment:
    Bird</t>
      </text>
    </comment>
    <comment ref="Q6" authorId="8" shapeId="0" xr:uid="{DB2F42E5-9102-CE44-B14B-CD8EA6B44A2E}">
      <text>
        <t>[Threaded comment]
Your version of Excel allows you to read this threaded comment; however, any edits to it will get removed if the file is opened in a newer version of Excel. Learn more: https://go.microsoft.com/fwlink/?linkid=870924
Comment:
    $17,181,072 cap hold
Bird</t>
      </text>
    </comment>
    <comment ref="R6" authorId="9" shapeId="0" xr:uid="{A535C1F8-99A7-8D41-91FD-036E392A8BA0}">
      <text>
        <t>[Threaded comment]
Your version of Excel allows you to read this threaded comment; however, any edits to it will get removed if the file is opened in a newer version of Excel. Learn more: https://go.microsoft.com/fwlink/?linkid=870924
Comment:
    Bird</t>
      </text>
    </comment>
    <comment ref="S7" authorId="10" shapeId="0" xr:uid="{F84DD596-AAD6-A149-B7C7-6AA9BC900086}">
      <text>
        <t>[Threaded comment]
Your version of Excel allows you to read this threaded comment; however, any edits to it will get removed if the file is opened in a newer version of Excel. Learn more: https://go.microsoft.com/fwlink/?linkid=870924
Comment:
    Bird</t>
      </text>
    </comment>
    <comment ref="P8" authorId="11" shapeId="0" xr:uid="{A5759D19-B4AE-E14E-9F0D-99049B195926}">
      <text>
        <t xml:space="preserve">[Threaded comment]
Your version of Excel allows you to read this threaded comment; however, any edits to it will get removed if the file is opened in a newer version of Excel. Learn more: https://go.microsoft.com/fwlink/?linkid=870924
Comment:
    NEW: 10/17/20 deadline
If declined, Non Bird UFA
$5,720,400 cap hold
</t>
      </text>
    </comment>
    <comment ref="Q8" authorId="12" shapeId="0" xr:uid="{7DEC9E51-0D74-A243-A158-B33A6BC08FF0}">
      <text>
        <t>[Threaded comment]
Your version of Excel allows you to read this threaded comment; however, any edits to it will get removed if the file is opened in a newer version of Excel. Learn more: https://go.microsoft.com/fwlink/?linkid=870924
Comment:
    Early Bird</t>
      </text>
    </comment>
    <comment ref="Q9" authorId="13" shapeId="0" xr:uid="{CBF98C93-3BF4-7948-B13F-C65E6A61E14A}">
      <text>
        <t>[Threaded comment]
Your version of Excel allows you to read this threaded comment; however, any edits to it will get removed if the file is opened in a newer version of Excel. Learn more: https://go.microsoft.com/fwlink/?linkid=870924
Comment:
    $5,661,538 QO</t>
      </text>
    </comment>
    <comment ref="R10" authorId="14" shapeId="0" xr:uid="{2C1946FB-7DFA-3340-8FD5-BCBBA85DD47A}">
      <text>
        <t>[Threaded comment]
Your version of Excel allows you to read this threaded comment; however, any edits to it will get removed if the file is opened in a newer version of Excel. Learn more: https://go.microsoft.com/fwlink/?linkid=870924
Comment:
    $5,422,581 QO</t>
      </text>
    </comment>
    <comment ref="P11" authorId="15" shapeId="0" xr:uid="{C30E17B9-2327-0B47-B40F-AA7CE6BA0A8B}">
      <text>
        <t>[Threaded comment]
Your version of Excel allows you to read this threaded comment; however, any edits to it will get removed if the file is opened in a newer version of Excel. Learn more: https://go.microsoft.com/fwlink/?linkid=870924
Comment:
    fully NG, $150,000 gt on 8/1/20 (revised date TBD), $250,000 gt if on opening night roster, fully gt on 1/10/21 (revised date TBD)
If waived, Non Bird UFA</t>
      </text>
    </comment>
    <comment ref="Q11" authorId="16" shapeId="0" xr:uid="{1626FC60-958C-8342-800B-839F829979F1}">
      <text>
        <t>[Threaded comment]
Your version of Excel allows you to read this threaded comment; however, any edits to it will get removed if the file is opened in a newer version of Excel. Learn more: https://go.microsoft.com/fwlink/?linkid=870924
Comment:
    Early Bird</t>
      </text>
    </comment>
    <comment ref="Q12" authorId="17" shapeId="0" xr:uid="{24CE887B-B656-4344-95B4-7F9A14D8E18C}">
      <text>
        <t>[Threaded comment]
Your version of Excel allows you to read this threaded comment; however, any edits to it will get removed if the file is opened in a newer version of Excel. Learn more: https://go.microsoft.com/fwlink/?linkid=870924
Comment:
    If declined, Bird RFA
$2,225,190 QO</t>
      </text>
    </comment>
    <comment ref="R12" authorId="18" shapeId="0" xr:uid="{F0F836A2-F3FF-AC4B-92A9-39B46C9CDEFF}">
      <text>
        <t>[Threaded comment]
Your version of Excel allows you to read this threaded comment; however, any edits to it will get removed if the file is opened in a newer version of Excel. Learn more: https://go.microsoft.com/fwlink/?linkid=870924
Comment:
    Bird</t>
      </text>
    </comment>
    <comment ref="R13" authorId="19" shapeId="0" xr:uid="{5262DDFE-6CFF-524E-BB8B-17EDAB739227}">
      <text>
        <t>[Threaded comment]
Your version of Excel allows you to read this threaded comment; however, any edits to it will get removed if the file is opened in a newer version of Excel. Learn more: https://go.microsoft.com/fwlink/?linkid=870924
Comment:
    $2,228,276 QO
Bird</t>
      </text>
    </comment>
    <comment ref="P19" authorId="20" shapeId="0" xr:uid="{41038FB6-BEB0-FE4C-AB17-3A87EF3BE9A2}">
      <text>
        <t>[Threaded comment]
Your version of Excel allows you to read this threaded comment; however, any edits to it will get removed if the file is opened in a newer version of Excel. Learn more: https://go.microsoft.com/fwlink/?linkid=870924
Comment:
    Bird</t>
      </text>
    </comment>
    <comment ref="P20" authorId="21" shapeId="0" xr:uid="{FBE5962E-9228-D049-B201-AA00EC1526C9}">
      <text>
        <t>[Threaded comment]
Your version of Excel allows you to read this threaded comment; however, any edits to it will get removed if the file is opened in a newer version of Excel. Learn more: https://go.microsoft.com/fwlink/?linkid=870924
Comment:
    Non Bird</t>
      </text>
    </comment>
    <comment ref="P21" authorId="22" shapeId="0" xr:uid="{9DBADD33-AE2E-9D43-A491-059F161D639F}">
      <text>
        <t>[Threaded comment]
Your version of Excel allows you to read this threaded comment; however, any edits to it will get removed if the file is opened in a newer version of Excel. Learn more: https://go.microsoft.com/fwlink/?linkid=870924
Comment:
    Non Bird</t>
      </text>
    </comment>
    <comment ref="Y21" authorId="23" shapeId="0" xr:uid="{B83A8DD0-B54A-DF40-9318-5CBC1D29EC44}">
      <text>
        <t>[Threaded comment]
Your version of Excel allows you to read this threaded comment; however, any edits to it will get removed if the file is opened in a newer version of Excel. Learn more: https://go.microsoft.com/fwlink/?linkid=870924
Comment:
    all w/ PHX</t>
      </text>
    </comment>
    <comment ref="P22" authorId="24" shapeId="0" xr:uid="{BAE3F19C-3A48-B448-8F81-FE1A6AAB1C99}">
      <text>
        <t>[Threaded comment]
Your version of Excel allows you to read this threaded comment; however, any edits to it will get removed if the file is opened in a newer version of Excel. Learn more: https://go.microsoft.com/fwlink/?linkid=870924
Comment:
    2W RFA
Non Bird</t>
      </text>
    </comment>
    <comment ref="P30" authorId="25" shapeId="0" xr:uid="{6C23A5F6-A257-4249-B326-D16769EA9ADE}">
      <text>
        <t>[Threaded comment]
Your version of Excel allows you to read this threaded comment; however, any edits to it will get removed if the file is opened in a newer version of Excel. Learn more: https://go.microsoft.com/fwlink/?linkid=870924
Comment:
    11 players: Kevin Durant / Kyrie Irving / Caris LeVert / Taurean Prince / Spencer Dinwiddie / DeAndre Jordan / Jarrett Allen / Dzanan Musa / Rodions Kurucs / Nic Claxton / Jeremiah Martin
2020 PHI 1st (#19)
2020 DEN 2nd (#55)
Joe Harris (Bird UFA)
Garrett Temple (TO)
Timothe Luwawu-Cabarrot (NG)
Wilson Chandler (NB UFA)
Tyler Johnson
Justin Anderson
Donta Hall
Lance Thomas
Jamal Crawford
Chris Chiozza (2W RFA)</t>
      </text>
    </comment>
    <comment ref="P31" authorId="26" shapeId="0" xr:uid="{37879F89-026C-5C49-B973-D287BEAC9923}">
      <text>
        <t>[Threaded comment]
Your version of Excel allows you to read this threaded comment; however, any edits to it will get removed if the file is opened in a newer version of Excel. Learn more: https://go.microsoft.com/fwlink/?linkid=870924
Comment:
    13 players: Kevin Durant / Kyrie Irving / Caris LeVert / Taurean Prince / Spencer Dinwiddie / DeAndre Jordan / Garrett Temple (TO) / Jarrett Allen / Dzanan Musa / Timothe Luwawu-Cabarrot (NG) / Rodions Kurucs / Nic Claxton / Jeremiah Martin
2020 PHI 1st (#19)
2020 DEN 2nd (#55)
Joe Harris (Bird UFA)
Wilson Chandler (NB UFA)
Tyler Johnson
Justin Anderson
Donta Hall
Lance Thomas
Jamal Crawford
Chris Chiozza (2W RFA)</t>
      </text>
    </comment>
  </commentList>
</comments>
</file>

<file path=xl/comments30.xml><?xml version="1.0" encoding="utf-8"?>
<comments xmlns="http://schemas.openxmlformats.org/spreadsheetml/2006/main" xmlns:mc="http://schemas.openxmlformats.org/markup-compatibility/2006" xmlns:xr="http://schemas.microsoft.com/office/spreadsheetml/2014/revision" mc:Ignorable="xr">
  <authors>
    <author>tc={A1880E68-AA42-4B42-BD29-A2E5258D42F7}</author>
    <author>tc={251435DA-6ED6-FC48-A7BA-0F3DDDC57BED}</author>
    <author>tc={BD839E84-DCB7-7F49-8490-C6AAEFD301D5}</author>
    <author>tc={9A87CFE4-A209-C24B-97EB-371F4DF320BB}</author>
  </authors>
  <commentList>
    <comment ref="C1" authorId="0" shapeId="0" xr:uid="{A1880E68-AA42-4B42-BD29-A2E5258D42F7}">
      <text>
        <t>[Threaded comment]
Your version of Excel allows you to read this threaded comment; however, any edits to it will get removed if the file is opened in a newer version of Excel. Learn more: https://go.microsoft.com/fwlink/?linkid=870924
Comment:
    per Cleaning The Glass</t>
      </text>
    </comment>
    <comment ref="W1" authorId="1" shapeId="0" xr:uid="{251435DA-6ED6-FC48-A7BA-0F3DDDC57BED}">
      <text>
        <t>[Threaded comment]
Your version of Excel allows you to read this threaded comment; however, any edits to it will get removed if the file is opened in a newer version of Excel. Learn more: https://go.microsoft.com/fwlink/?linkid=870924
Comment:
    per Basketball Reference</t>
      </text>
    </comment>
    <comment ref="P27" authorId="2" shapeId="0" xr:uid="{BD839E84-DCB7-7F49-8490-C6AAEFD301D5}">
      <text>
        <t>[Threaded comment]
Your version of Excel allows you to read this threaded comment; however, any edits to it will get removed if the file is opened in a newer version of Excel. Learn more: https://go.microsoft.com/fwlink/?linkid=870924
Comment:
    9 players: John Wall / Bradley Beal / Thomas Bryant / Ish Smith / Rui Hachimura / Jerome Robinson / Troy Brown Jr / Mo Wagner / Admiral Schofield
2020 1st (#9)
2020 CHI 2nd (#37)
Isaac Bonga (NG)
Anzejs Pasecniks (NG)
Ian Mahinmi (Bird)
Davis Bertans (Bird)
Shabazz Napier
Gary Payton II
Garrison Matthews
Jonathan Williams
Jerian Grant
Jared Uthoff</t>
      </text>
    </comment>
    <comment ref="P28" authorId="3" shapeId="0" xr:uid="{9A87CFE4-A209-C24B-97EB-371F4DF320BB}">
      <text>
        <t>[Threaded comment]
Your version of Excel allows you to read this threaded comment; however, any edits to it will get removed if the file is opened in a newer version of Excel. Learn more: https://go.microsoft.com/fwlink/?linkid=870924
Comment:
    11 players: John Wall / Bradley Beal / Thomas Bryant / Ish Smith / Rui Hachimura / Jerome Robinson / Troy Brown Jr / Mo Wagner / Isaac Bonga (NG) / Admiral Schofield / Anzejs Pasecniks (NG)
2020 1st (#9)
2020 CHI 2nd (#37)
Ian Mahinmi (Bird)
Davis Bertans (Bird)
Shabazz Napier
Gary Payton II
Garrison Matthews
Jonathan Williams
Jerian Grant
Jared Uthoff</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tc={9FE5090C-C772-DB48-B9C4-C3136601F012}</author>
    <author>tc={F9A0D5D7-F650-5549-96EE-33B718D560BA}</author>
    <author>tc={6D50E042-78C8-194E-B44B-4FC8BE1F8C7A}</author>
    <author>tc={C6101677-97DB-A247-B0AB-34AFAD8773DB}</author>
    <author>tc={25276FA2-1136-0740-944C-DB69721BAE68}</author>
    <author>tc={46A7E3F8-E7B5-4D4C-8CA7-179174DCB278}</author>
    <author>tc={1641778E-FBFF-4847-B005-05CF63014778}</author>
    <author>tc={D502AAE4-5EB0-944D-AF28-5AB1E49B7AF0}</author>
    <author>tc={3A60A069-7DFC-1646-B1F4-D2C86B37AE37}</author>
    <author>tc={C6A4B9B1-5B7F-DF46-9311-57956E401FD5}</author>
    <author>tc={3C29C3F4-5888-5F44-9260-E65699C50F44}</author>
    <author>tc={062723C8-8B03-C748-981D-ADB480DAC4C1}</author>
    <author>tc={50A75944-6558-134F-8B25-FB6596CF081C}</author>
    <author>tc={812BE0B6-40AB-EE4B-963C-C7F5304A0470}</author>
    <author>tc={AB8D9317-5AAF-0A48-BC2B-7F310423271B}</author>
    <author>tc={6664B0B4-8263-A64A-92CA-3FB26426DFB1}</author>
    <author>tc={CCD5362B-32A1-724E-861B-A0ED90E3F844}</author>
    <author>tc={38382338-6AD7-D446-BD6A-B278F245E059}</author>
    <author>tc={089E3C89-582D-C643-8E74-697CBBDDB8B8}</author>
    <author>tc={C8F9FFDA-57C9-C84D-B167-D5BC1FDDB32D}</author>
    <author>tc={5885E5B2-E0EC-F745-9304-3ADE53086847}</author>
    <author>tc={CC4FAB29-E7AA-6B46-8537-5A596BE0C921}</author>
    <author>tc={6411BA38-E2EA-EC4B-BCCF-0FE6FEA2E522}</author>
    <author>tc={9F235578-18F0-0648-9E09-9DF877A2B48B}</author>
    <author>tc={B160BAF4-0D2A-E54F-8862-E23AFABEFD4E}</author>
    <author>tc={978E4F03-D4CF-B049-977A-65422CFF37E8}</author>
    <author>tc={9C38C619-F3B8-2149-B41C-D40888D661A8}</author>
  </authors>
  <commentList>
    <comment ref="C1" authorId="0" shapeId="0" xr:uid="{9FE5090C-C772-DB48-B9C4-C3136601F012}">
      <text>
        <t>[Threaded comment]
Your version of Excel allows you to read this threaded comment; however, any edits to it will get removed if the file is opened in a newer version of Excel. Learn more: https://go.microsoft.com/fwlink/?linkid=870924
Comment:
    per Cleaning The Glass</t>
      </text>
    </comment>
    <comment ref="W1" authorId="1" shapeId="0" xr:uid="{F9A0D5D7-F650-5549-96EE-33B718D560BA}">
      <text>
        <t>[Threaded comment]
Your version of Excel allows you to read this threaded comment; however, any edits to it will get removed if the file is opened in a newer version of Excel. Learn more: https://go.microsoft.com/fwlink/?linkid=870924
Comment:
    per Basketball Reference</t>
      </text>
    </comment>
    <comment ref="P2" authorId="2" shapeId="0" xr:uid="{6D50E042-78C8-194E-B44B-4FC8BE1F8C7A}">
      <text>
        <t>[Threaded comment]
Your version of Excel allows you to read this threaded comment; however, any edits to it will get removed if the file is opened in a newer version of Excel. Learn more: https://go.microsoft.com/fwlink/?linkid=870924
Comment:
    NEW: 10/17/20 deadline
$38,347,826 cap hold
Bird</t>
      </text>
    </comment>
    <comment ref="Q2" authorId="3" shapeId="0" xr:uid="{C6101677-97DB-A247-B0AB-34AFAD8773DB}">
      <text>
        <t>[Threaded comment]
Your version of Excel allows you to read this threaded comment; however, any edits to it will get removed if the file is opened in a newer version of Excel. Learn more: https://go.microsoft.com/fwlink/?linkid=870924
Comment:
    Bird</t>
      </text>
    </comment>
    <comment ref="R3" authorId="4" shapeId="0" xr:uid="{25276FA2-1136-0740-944C-DB69721BAE68}">
      <text>
        <t>[Threaded comment]
Your version of Excel allows you to read this threaded comment; however, any edits to it will get removed if the file is opened in a newer version of Excel. Learn more: https://go.microsoft.com/fwlink/?linkid=870924
Comment:
    Bird</t>
      </text>
    </comment>
    <comment ref="Q4" authorId="5" shapeId="0" xr:uid="{46A7E3F8-E7B5-4D4C-8CA7-179174DCB278}">
      <text>
        <t>[Threaded comment]
Your version of Excel allows you to read this threaded comment; however, any edits to it will get removed if the file is opened in a newer version of Excel. Learn more: https://go.microsoft.com/fwlink/?linkid=870924
Comment:
    Bird</t>
      </text>
    </comment>
    <comment ref="Q5" authorId="6" shapeId="0" xr:uid="{1641778E-FBFF-4847-B005-05CF63014778}">
      <text>
        <t>[Threaded comment]
Your version of Excel allows you to read this threaded comment; however, any edits to it will get removed if the file is opened in a newer version of Excel. Learn more: https://go.microsoft.com/fwlink/?linkid=870924
Comment:
    $7,318,246 QO</t>
      </text>
    </comment>
    <comment ref="S6" authorId="7" shapeId="0" xr:uid="{D502AAE4-5EB0-944D-AF28-5AB1E49B7AF0}">
      <text>
        <t>[Threaded comment]
Your version of Excel allows you to read this threaded comment; however, any edits to it will get removed if the file is opened in a newer version of Excel. Learn more: https://go.microsoft.com/fwlink/?linkid=870924
Comment:
    $7.992,407 QO</t>
      </text>
    </comment>
    <comment ref="R7" authorId="8" shapeId="0" xr:uid="{3A60A069-7DFC-1646-B1F4-D2C86B37AE37}">
      <text>
        <t>[Threaded comment]
Your version of Excel allows you to read this threaded comment; however, any edits to it will get removed if the file is opened in a newer version of Excel. Learn more: https://go.microsoft.com/fwlink/?linkid=870924
Comment:
    $7,459,974 QO</t>
      </text>
    </comment>
    <comment ref="P8" authorId="9" shapeId="0" xr:uid="{C6A4B9B1-5B7F-DF46-9311-57956E401FD5}">
      <text>
        <t>[Threaded comment]
Your version of Excel allows you to read this threaded comment; however, any edits to it will get removed if the file is opened in a newer version of Excel. Learn more: https://go.microsoft.com/fwlink/?linkid=870924
Comment:
    NEW: fully NG, fully gt on 10/24/20
If waived, Early Bird RFA</t>
      </text>
    </comment>
    <comment ref="Q8" authorId="10" shapeId="0" xr:uid="{3C29C3F4-5888-5F44-9260-E65699C50F44}">
      <text>
        <t>[Threaded comment]
Your version of Excel allows you to read this threaded comment; however, any edits to it will get removed if the file is opened in a newer version of Excel. Learn more: https://go.microsoft.com/fwlink/?linkid=870924
Comment:
    $2,023,150 QO
Bird</t>
      </text>
    </comment>
    <comment ref="Q9" authorId="11" shapeId="0" xr:uid="{062723C8-8B03-C748-981D-ADB480DAC4C1}">
      <text>
        <t>[Threaded comment]
Your version of Excel allows you to read this threaded comment; however, any edits to it will get removed if the file is opened in a newer version of Excel. Learn more: https://go.microsoft.com/fwlink/?linkid=870924
Comment:
    OLD: fully NG, fully gt on 7/15/21
If waived, Early Bird RFA</t>
      </text>
    </comment>
    <comment ref="R9" authorId="12" shapeId="0" xr:uid="{50A75944-6558-134F-8B25-FB6596CF081C}">
      <text>
        <t>[Threaded comment]
Your version of Excel allows you to read this threaded comment; however, any edits to it will get removed if the file is opened in a newer version of Excel. Learn more: https://go.microsoft.com/fwlink/?linkid=870924
Comment:
    $2,228,276 QO
Bird</t>
      </text>
    </comment>
    <comment ref="P10" authorId="13" shapeId="0" xr:uid="{812BE0B6-40AB-EE4B-963C-C7F5304A0470}">
      <text>
        <t>[Threaded comment]
Your version of Excel allows you to read this threaded comment; however, any edits to it will get removed if the file is opened in a newer version of Excel. Learn more: https://go.microsoft.com/fwlink/?linkid=870924
Comment:
    OLD: fully NG, fully gt on 7/15/20
If waived, Non Bird RFA</t>
      </text>
    </comment>
    <comment ref="Q10" authorId="14" shapeId="0" xr:uid="{AB8D9317-5AAF-0A48-BC2B-7F310423271B}">
      <text>
        <t>[Threaded comment]
Your version of Excel allows you to read this threaded comment; however, any edits to it will get removed if the file is opened in a newer version of Excel. Learn more: https://go.microsoft.com/fwlink/?linkid=870924
Comment:
    OLD: fully NG, fully gt on 7/15/21
If waived, Early Bird RFA</t>
      </text>
    </comment>
    <comment ref="R10" authorId="15" shapeId="0" xr:uid="{6664B0B4-8263-A64A-92CA-3FB26426DFB1}">
      <text>
        <t>[Threaded comment]
Your version of Excel allows you to read this threaded comment; however, any edits to it will get removed if the file is opened in a newer version of Excel. Learn more: https://go.microsoft.com/fwlink/?linkid=870924
Comment:
    $2,228,276 QO
Bird</t>
      </text>
    </comment>
    <comment ref="P11" authorId="16" shapeId="0" xr:uid="{CCD5362B-32A1-724E-861B-A0ED90E3F844}">
      <text>
        <t>[Threaded comment]
Your version of Excel allows you to read this threaded comment; however, any edits to it will get removed if the file is opened in a newer version of Excel. Learn more: https://go.microsoft.com/fwlink/?linkid=870924
Comment:
    OLD: fully NG, $100,000 gt on 8/1/20, fully gt on 1/10/21
If waived, Non Bird RFA</t>
      </text>
    </comment>
    <comment ref="Q11" authorId="17" shapeId="0" xr:uid="{38382338-6AD7-D446-BD6A-B278F245E059}">
      <text>
        <t>[Threaded comment]
Your version of Excel allows you to read this threaded comment; however, any edits to it will get removed if the file is opened in a newer version of Excel. Learn more: https://go.microsoft.com/fwlink/?linkid=870924
Comment:
    OLD: fully NG, fully gt on 8/1/20
If waived, Early Bird RFA</t>
      </text>
    </comment>
    <comment ref="R11" authorId="18" shapeId="0" xr:uid="{089E3C89-582D-C643-8E74-697CBBDDB8B8}">
      <text>
        <t>[Threaded comment]
Your version of Excel allows you to read this threaded comment; however, any edits to it will get removed if the file is opened in a newer version of Excel. Learn more: https://go.microsoft.com/fwlink/?linkid=870924
Comment:
    OLD: 6/29/22 deadline
fully NG, fully gt on 8/1/22
If waived, Bird RFA</t>
      </text>
    </comment>
    <comment ref="S11" authorId="19" shapeId="0" xr:uid="{C8F9FFDA-57C9-C84D-B167-D5BC1FDDB32D}">
      <text>
        <t>[Threaded comment]
Your version of Excel allows you to read this threaded comment; however, any edits to it will get removed if the file is opened in a newer version of Excel. Learn more: https://go.microsoft.com/fwlink/?linkid=870924
Comment:
    Bird</t>
      </text>
    </comment>
    <comment ref="P18" authorId="20" shapeId="0" xr:uid="{5885E5B2-E0EC-F745-9304-3ADE53086847}">
      <text>
        <t>[Threaded comment]
Your version of Excel allows you to read this threaded comment; however, any edits to it will get removed if the file is opened in a newer version of Excel. Learn more: https://go.microsoft.com/fwlink/?linkid=870924
Comment:
    Bird</t>
      </text>
    </comment>
    <comment ref="P19" authorId="21" shapeId="0" xr:uid="{CC4FAB29-E7AA-6B46-8537-5A596BE0C921}">
      <text>
        <t>[Threaded comment]
Your version of Excel allows you to read this threaded comment; however, any edits to it will get removed if the file is opened in a newer version of Excel. Learn more: https://go.microsoft.com/fwlink/?linkid=870924
Comment:
    Bird</t>
      </text>
    </comment>
    <comment ref="P20" authorId="22" shapeId="0" xr:uid="{6411BA38-E2EA-EC4B-BCCF-0FE6FEA2E522}">
      <text>
        <t>[Threaded comment]
Your version of Excel allows you to read this threaded comment; however, any edits to it will get removed if the file is opened in a newer version of Excel. Learn more: https://go.microsoft.com/fwlink/?linkid=870924
Comment:
    NEW: 10/17/20 deadline
Bird
$2,023,150 QO</t>
      </text>
    </comment>
    <comment ref="P21" authorId="23" shapeId="0" xr:uid="{9F235578-18F0-0648-9E09-9DF877A2B48B}">
      <text>
        <t>[Threaded comment]
Your version of Excel allows you to read this threaded comment; however, any edits to it will get removed if the file is opened in a newer version of Excel. Learn more: https://go.microsoft.com/fwlink/?linkid=870924
Comment:
    2W QO
Non Bird</t>
      </text>
    </comment>
    <comment ref="P25" authorId="24" shapeId="0" xr:uid="{B160BAF4-0D2A-E54F-8862-E23AFABEFD4E}">
      <text>
        <t>[Threaded comment]
Your version of Excel allows you to read this threaded comment; however, any edits to it will get removed if the file is opened in a newer version of Excel. Learn more: https://go.microsoft.com/fwlink/?linkid=870924
Comment:
    7 players: Terry Rozier / Cody Zeller / Malik Monk / PJ Washington / Miles Bridges / Cody Martin / Ray Spalding (2W)
2020 1st (#3)
2020 CLE 2nd (#32)
2020 BOS 2nd (#56)
Nic Batum (PO)
Bismack Biyombo (Bird)
Willy Hernangomez (Bird)
Dwayne Bacon (Bird RFA if QO)
Devonte Graham (NG)
Caleb Martin (NG)
Jalen McDaniels (NG)
Kobi Simmons (2W RFA)</t>
      </text>
    </comment>
    <comment ref="P26" authorId="25" shapeId="0" xr:uid="{978E4F03-D4CF-B049-977A-65422CFF37E8}">
      <text>
        <t>[Threaded comment]
Your version of Excel allows you to read this threaded comment; however, any edits to it will get removed if the file is opened in a newer version of Excel. Learn more: https://go.microsoft.com/fwlink/?linkid=870924
Comment:
    8 players: Nic Batum (PO) / Terry Rozier / Cody Zeller / Malik Monk / PJ Washington / Miles Bridges / Cody Martin / Ray Spalding (2W)
2020 1st (#3)
2020 CLE 2nd (#32)
2020 BOS 2nd (#56)
Bismack Biyombo (Bird)
Willy Hernangomez (Bird)
Dwayne Bacon (Bird RFA if QO)
Devonte Graham (NG)
Caleb Martin (NG)
Jalen McDaniels (NG)
Kobi Simmons (2W RFA)</t>
      </text>
    </comment>
    <comment ref="P27" authorId="26" shapeId="0" xr:uid="{9C38C619-F3B8-2149-B41C-D40888D661A8}">
      <text>
        <t>[Threaded comment]
Your version of Excel allows you to read this threaded comment; however, any edits to it will get removed if the file is opened in a newer version of Excel. Learn more: https://go.microsoft.com/fwlink/?linkid=870924
Comment:
    11 players: Nic Batum (PO) / Terry Rozier / Cody Zeller / Malik Monk / PJ Washington / Miles Bridges / Devonte Graham (NG) / Cody Martin / Caleb Martin (NG) / Jalen McDaniels (NG) / Ray Spalding (2W)
2020 1st (#3)
2020 CLE 2nd (#32)
2020 BOS 2nd (#56)
Bismack Biyombo (Bird)
Willy Hernangomez (Bird)
Dwayne Bacon (Bird RFA if QO)
Kobi Simmons (2W RFA)</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tc={EBE45EE4-6B02-364C-8782-C0613C715035}</author>
    <author>tc={5DB3663C-E1E0-934B-AD57-661B0C7C79CD}</author>
    <author>tc={3908C456-1B02-0640-B6F3-6EEEA4CCF052}</author>
    <author>tc={C1D86089-363C-2942-9FCA-DAE1BB0CBFB6}</author>
    <author>tc={92BA5416-418C-B14B-8DC2-1870BC56F3EA}</author>
    <author>tc={AC24FD62-2BAE-1844-B1E8-0428884105B3}</author>
    <author>tc={86D45429-E43B-D24A-9A6F-980B9225B9DC}</author>
    <author>tc={80D1494F-52AA-7D4E-8792-E62E3CE1D69D}</author>
    <author>tc={ED02CB4B-7018-2843-AAD7-09195A673C0A}</author>
    <author>tc={48468BDB-5579-3B4F-89C2-5366801CFFD8}</author>
    <author>tc={0A3FA96C-C217-BD43-9A49-FE0BCD1E89FE}</author>
    <author>tc={EADA75DE-1B3F-1241-9BA8-E0B56E4DCEC4}</author>
    <author>tc={E7D45FC7-7EA6-6F42-ADEE-A8615B8FBA69}</author>
    <author>tc={A1AD459C-2F87-014D-B607-DDA082E97184}</author>
    <author>tc={CF8EB2F4-FF09-1A4F-9F44-23C7E6616520}</author>
    <author>tc={CFBF1B6F-C431-BC43-B1C5-ECCF53A53E75}</author>
    <author>tc={BC4F9412-7900-CF42-8EB3-16EE94D3B588}</author>
    <author>tc={148980AC-23D1-4945-870F-49AB10842E96}</author>
    <author>tc={2A2CC1CB-73BE-874A-9004-5BDCC09AB86F}</author>
    <author>tc={679BA8F6-13E4-674C-84AC-0F29E0D52F79}</author>
    <author>tc={C62D75FF-14C8-0843-967E-42B135840CFD}</author>
    <author>tc={DC5250FD-619C-3D45-BC22-B7BB8980DE49}</author>
    <author>tc={0969BDC5-1670-CD45-8387-51516F517EB2}</author>
    <author>tc={E86153D5-BF55-104D-8EE7-0383193AD833}</author>
    <author>tc={02BAF654-7609-4F41-BD5F-3B8380B0E45A}</author>
    <author>tc={7C3C3B41-FCA8-054C-B5B4-2F2E5891920D}</author>
    <author>tc={B3436239-90AA-8F4F-8651-39FE6910B030}</author>
  </authors>
  <commentList>
    <comment ref="C1" authorId="0" shapeId="0" xr:uid="{EBE45EE4-6B02-364C-8782-C0613C715035}">
      <text>
        <t>[Threaded comment]
Your version of Excel allows you to read this threaded comment; however, any edits to it will get removed if the file is opened in a newer version of Excel. Learn more: https://go.microsoft.com/fwlink/?linkid=870924
Comment:
    per Cleaning The Glass</t>
      </text>
    </comment>
    <comment ref="W1" authorId="1" shapeId="0" xr:uid="{5DB3663C-E1E0-934B-AD57-661B0C7C79CD}">
      <text>
        <t>[Threaded comment]
Your version of Excel allows you to read this threaded comment; however, any edits to it will get removed if the file is opened in a newer version of Excel. Learn more: https://go.microsoft.com/fwlink/?linkid=870924
Comment:
    per Basketball Reference</t>
      </text>
    </comment>
    <comment ref="P2" authorId="2" shapeId="0" xr:uid="{3908C456-1B02-0640-B6F3-6EEEA4CCF052}">
      <text>
        <t>[Threaded comment]
Your version of Excel allows you to read this threaded comment; however, any edits to it will get removed if the file is opened in a newer version of Excel. Learn more: https://go.microsoft.com/fwlink/?linkid=870924
Comment:
    NEW: 10/17/20 deadline
$34,500,000 cap hold
Bird</t>
      </text>
    </comment>
    <comment ref="Q2" authorId="3" shapeId="0" xr:uid="{C1D86089-363C-2942-9FCA-DAE1BB0CBFB6}">
      <text>
        <t>[Threaded comment]
Your version of Excel allows you to read this threaded comment; however, any edits to it will get removed if the file is opened in a newer version of Excel. Learn more: https://go.microsoft.com/fwlink/?linkid=870924
Comment:
    Bird</t>
      </text>
    </comment>
    <comment ref="R3" authorId="4" shapeId="0" xr:uid="{92BA5416-418C-B14B-8DC2-1870BC56F3EA}">
      <text>
        <t>[Threaded comment]
Your version of Excel allows you to read this threaded comment; however, any edits to it will get removed if the file is opened in a newer version of Excel. Learn more: https://go.microsoft.com/fwlink/?linkid=870924
Comment:
    Bird</t>
      </text>
    </comment>
    <comment ref="Q4" authorId="5" shapeId="0" xr:uid="{AC24FD62-2BAE-1844-B1E8-0428884105B3}">
      <text>
        <t>[Threaded comment]
Your version of Excel allows you to read this threaded comment; however, any edits to it will get removed if the file is opened in a newer version of Excel. Learn more: https://go.microsoft.com/fwlink/?linkid=870924
Comment:
    OLD: $6,000,000 gt, fully gt on 6/30/21
If waived, Early Bird</t>
      </text>
    </comment>
    <comment ref="R4" authorId="6" shapeId="0" xr:uid="{86D45429-E43B-D24A-9A6F-980B9225B9DC}">
      <text>
        <t>[Threaded comment]
Your version of Excel allows you to read this threaded comment; however, any edits to it will get removed if the file is opened in a newer version of Excel. Learn more: https://go.microsoft.com/fwlink/?linkid=870924
Comment:
    Bird</t>
      </text>
    </comment>
    <comment ref="Q5" authorId="7" shapeId="0" xr:uid="{80D1494F-52AA-7D4E-8792-E62E3CE1D69D}">
      <text>
        <t>[Threaded comment]
Your version of Excel allows you to read this threaded comment; however, any edits to it will get removed if the file is opened in a newer version of Excel. Learn more: https://go.microsoft.com/fwlink/?linkid=870924
Comment:
    OLD: $5,000,000 gt, fully gt on 6/30/21
If waived, Early Bird</t>
      </text>
    </comment>
    <comment ref="R5" authorId="8" shapeId="0" xr:uid="{ED02CB4B-7018-2843-AAD7-09195A673C0A}">
      <text>
        <t>[Threaded comment]
Your version of Excel allows you to read this threaded comment; however, any edits to it will get removed if the file is opened in a newer version of Excel. Learn more: https://go.microsoft.com/fwlink/?linkid=870924
Comment:
    Bird</t>
      </text>
    </comment>
    <comment ref="Q6" authorId="9" shapeId="0" xr:uid="{48468BDB-5579-3B4F-89C2-5366801CFFD8}">
      <text>
        <t>[Threaded comment]
Your version of Excel allows you to read this threaded comment; however, any edits to it will get removed if the file is opened in a newer version of Excel. Learn more: https://go.microsoft.com/fwlink/?linkid=870924
Comment:
    Bird</t>
      </text>
    </comment>
    <comment ref="Q7" authorId="10" shapeId="0" xr:uid="{0A3FA96C-C217-BD43-9A49-FE0BCD1E89FE}">
      <text>
        <t>[Threaded comment]
Your version of Excel allows you to read this threaded comment; however, any edits to it will get removed if the file is opened in a newer version of Excel. Learn more: https://go.microsoft.com/fwlink/?linkid=870924
Comment:
    $9,026,852 QO</t>
      </text>
    </comment>
    <comment ref="S8" authorId="11" shapeId="0" xr:uid="{EADA75DE-1B3F-1241-9BA8-E0B56E4DCEC4}">
      <text>
        <t>[Threaded comment]
Your version of Excel allows you to read this threaded comment; however, any edits to it will get removed if the file is opened in a newer version of Excel. Learn more: https://go.microsoft.com/fwlink/?linkid=870924
Comment:
    $9,942,114 QO</t>
      </text>
    </comment>
    <comment ref="R9" authorId="12" shapeId="0" xr:uid="{E7D45FC7-7EA6-6F42-ADEE-A8615B8FBA69}">
      <text>
        <t>[Threaded comment]
Your version of Excel allows you to read this threaded comment; however, any edits to it will get removed if the file is opened in a newer version of Excel. Learn more: https://go.microsoft.com/fwlink/?linkid=870924
Comment:
    $9,279,756 QO</t>
      </text>
    </comment>
    <comment ref="Q10" authorId="13" shapeId="0" xr:uid="{A1AD459C-2F87-014D-B607-DDA082E97184}">
      <text>
        <t>[Threaded comment]
Your version of Excel allows you to read this threaded comment; however, any edits to it will get removed if the file is opened in a newer version of Excel. Learn more: https://go.microsoft.com/fwlink/?linkid=870924
Comment:
    OLD: 6/29/21 deadline
If declined, Bird</t>
      </text>
    </comment>
    <comment ref="R10" authorId="14" shapeId="0" xr:uid="{CF8EB2F4-FF09-1A4F-9F44-23C7E6616520}">
      <text>
        <t>[Threaded comment]
Your version of Excel allows you to read this threaded comment; however, any edits to it will get removed if the file is opened in a newer version of Excel. Learn more: https://go.microsoft.com/fwlink/?linkid=870924
Comment:
    Bird</t>
      </text>
    </comment>
    <comment ref="R11" authorId="15" shapeId="0" xr:uid="{CFBF1B6F-C431-BC43-B1C5-ECCF53A53E75}">
      <text>
        <t>[Threaded comment]
Your version of Excel allows you to read this threaded comment; however, any edits to it will get removed if the file is opened in a newer version of Excel. Learn more: https://go.microsoft.com/fwlink/?linkid=870924
Comment:
    $5,820,177 QO</t>
      </text>
    </comment>
    <comment ref="Q12" authorId="16" shapeId="0" xr:uid="{BC4F9412-7900-CF42-8EB3-16EE94D3B588}">
      <text>
        <t>[Threaded comment]
Your version of Excel allows you to read this threaded comment; however, any edits to it will get removed if the file is opened in a newer version of Excel. Learn more: https://go.microsoft.com/fwlink/?linkid=870924
Comment:
    Early Bird</t>
      </text>
    </comment>
    <comment ref="Q13" authorId="17" shapeId="0" xr:uid="{148980AC-23D1-4945-870F-49AB10842E96}">
      <text>
        <t>[Threaded comment]
Your version of Excel allows you to read this threaded comment; however, any edits to it will get removed if the file is opened in a newer version of Excel. Learn more: https://go.microsoft.com/fwlink/?linkid=870924
Comment:
    OLD: fully NG, fully gt on 1/10/22
If waived, Early Bird RFA</t>
      </text>
    </comment>
    <comment ref="R13" authorId="18" shapeId="0" xr:uid="{2A2CC1CB-73BE-874A-9004-5BDCC09AB86F}">
      <text>
        <t>[Threaded comment]
Your version of Excel allows you to read this threaded comment; however, any edits to it will get removed if the file is opened in a newer version of Excel. Learn more: https://go.microsoft.com/fwlink/?linkid=870924
Comment:
    6/29/22 deadline
fully NG, fully gt on 1/10/23
If declined, Bird RFA</t>
      </text>
    </comment>
    <comment ref="S13" authorId="19" shapeId="0" xr:uid="{679BA8F6-13E4-674C-84AC-0F29E0D52F79}">
      <text>
        <t>[Threaded comment]
Your version of Excel allows you to read this threaded comment; however, any edits to it will get removed if the file is opened in a newer version of Excel. Learn more: https://go.microsoft.com/fwlink/?linkid=870924
Comment:
    Bird</t>
      </text>
    </comment>
    <comment ref="P18" authorId="20" shapeId="0" xr:uid="{C62D75FF-14C8-0843-967E-42B135840CFD}">
      <text>
        <t>[Threaded comment]
Your version of Excel allows you to read this threaded comment; however, any edits to it will get removed if the file is opened in a newer version of Excel. Learn more: https://go.microsoft.com/fwlink/?linkid=870924
Comment:
    $7,091,457 QO
NEW: 10/17/20 deadline
Bird</t>
      </text>
    </comment>
    <comment ref="P19" authorId="21" shapeId="0" xr:uid="{DC5250FD-619C-3D45-BC22-B7BB8980DE49}">
      <text>
        <t>[Threaded comment]
Your version of Excel allows you to read this threaded comment; however, any edits to it will get removed if the file is opened in a newer version of Excel. Learn more: https://go.microsoft.com/fwlink/?linkid=870924
Comment:
    $4,698,198 QO</t>
      </text>
    </comment>
    <comment ref="P20" authorId="22" shapeId="0" xr:uid="{0969BDC5-1670-CD45-8387-51516F517EB2}">
      <text>
        <t>[Threaded comment]
Your version of Excel allows you to read this threaded comment; however, any edits to it will get removed if the file is opened in a newer version of Excel. Learn more: https://go.microsoft.com/fwlink/?linkid=870924
Comment:
    $2,025,705 QO
NEW: 10/17/20 deadline
Early Bird</t>
      </text>
    </comment>
    <comment ref="P21" authorId="23" shapeId="0" xr:uid="{E86153D5-BF55-104D-8EE7-0383193AD833}">
      <text>
        <t>[Threaded comment]
Your version of Excel allows you to read this threaded comment; however, any edits to it will get removed if the file is opened in a newer version of Excel. Learn more: https://go.microsoft.com/fwlink/?linkid=870924
Comment:
    2W QO
Non Bird</t>
      </text>
    </comment>
    <comment ref="P22" authorId="24" shapeId="0" xr:uid="{02BAF654-7609-4F41-BD5F-3B8380B0E45A}">
      <text>
        <t>[Threaded comment]
Your version of Excel allows you to read this threaded comment; however, any edits to it will get removed if the file is opened in a newer version of Excel. Learn more: https://go.microsoft.com/fwlink/?linkid=870924
Comment:
    2W QO
Non Bird</t>
      </text>
    </comment>
    <comment ref="P26" authorId="25" shapeId="0" xr:uid="{7C3C3B41-FCA8-054C-B5B4-2F2E5891920D}">
      <text>
        <t>[Threaded comment]
Your version of Excel allows you to read this threaded comment; however, any edits to it will get removed if the file is opened in a newer version of Excel. Learn more: https://go.microsoft.com/fwlink/?linkid=870924
Comment:
    11 players: Zach LaVine / Thaddeus Young / Tomas Satoransky / Cristiano Felicio / Lauri Markkanen / Coby White / Wendell Carter Jr / Ryan Arcidiacano / Chandler Hutchinson / Luke Kornet / Daniel Gafford
2020 1st (#4)
2020 MEM 2nd (#44)
Otto Porter Jr (PO)
Kris Dunn (Bird RFA if QO)
Denzel Valentine (Bird RFA if QO)
Shaquille Harrison (EB RFA if QO)
Max Strus (2W RFA)
Adam Mokoka (2W RFA)</t>
      </text>
    </comment>
    <comment ref="P27" authorId="26" shapeId="0" xr:uid="{B3436239-90AA-8F4F-8651-39FE6910B030}">
      <text>
        <t>[Threaded comment]
Your version of Excel allows you to read this threaded comment; however, any edits to it will get removed if the file is opened in a newer version of Excel. Learn more: https://go.microsoft.com/fwlink/?linkid=870924
Comment:
    12 players: Otto Porter Jr (PO) / Zach LaVine / Thaddeus Young / Tomas Satoransky / Cristiano Felicio / Lauri Markkanen / Coby White / Wendell Carter Jr / Ryan Arcidiacano / Chandler Hutchinson / Luke Kornet / Daniel Gafford
2020 1st (#4)
2020 MEM 2nd (#44)
Kris Dunn (Bird RFA if QO)
Denzel Valentine (Bird RFA if QO)
Shaquille Harrison (EB RFA if QO)
Max Strus (2W RFA)
Adam Mokoka (2W RFA)</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tc={745C8125-029B-254A-BBDC-CA15435E3F29}</author>
    <author>tc={3BB13193-B0CB-3142-B078-55C5C1EC1E52}</author>
    <author>tc={0A0EAB08-B3C7-D142-BB9A-40B8623B1ED0}</author>
    <author>tc={6E99AD46-033B-4E45-9D09-52A5FAC6E954}</author>
    <author>tc={29FC440B-159E-474F-8CDE-38A832736190}</author>
    <author>tc={F86E1261-06F5-5F4C-A0EF-C2991C25A0D6}</author>
    <author>tc={9B01E700-77C8-6443-ACE5-775854499132}</author>
    <author>tc={67544A7D-0FB0-FE4C-BDCE-1EA2FB3C42CB}</author>
    <author>tc={D60BFADB-8172-2C42-B8EE-667AF0DCDD45}</author>
    <author>tc={86C4AE70-6EFD-AE41-B1BF-D082FAB5FADF}</author>
    <author>tc={0CFC017F-C1BA-5046-898F-73DD5D55ACF4}</author>
    <author>tc={95B98D68-365E-144C-834F-5CB4C0437AEC}</author>
    <author>tc={903B378E-5B72-4E41-9B33-02D9348653FB}</author>
    <author>tc={38FCF990-3CDC-7F4A-9796-42F31B3355B5}</author>
    <author>tc={5F1BC7C2-F80E-034F-B324-88BA686DD91E}</author>
    <author>tc={73782FC0-AE83-A846-9225-E378EC5A5185}</author>
    <author>tc={82A2FAD9-E5BC-EA4E-9E08-2DF3102C298A}</author>
    <author>tc={446B217F-F2A5-8F4D-8025-0F88E78F4445}</author>
    <author>tc={D9D70DE4-90A9-9946-9C89-94EB8FE28065}</author>
    <author>tc={48396350-4E93-8348-9651-CB8E79342488}</author>
    <author>tc={0553A1C4-E94E-C347-8201-0068A226D66E}</author>
    <author>tc={CCD63B60-4A88-5E48-B544-4DE409D79534}</author>
    <author>tc={11D1E0A8-E1A8-CC4C-B70E-1AAAED234BC8}</author>
  </authors>
  <commentList>
    <comment ref="C1" authorId="0" shapeId="0" xr:uid="{745C8125-029B-254A-BBDC-CA15435E3F29}">
      <text>
        <t>[Threaded comment]
Your version of Excel allows you to read this threaded comment; however, any edits to it will get removed if the file is opened in a newer version of Excel. Learn more: https://go.microsoft.com/fwlink/?linkid=870924
Comment:
    per Cleaning The Glass</t>
      </text>
    </comment>
    <comment ref="W1" authorId="1" shapeId="0" xr:uid="{3BB13193-B0CB-3142-B078-55C5C1EC1E52}">
      <text>
        <t>[Threaded comment]
Your version of Excel allows you to read this threaded comment; however, any edits to it will get removed if the file is opened in a newer version of Excel. Learn more: https://go.microsoft.com/fwlink/?linkid=870924
Comment:
    per Basketball Reference</t>
      </text>
    </comment>
    <comment ref="S2" authorId="2" shapeId="0" xr:uid="{0A0EAB08-B3C7-D142-BB9A-40B8623B1ED0}">
      <text>
        <t>[Threaded comment]
Your version of Excel allows you to read this threaded comment; however, any edits to it will get removed if the file is opened in a newer version of Excel. Learn more: https://go.microsoft.com/fwlink/?linkid=870924
Comment:
    Bird</t>
      </text>
    </comment>
    <comment ref="Q3" authorId="3" shapeId="0" xr:uid="{6E99AD46-033B-4E45-9D09-52A5FAC6E954}">
      <text>
        <t>[Threaded comment]
Your version of Excel allows you to read this threaded comment; however, any edits to it will get removed if the file is opened in a newer version of Excel. Learn more: https://go.microsoft.com/fwlink/?linkid=870924
Comment:
    Bird</t>
      </text>
    </comment>
    <comment ref="S4" authorId="4" shapeId="0" xr:uid="{29FC440B-159E-474F-8CDE-38A832736190}">
      <text>
        <t>[Threaded comment]
Your version of Excel allows you to read this threaded comment; however, any edits to it will get removed if the file is opened in a newer version of Excel. Learn more: https://go.microsoft.com/fwlink/?linkid=870924
Comment:
    Bird</t>
      </text>
    </comment>
    <comment ref="Q5" authorId="5" shapeId="0" xr:uid="{F86E1261-06F5-5F4C-A0EF-C2991C25A0D6}">
      <text>
        <t>[Threaded comment]
Your version of Excel allows you to read this threaded comment; however, any edits to it will get removed if the file is opened in a newer version of Excel. Learn more: https://go.microsoft.com/fwlink/?linkid=870924
Comment:
    Bird</t>
      </text>
    </comment>
    <comment ref="S6" authorId="6" shapeId="0" xr:uid="{9B01E700-77C8-6443-ACE5-775854499132}">
      <text>
        <t>[Threaded comment]
Your version of Excel allows you to read this threaded comment; however, any edits to it will get removed if the file is opened in a newer version of Excel. Learn more: https://go.microsoft.com/fwlink/?linkid=870924
Comment:
    OLD: fully NG, fully gt on 6/29/23
If waived, Bird
$14,109,567 cap hold</t>
      </text>
    </comment>
    <comment ref="T6" authorId="7" shapeId="0" xr:uid="{67544A7D-0FB0-FE4C-BDCE-1EA2FB3C42CB}">
      <text>
        <t>[Threaded comment]
Your version of Excel allows you to read this threaded comment; however, any edits to it will get removed if the file is opened in a newer version of Excel. Learn more: https://go.microsoft.com/fwlink/?linkid=870924
Comment:
    Bird</t>
      </text>
    </comment>
    <comment ref="S7" authorId="8" shapeId="0" xr:uid="{D60BFADB-8172-2C42-B8EE-667AF0DCDD45}">
      <text>
        <t>[Threaded comment]
Your version of Excel allows you to read this threaded comment; however, any edits to it will get removed if the file is opened in a newer version of Excel. Learn more: https://go.microsoft.com/fwlink/?linkid=870924
Comment:
    $11,828,974 QO</t>
      </text>
    </comment>
    <comment ref="R8" authorId="9" shapeId="0" xr:uid="{86C4AE70-6EFD-AE41-B1BF-D082FAB5FADF}">
      <text>
        <t>[Threaded comment]
Your version of Excel allows you to read this threaded comment; however, any edits to it will get removed if the file is opened in a newer version of Excel. Learn more: https://go.microsoft.com/fwlink/?linkid=870924
Comment:
    $8,559,357 QO</t>
      </text>
    </comment>
    <comment ref="S9" authorId="10" shapeId="0" xr:uid="{0CFC017F-C1BA-5046-898F-73DD5D55ACF4}">
      <text>
        <t>[Threaded comment]
Your version of Excel allows you to read this threaded comment; however, any edits to it will get removed if the file is opened in a newer version of Excel. Learn more: https://go.microsoft.com/fwlink/?linkid=870924
Comment:
    $5,959,022 QO</t>
      </text>
    </comment>
    <comment ref="P10" authorId="11" shapeId="0" xr:uid="{95B98D68-365E-144C-834F-5CB4C0437AEC}">
      <text>
        <t>[Threaded comment]
Your version of Excel allows you to read this threaded comment; however, any edits to it will get removed if the file is opened in a newer version of Excel. Learn more: https://go.microsoft.com/fwlink/?linkid=870924
Comment:
    OLD: fully NG, fully gt on 1/10/21
If waived, Non Bird RFA</t>
      </text>
    </comment>
    <comment ref="Q10" authorId="12" shapeId="0" xr:uid="{903B378E-5B72-4E41-9B33-02D9348653FB}">
      <text>
        <t>[Threaded comment]
Your version of Excel allows you to read this threaded comment; however, any edits to it will get removed if the file is opened in a newer version of Excel. Learn more: https://go.microsoft.com/fwlink/?linkid=870924
Comment:
    OLD: fully NG, fully gt on 1/10/22
If waived, Early Bird</t>
      </text>
    </comment>
    <comment ref="R10" authorId="13" shapeId="0" xr:uid="{38FCF990-3CDC-7F4A-9796-42F31B3355B5}">
      <text>
        <t>[Threaded comment]
Your version of Excel allows you to read this threaded comment; however, any edits to it will get removed if the file is opened in a newer version of Excel. Learn more: https://go.microsoft.com/fwlink/?linkid=870924
Comment:
    OLD: fully NG, fully gt on 1/10/23
If waived, Bird</t>
      </text>
    </comment>
    <comment ref="S10" authorId="14" shapeId="0" xr:uid="{5F1BC7C2-F80E-034F-B324-88BA686DD91E}">
      <text>
        <t>[Threaded comment]
Your version of Excel allows you to read this threaded comment; however, any edits to it will get removed if the file is opened in a newer version of Excel. Learn more: https://go.microsoft.com/fwlink/?linkid=870924
Comment:
    Bird</t>
      </text>
    </comment>
    <comment ref="S12" authorId="15" shapeId="0" xr:uid="{73782FC0-AE83-A846-9225-E378EC5A5185}">
      <text>
        <t>[Threaded comment]
Your version of Excel allows you to read this threaded comment; however, any edits to it will get removed if the file is opened in a newer version of Excel. Learn more: https://go.microsoft.com/fwlink/?linkid=870924
Comment:
    $4,826,447 QO</t>
      </text>
    </comment>
    <comment ref="P15" authorId="16" shapeId="0" xr:uid="{82A2FAD9-E5BC-EA4E-9E08-2DF3102C298A}">
      <text>
        <t>[Threaded comment]
Your version of Excel allows you to read this threaded comment; however, any edits to it will get removed if the file is opened in a newer version of Excel. Learn more: https://go.microsoft.com/fwlink/?linkid=870924
Comment:
    JR Smith</t>
      </text>
    </comment>
    <comment ref="Q15" authorId="17" shapeId="0" xr:uid="{446B217F-F2A5-8F4D-8025-0F88E78F4445}">
      <text>
        <t>[Threaded comment]
Your version of Excel allows you to read this threaded comment; however, any edits to it will get removed if the file is opened in a newer version of Excel. Learn more: https://go.microsoft.com/fwlink/?linkid=870924
Comment:
    JR Smith</t>
      </text>
    </comment>
    <comment ref="P18" authorId="18" shapeId="0" xr:uid="{D9D70DE4-90A9-9946-9C89-94EB8FE28065}">
      <text>
        <t>[Threaded comment]
Your version of Excel allows you to read this threaded comment; however, any edits to it will get removed if the file is opened in a newer version of Excel. Learn more: https://go.microsoft.com/fwlink/?linkid=870924
Comment:
    Bird</t>
      </text>
    </comment>
    <comment ref="P19" authorId="19" shapeId="0" xr:uid="{48396350-4E93-8348-9651-CB8E79342488}">
      <text>
        <t>[Threaded comment]
Your version of Excel allows you to read this threaded comment; however, any edits to it will get removed if the file is opened in a newer version of Excel. Learn more: https://go.microsoft.com/fwlink/?linkid=870924
Comment:
    Bird</t>
      </text>
    </comment>
    <comment ref="P20" authorId="20" shapeId="0" xr:uid="{0553A1C4-E94E-C347-8201-0068A226D66E}">
      <text>
        <t>[Threaded comment]
Your version of Excel allows you to read this threaded comment; however, any edits to it will get removed if the file is opened in a newer version of Excel. Learn more: https://go.microsoft.com/fwlink/?linkid=870924
Comment:
    Bird
(CLE cannot pay more than $3.872,215 in FA)</t>
      </text>
    </comment>
    <comment ref="P24" authorId="21" shapeId="0" xr:uid="{CCD63B60-4A88-5E48-B544-4DE409D79534}">
      <text>
        <t>[Threaded comment]
Your version of Excel allows you to read this threaded comment; however, any edits to it will get removed if the file is opened in a newer version of Excel. Learn more: https://go.microsoft.com/fwlink/?linkid=870924
Comment:
    9 players: Kevin Love / Larry Nance Jr / Dante Exum / Cedi Osman / Darius Garland / Collin Sexton / Dylan Windler / Kevin Porter Jr. / Matt Mooney (2W)
2020 1st (#5)
Andre Drummind (PO)
Tristan Thompson
Matthew Dellavedova
Ante Zizic
Alfonzo McKinnie (NG)
Jordan Bell (NG)
Dean Wade (NG)</t>
      </text>
    </comment>
    <comment ref="P25" authorId="22" shapeId="0" xr:uid="{11D1E0A8-E1A8-CC4C-B70E-1AAAED234BC8}">
      <text>
        <t>[Threaded comment]
Your version of Excel allows you to read this threaded comment; however, any edits to it will get removed if the file is opened in a newer version of Excel. Learn more: https://go.microsoft.com/fwlink/?linkid=870924
Comment:
    13 players: Kevin Love / Andre Drummond (PO) / Larry Nance Jr / Dante Exum / Cedi Osman / Darius Garland / Collin Sexton / Dylan Windler / Alfonzo McKinnie (NG) / Jordan Bell (NG) / Kevin Porter Jr. / Dean Wade (NG) / Matt Mooney (2W)
2020 1st (#5)
Tristan Thompson
Matthew Dellavedova
Ante Zizic</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tc={25C6E902-6DF6-014B-BBA5-E7434820E89D}</author>
    <author>tc={ACCB9569-9E1A-404F-A6F0-7EBCF9A0D73D}</author>
    <author>tc={C48CDD8B-36A9-9A4D-BD8B-DDBAA98D0E34}</author>
    <author>tc={B7C1E58D-C269-FA45-AE04-B2A81E41BA33}</author>
    <author>tc={41307FB7-8447-DF4D-B520-708A1A83CBE1}</author>
    <author>tc={B3F8462B-4A3A-AE47-A212-7082F2E42B85}</author>
    <author>tc={771F7486-FC99-C446-89E5-01615B4B36E9}</author>
    <author>tc={E9A935D2-55F9-F643-8061-431D26824C85}</author>
    <author>tc={59F3A3A5-E2EC-9540-B2F3-E5689E3F187A}</author>
    <author>tc={9208A7DB-AEF0-FE4D-B2FB-6DA7F7C97FEB}</author>
    <author>tc={E96AF1E5-A26D-EC42-8E55-B583C73DBD82}</author>
    <author>tc={1C77124B-1D57-4B4F-A7B1-FCB8BAF3B090}</author>
    <author>tc={756B5A9C-259B-D84B-8BFB-0D1543B847C7}</author>
    <author>tc={5A2CB85B-518C-394A-A451-48FCF5E9D5F9}</author>
    <author>tc={F9152DEF-8E52-4945-83C1-7912E91AF058}</author>
    <author>tc={42D3EAF1-5D94-C34B-B125-C49E63101D7E}</author>
    <author>tc={BC47EBA1-E91E-E746-B748-461F8666C61B}</author>
    <author>tc={C8766292-0AE9-F34E-9443-75C22E0AA4CF}</author>
    <author>tc={2A522AE2-7E39-BA4F-97F2-74294BC813AA}</author>
    <author>tc={C950B469-C34F-C74B-8BC0-C11B7E6D3A00}</author>
    <author>tc={182639E0-A16B-E944-A163-3833F03E6C73}</author>
    <author>tc={7ED19762-F296-5141-BD13-12BD6E107C8D}</author>
    <author>tc={FA41F7C9-C9D9-FD44-BC32-F1E1776BA736}</author>
    <author>tc={65D3AE3E-A41F-3E4F-B95A-CD22ABB2AC51}</author>
    <author>tc={56EC9118-F529-F94B-99BA-BF94933F217F}</author>
    <author>tc={9B71EDAB-CAC1-C741-8B01-A8492EE21D6A}</author>
    <author>tc={2CEC51AD-0854-0A4B-B248-0F3EADDE2D4A}</author>
    <author>tc={E703AB8D-09AB-D24B-8062-556CE4779C8B}</author>
    <author>tc={18F259EA-353E-E648-B48D-77B0817E1703}</author>
  </authors>
  <commentList>
    <comment ref="C1" authorId="0" shapeId="0" xr:uid="{25C6E902-6DF6-014B-BBA5-E7434820E89D}">
      <text>
        <t>[Threaded comment]
Your version of Excel allows you to read this threaded comment; however, any edits to it will get removed if the file is opened in a newer version of Excel. Learn more: https://go.microsoft.com/fwlink/?linkid=870924
Comment:
    per Cleaning The Glass</t>
      </text>
    </comment>
    <comment ref="W1" authorId="1" shapeId="0" xr:uid="{ACCB9569-9E1A-404F-A6F0-7EBCF9A0D73D}">
      <text>
        <t>[Threaded comment]
Your version of Excel allows you to read this threaded comment; however, any edits to it will get removed if the file is opened in a newer version of Excel. Learn more: https://go.microsoft.com/fwlink/?linkid=870924
Comment:
    per Basketball Reference</t>
      </text>
    </comment>
    <comment ref="S2" authorId="2" shapeId="0" xr:uid="{C48CDD8B-36A9-9A4D-BD8B-DDBAA98D0E34}">
      <text>
        <t>[Threaded comment]
Your version of Excel allows you to read this threaded comment; however, any edits to it will get removed if the file is opened in a newer version of Excel. Learn more: https://go.microsoft.com/fwlink/?linkid=870924
Comment:
    OLD: 6/29/23 deadline
$41,343,900 cap hold
Bird</t>
      </text>
    </comment>
    <comment ref="T2" authorId="3" shapeId="0" xr:uid="{B7C1E58D-C269-FA45-AE04-B2A81E41BA33}">
      <text>
        <t>[Threaded comment]
Your version of Excel allows you to read this threaded comment; however, any edits to it will get removed if the file is opened in a newer version of Excel. Learn more: https://go.microsoft.com/fwlink/?linkid=870924
Comment:
    Bird</t>
      </text>
    </comment>
    <comment ref="P3" authorId="4" shapeId="0" xr:uid="{41307FB7-8447-DF4D-B520-708A1A83CBE1}">
      <text>
        <t>[Threaded comment]
Your version of Excel allows you to read this threaded comment; however, any edits to it will get removed if the file is opened in a newer version of Excel. Learn more: https://go.microsoft.com/fwlink/?linkid=870924
Comment:
    NEW: 10/17/20 deadline
$27,225,000 cap hold
Bird</t>
      </text>
    </comment>
    <comment ref="Q3" authorId="5" shapeId="0" xr:uid="{B3F8462B-4A3A-AE47-A212-7082F2E42B85}">
      <text>
        <t>[Threaded comment]
Your version of Excel allows you to read this threaded comment; however, any edits to it will get removed if the file is opened in a newer version of Excel. Learn more: https://go.microsoft.com/fwlink/?linkid=870924
Comment:
    Bird</t>
      </text>
    </comment>
    <comment ref="S4" authorId="6" shapeId="0" xr:uid="{771F7486-FC99-C446-89E5-01615B4B36E9}">
      <text>
        <t>[Threaded comment]
Your version of Excel allows you to read this threaded comment; however, any edits to it will get removed if the file is opened in a newer version of Excel. Learn more: https://go.microsoft.com/fwlink/?linkid=870924
Comment:
    Bird</t>
      </text>
    </comment>
    <comment ref="R5" authorId="7" shapeId="0" xr:uid="{E9A935D2-55F9-F643-8061-431D26824C85}">
      <text>
        <t>[Threaded comment]
Your version of Excel allows you to read this threaded comment; however, any edits to it will get removed if the file is opened in a newer version of Excel. Learn more: https://go.microsoft.com/fwlink/?linkid=870924
Comment:
    Bird</t>
      </text>
    </comment>
    <comment ref="R6" authorId="8" shapeId="0" xr:uid="{59F3A3A5-E2EC-9540-B2F3-E5689E3F187A}">
      <text>
        <t>[Threaded comment]
Your version of Excel allows you to read this threaded comment; however, any edits to it will get removed if the file is opened in a newer version of Excel. Learn more: https://go.microsoft.com/fwlink/?linkid=870924
Comment:
    OLD: fully NG, fully gt on 7/3/22
If waived, Bird
$16,957,500 cap hold</t>
      </text>
    </comment>
    <comment ref="S6" authorId="9" shapeId="0" xr:uid="{9208A7DB-AEF0-FE4D-B2FB-6DA7F7C97FEB}">
      <text>
        <t>[Threaded comment]
Your version of Excel allows you to read this threaded comment; however, any edits to it will get removed if the file is opened in a newer version of Excel. Learn more: https://go.microsoft.com/fwlink/?linkid=870924
Comment:
    Bird</t>
      </text>
    </comment>
    <comment ref="R7" authorId="10" shapeId="0" xr:uid="{E96AF1E5-A26D-EC42-8E55-B583C73DBD82}">
      <text>
        <t>[Threaded comment]
Your version of Excel allows you to read this threaded comment; however, any edits to it will get removed if the file is opened in a newer version of Excel. Learn more: https://go.microsoft.com/fwlink/?linkid=870924
Comment:
    $13,348,801 QO</t>
      </text>
    </comment>
    <comment ref="S8" authorId="11" shapeId="0" xr:uid="{1C77124B-1D57-4B4F-A7B1-FCB8BAF3B090}">
      <text>
        <t>[Threaded comment]
Your version of Excel allows you to read this threaded comment; however, any edits to it will get removed if the file is opened in a newer version of Excel. Learn more: https://go.microsoft.com/fwlink/?linkid=870924
Comment:
    Bird</t>
      </text>
    </comment>
    <comment ref="Q9" authorId="12" shapeId="0" xr:uid="{756B5A9C-259B-D84B-8BFB-0D1543B847C7}">
      <text>
        <t>[Threaded comment]
Your version of Excel allows you to read this threaded comment; however, any edits to it will get removed if the file is opened in a newer version of Excel. Learn more: https://go.microsoft.com/fwlink/?linkid=870924
Comment:
    $7,031,451 QO</t>
      </text>
    </comment>
    <comment ref="R10" authorId="13" shapeId="0" xr:uid="{5A2CB85B-518C-394A-A451-48FCF5E9D5F9}">
      <text>
        <t>[Threaded comment]
Your version of Excel allows you to read this threaded comment; however, any edits to it will get removed if the file is opened in a newer version of Excel. Learn more: https://go.microsoft.com/fwlink/?linkid=870924
Comment:
    Bird</t>
      </text>
    </comment>
    <comment ref="Q11" authorId="14" shapeId="0" xr:uid="{F9152DEF-8E52-4945-83C1-7912E91AF058}">
      <text>
        <t>[Threaded comment]
Your version of Excel allows you to read this threaded comment; however, any edits to it will get removed if the file is opened in a newer version of Excel. Learn more: https://go.microsoft.com/fwlink/?linkid=870924
Comment:
    Early Bird</t>
      </text>
    </comment>
    <comment ref="P12" authorId="15" shapeId="0" xr:uid="{42D3EAF1-5D94-C34B-B125-C49E63101D7E}">
      <text>
        <t>[Threaded comment]
Your version of Excel allows you to read this threaded comment; however, any edits to it will get removed if the file is opened in a newer version of Excel. Learn more: https://go.microsoft.com/fwlink/?linkid=870924
Comment:
    NEW: 10/17/20 deadline
$2,612,980 cap hold
Non Bird</t>
      </text>
    </comment>
    <comment ref="Q12" authorId="16" shapeId="0" xr:uid="{BC47EBA1-E91E-E746-B748-461F8666C61B}">
      <text>
        <t>[Threaded comment]
Your version of Excel allows you to read this threaded comment; however, any edits to it will get removed if the file is opened in a newer version of Excel. Learn more: https://go.microsoft.com/fwlink/?linkid=870924
Comment:
    Early Bird</t>
      </text>
    </comment>
    <comment ref="Q13" authorId="17" shapeId="0" xr:uid="{C8766292-0AE9-F34E-9443-75C22E0AA4CF}">
      <text>
        <t>[Threaded comment]
Your version of Excel allows you to read this threaded comment; however, any edits to it will get removed if the file is opened in a newer version of Excel. Learn more: https://go.microsoft.com/fwlink/?linkid=870924
Comment:
    OLD: fully NG, fully gt on 6/30/21
If waived, Bird RFA</t>
      </text>
    </comment>
    <comment ref="R13" authorId="18" shapeId="0" xr:uid="{2A522AE2-7E39-BA4F-97F2-74294BC813AA}">
      <text>
        <t>[Threaded comment]
Your version of Excel allows you to read this threaded comment; however, any edits to it will get removed if the file is opened in a newer version of Excel. Learn more: https://go.microsoft.com/fwlink/?linkid=870924
Comment:
    Bird</t>
      </text>
    </comment>
    <comment ref="P18" authorId="19" shapeId="0" xr:uid="{C950B469-C34F-C74B-8BC0-C11B7E6D3A00}">
      <text>
        <t>[Threaded comment]
Your version of Excel allows you to read this threaded comment; however, any edits to it will get removed if the file is opened in a newer version of Excel. Learn more: https://go.microsoft.com/fwlink/?linkid=870924
Comment:
    Bird</t>
      </text>
    </comment>
    <comment ref="P19" authorId="20" shapeId="0" xr:uid="{182639E0-A16B-E944-A163-3833F03E6C73}">
      <text>
        <t>[Threaded comment]
Your version of Excel allows you to read this threaded comment; however, any edits to it will get removed if the file is opened in a newer version of Excel. Learn more: https://go.microsoft.com/fwlink/?linkid=870924
Comment:
    Bird</t>
      </text>
    </comment>
    <comment ref="P20" authorId="21" shapeId="0" xr:uid="{7ED19762-F296-5141-BD13-12BD6E107C8D}">
      <text>
        <t>[Threaded comment]
Your version of Excel allows you to read this threaded comment; however, any edits to it will get removed if the file is opened in a newer version of Excel. Learn more: https://go.microsoft.com/fwlink/?linkid=870924
Comment:
    Non Bird</t>
      </text>
    </comment>
    <comment ref="P21" authorId="22" shapeId="0" xr:uid="{FA41F7C9-C9D9-FD44-BC32-F1E1776BA736}">
      <text>
        <t>[Threaded comment]
Your version of Excel allows you to read this threaded comment; however, any edits to it will get removed if the file is opened in a newer version of Excel. Learn more: https://go.microsoft.com/fwlink/?linkid=870924
Comment:
    No Rights</t>
      </text>
    </comment>
    <comment ref="P22" authorId="23" shapeId="0" xr:uid="{65D3AE3E-A41F-3E4F-B95A-CD22ABB2AC51}">
      <text>
        <t>[Threaded comment]
Your version of Excel allows you to read this threaded comment; however, any edits to it will get removed if the file is opened in a newer version of Excel. Learn more: https://go.microsoft.com/fwlink/?linkid=870924
Comment:
    2W QO
Min cap hold</t>
      </text>
    </comment>
    <comment ref="P23" authorId="24" shapeId="0" xr:uid="{56EC9118-F529-F94B-99BA-BF94933F217F}">
      <text>
        <t>[Threaded comment]
Your version of Excel allows you to read this threaded comment; however, any edits to it will get removed if the file is opened in a newer version of Excel. Learn more: https://go.microsoft.com/fwlink/?linkid=870924
Comment:
    2W QO
Min cap hold</t>
      </text>
    </comment>
    <comment ref="P27" authorId="25" shapeId="0" xr:uid="{9B71EDAB-CAC1-C741-8B01-A8492EE21D6A}">
      <text>
        <t>[Threaded comment]
Your version of Excel allows you to read this threaded comment; however, any edits to it will get removed if the file is opened in a newer version of Excel. Learn more: https://go.microsoft.com/fwlink/?linkid=870924
Comment:
    10 players: Kristaps Porzingis / Dwight Powell / Delon Wright / Maxi Kleber / Luka Doncic / Seth Curry / Justin Jackson / Dorian Finney-Smith / Boban Marjanovic / Jalen Brunson
2020 1st (#18)
2020 GSW 2nd (#31)
Tim Hardaway Jr (PO)
Courtney Lee
Willie Cauley-Stein (PO)
JJ Barea
Michael Kidd-Gilchrist
Trey Burke
Josh Reaves
Antonius Cleveland</t>
      </text>
    </comment>
    <comment ref="Q27" authorId="26" shapeId="0" xr:uid="{2CEC51AD-0854-0A4B-B248-0F3EADDE2D4A}">
      <text>
        <t>[Threaded comment]
Your version of Excel allows you to read this threaded comment; however, any edits to it will get removed if the file is opened in a newer version of Excel. Learn more: https://go.microsoft.com/fwlink/?linkid=870924
Comment:
    8 players: Kristaps Porzingis / Dwight Powell / Luka Doncic / Maxi Kleber / Delon Wright / Seth Curry / Dorian Finney-Smith / 2020 #18 pick</t>
      </text>
    </comment>
    <comment ref="P28" authorId="27" shapeId="0" xr:uid="{E703AB8D-09AB-D24B-8062-556CE4779C8B}">
      <text>
        <t>[Threaded comment]
Your version of Excel allows you to read this threaded comment; however, any edits to it will get removed if the file is opened in a newer version of Excel. Learn more: https://go.microsoft.com/fwlink/?linkid=870924
Comment:
    12 players: Kristaps Porzingis / Tim Hardaway Jr (PO) / Dwight Powell / Delon Wright / Maxi Kleber / Luka Doncic / Seth Curry / Justin Jackson / Dorian Finney-Smith / Boban Marjanovic / Willie Cauley-Stein (PO) / Jalen Brunson
2020 1st (#18)
2020 GSW 2nd (#31)
Courtney Lee (Bird)
JJ Barea (Bird)
Michael Kidd-Gilchrist (NB)
Trey Burke (None)
Josh Reaves (2W RFA)
Antonius Cleveland (2W RFA)</t>
      </text>
    </comment>
    <comment ref="Q28" authorId="28" shapeId="0" xr:uid="{18F259EA-353E-E648-B48D-77B0817E1703}">
      <text>
        <t>[Threaded comment]
Your version of Excel allows you to read this threaded comment; however, any edits to it will get removed if the file is opened in a newer version of Excel. Learn more: https://go.microsoft.com/fwlink/?linkid=870924
Comment:
    9 players: Kristaps Porzingis / Dwight Powell / Luka Doncic / Maxi Kleber / Delon Wright / Seth Curry / Dorian Finney-Smith / 2020 #18 pick / Jalen Brunson (NG)</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tc={DB7291D7-1BB7-3142-A1B4-C246AF4C1226}</author>
    <author>tc={3AAA308D-DB21-4749-BF12-878B3BA994DB}</author>
    <author>tc={62782ABE-CAA7-B944-868A-650BBE00CED7}</author>
    <author>tc={425A42DC-B55D-F94C-AEBB-494E424E9D1D}</author>
    <author>tc={6EAF1234-D0D3-184F-8394-2BF4770AE2AF}</author>
    <author>tc={4A6819A7-65A3-194D-81EC-8985EC73BF3C}</author>
    <author>tc={1A370E55-BE2A-EA42-A3D0-BD84D6D811BB}</author>
    <author>tc={D3A5FCA6-38DD-3348-BC9B-9D0D9D0C8D14}</author>
    <author>tc={221E9590-317B-FB4D-8883-A0041E03B095}</author>
    <author>tc={0C7AF2A9-6740-F54C-9D13-2BD9DAF03153}</author>
    <author>tc={AEBC49E7-24D5-3046-A4C4-0922E2250B39}</author>
    <author>tc={D12D13EC-7E21-A540-90FC-8DD7F6381874}</author>
    <author>tc={4726AE1A-0809-5640-AC60-6C229ABA3949}</author>
    <author>tc={663ED9F0-983C-824A-9812-FF0431E47142}</author>
    <author>tc={20429DDF-B379-AA46-A467-9FF287AF06C7}</author>
    <author>tc={D877378C-47A4-3643-A8C9-264F9E7F899F}</author>
    <author>tc={51D24579-EFC5-E240-8B5A-266350B8E772}</author>
    <author>tc={178C6B20-BEBD-7E4E-8087-678C6DD9F0B6}</author>
    <author>tc={27E5AB96-CE3F-B047-89DF-7827886115D9}</author>
    <author>tc={11755A51-A5D1-9549-BD90-DC276359759E}</author>
    <author>tc={997F9510-DE9A-B546-8722-9BAC32A19908}</author>
    <author>tc={350F842B-9E23-4B49-9ED4-B8690BAAD2D1}</author>
    <author>tc={11D04738-AB3E-DD4E-905D-54E580666FB6}</author>
    <author>tc={2FBB2F02-9AEA-884B-BF26-6359DA808FAA}</author>
    <author>tc={FF7873C4-B6AF-8C40-A911-D37B938D8A9B}</author>
    <author>tc={D340CC3B-BF51-5843-9A6C-98CD9712E9F6}</author>
  </authors>
  <commentList>
    <comment ref="C1" authorId="0" shapeId="0" xr:uid="{DB7291D7-1BB7-3142-A1B4-C246AF4C1226}">
      <text>
        <t>[Threaded comment]
Your version of Excel allows you to read this threaded comment; however, any edits to it will get removed if the file is opened in a newer version of Excel. Learn more: https://go.microsoft.com/fwlink/?linkid=870924
Comment:
    per Cleaning The Glass</t>
      </text>
    </comment>
    <comment ref="W1" authorId="1" shapeId="0" xr:uid="{3AAA308D-DB21-4749-BF12-878B3BA994DB}">
      <text>
        <t>[Threaded comment]
Your version of Excel allows you to read this threaded comment; however, any edits to it will get removed if the file is opened in a newer version of Excel. Learn more: https://go.microsoft.com/fwlink/?linkid=870924
Comment:
    per Basketball Reference</t>
      </text>
    </comment>
    <comment ref="S2" authorId="2" shapeId="0" xr:uid="{62782ABE-CAA7-B944-868A-650BBE00CED7}">
      <text>
        <t>[Threaded comment]
Your version of Excel allows you to read this threaded comment; however, any edits to it will get removed if the file is opened in a newer version of Excel. Learn more: https://go.microsoft.com/fwlink/?linkid=870924
Comment:
    Bird</t>
      </text>
    </comment>
    <comment ref="R4" authorId="3" shapeId="0" xr:uid="{425A42DC-B55D-F94C-AEBB-494E424E9D1D}">
      <text>
        <t>[Threaded comment]
Your version of Excel allows you to read this threaded comment; however, any edits to it will get removed if the file is opened in a newer version of Excel. Learn more: https://go.microsoft.com/fwlink/?linkid=870924
Comment:
    Bird</t>
      </text>
    </comment>
    <comment ref="Q5" authorId="4" shapeId="0" xr:uid="{6EAF1234-D0D3-184F-8394-2BF4770AE2AF}">
      <text>
        <t>[Threaded comment]
Your version of Excel allows you to read this threaded comment; however, any edits to it will get removed if the file is opened in a newer version of Excel. Learn more: https://go.microsoft.com/fwlink/?linkid=870924
Comment:
    OLD: 6/29/21 deadline
$20,584,821 cap hold
Bird</t>
      </text>
    </comment>
    <comment ref="R5" authorId="5" shapeId="0" xr:uid="{4A6819A7-65A3-194D-81EC-8985EC73BF3C}">
      <text>
        <t>[Threaded comment]
Your version of Excel allows you to read this threaded comment; however, any edits to it will get removed if the file is opened in a newer version of Excel. Learn more: https://go.microsoft.com/fwlink/?linkid=870924
Comment:
    Bird</t>
      </text>
    </comment>
    <comment ref="P6" authorId="6" shapeId="0" xr:uid="{1A370E55-BE2A-EA42-A3D0-BD84D6D811BB}">
      <text>
        <t>[Threaded comment]
Your version of Excel allows you to read this threaded comment; however, any edits to it will get removed if the file is opened in a newer version of Excel. Learn more: https://go.microsoft.com/fwlink/?linkid=870924
Comment:
    NEW: 10/17/20 deadline
$17,757,691 cap hold
Bird
“Leaning towards opting out” - early June</t>
      </text>
    </comment>
    <comment ref="Q6" authorId="7" shapeId="0" xr:uid="{D3A5FCA6-38DD-3348-BC9B-9D0D9D0C8D14}">
      <text>
        <t>[Threaded comment]
Your version of Excel allows you to read this threaded comment; however, any edits to it will get removed if the file is opened in a newer version of Excel. Learn more: https://go.microsoft.com/fwlink/?linkid=870924
Comment:
    Bird</t>
      </text>
    </comment>
    <comment ref="R7" authorId="8" shapeId="0" xr:uid="{221E9590-317B-FB4D-8883-A0041E03B095}">
      <text>
        <t>[Threaded comment]
Your version of Excel allows you to read this threaded comment; however, any edits to it will get removed if the file is opened in a newer version of Excel. Learn more: https://go.microsoft.com/fwlink/?linkid=870924
Comment:
    $7,314,900 QO</t>
      </text>
    </comment>
    <comment ref="P8" authorId="9" shapeId="0" xr:uid="{0C7AF2A9-6740-F54C-9D13-2BD9DAF03153}">
      <text>
        <t>[Threaded comment]
Your version of Excel allows you to read this threaded comment; however, any edits to it will get removed if the file is opened in a newer version of Excel. Learn more: https://go.microsoft.com/fwlink/?linkid=870924
Comment:
    $1,200,000 gt, unknown gt date</t>
      </text>
    </comment>
    <comment ref="P9" authorId="10" shapeId="0" xr:uid="{AEBC49E7-24D5-3046-A4C4-0922E2250B39}">
      <text>
        <t>[Threaded comment]
Your version of Excel allows you to read this threaded comment; however, any edits to it will get removed if the file is opened in a newer version of Excel. Learn more: https://go.microsoft.com/fwlink/?linkid=870924
Comment:
    fully NG, fully gt on 10/18/20
If waived, Early Bird RFA</t>
      </text>
    </comment>
    <comment ref="Q9" authorId="11" shapeId="0" xr:uid="{D12D13EC-7E21-A540-90FC-8DD7F6381874}">
      <text>
        <t>[Threaded comment]
Your version of Excel allows you to read this threaded comment; however, any edits to it will get removed if the file is opened in a newer version of Excel. Learn more: https://go.microsoft.com/fwlink/?linkid=870924
Comment:
    Bird</t>
      </text>
    </comment>
    <comment ref="P10" authorId="12" shapeId="0" xr:uid="{4726AE1A-0809-5640-AC60-6C229ABA3949}">
      <text>
        <t>[Threaded comment]
Your version of Excel allows you to read this threaded comment; however, any edits to it will get removed if the file is opened in a newer version of Excel. Learn more: https://go.microsoft.com/fwlink/?linkid=870924
Comment:
    fully NG, fully gt on 10/24/20
If waived, Early Bird RFA</t>
      </text>
    </comment>
    <comment ref="Q10" authorId="13" shapeId="0" xr:uid="{663ED9F0-983C-824A-9812-FF0431E47142}">
      <text>
        <t>[Threaded comment]
Your version of Excel allows you to read this threaded comment; however, any edits to it will get removed if the file is opened in a newer version of Excel. Learn more: https://go.microsoft.com/fwlink/?linkid=870924
Comment:
    $2,122,822 QO
Bird</t>
      </text>
    </comment>
    <comment ref="Q11" authorId="14" shapeId="0" xr:uid="{20429DDF-B379-AA46-A467-9FF287AF06C7}">
      <text>
        <t>[Threaded comment]
Your version of Excel allows you to read this threaded comment; however, any edits to it will get removed if the file is opened in a newer version of Excel. Learn more: https://go.microsoft.com/fwlink/?linkid=870924
Comment:
    OLD: fully NG, fully gt on 7/1/21</t>
      </text>
    </comment>
    <comment ref="R11" authorId="15" shapeId="0" xr:uid="{D877378C-47A4-3643-A8C9-264F9E7F899F}">
      <text>
        <t>[Threaded comment]
Your version of Excel allows you to read this threaded comment; however, any edits to it will get removed if the file is opened in a newer version of Excel. Learn more: https://go.microsoft.com/fwlink/?linkid=870924
Comment:
    $2,228,276 QO
Bird</t>
      </text>
    </comment>
    <comment ref="P16" authorId="16" shapeId="0" xr:uid="{51D24579-EFC5-E240-8B5A-266350B8E772}">
      <text>
        <t>[Threaded comment]
Your version of Excel allows you to read this threaded comment; however, any edits to it will get removed if the file is opened in a newer version of Excel. Learn more: https://go.microsoft.com/fwlink/?linkid=870924
Comment:
    Bird</t>
      </text>
    </comment>
    <comment ref="P17" authorId="17" shapeId="0" xr:uid="{178C6B20-BEBD-7E4E-8087-678C6DD9F0B6}">
      <text>
        <t>[Threaded comment]
Your version of Excel allows you to read this threaded comment; however, any edits to it will get removed if the file is opened in a newer version of Excel. Learn more: https://go.microsoft.com/fwlink/?linkid=870924
Comment:
    Bird</t>
      </text>
    </comment>
    <comment ref="P18" authorId="18" shapeId="0" xr:uid="{27E5AB96-CE3F-B047-89DF-7827886115D9}">
      <text>
        <t>[Threaded comment]
Your version of Excel allows you to read this threaded comment; however, any edits to it will get removed if the file is opened in a newer version of Excel. Learn more: https://go.microsoft.com/fwlink/?linkid=870924
Comment:
    NEW: 10/17/20 deadline
$2,500,000 QO
Bird</t>
      </text>
    </comment>
    <comment ref="P19" authorId="19" shapeId="0" xr:uid="{11755A51-A5D1-9549-BD90-DC276359759E}">
      <text>
        <t>[Threaded comment]
Your version of Excel allows you to read this threaded comment; however, any edits to it will get removed if the file is opened in a newer version of Excel. Learn more: https://go.microsoft.com/fwlink/?linkid=870924
Comment:
    Non Bird</t>
      </text>
    </comment>
    <comment ref="P20" authorId="20" shapeId="0" xr:uid="{997F9510-DE9A-B546-8722-9BAC32A19908}">
      <text>
        <t>[Threaded comment]
Your version of Excel allows you to read this threaded comment; however, any edits to it will get removed if the file is opened in a newer version of Excel. Learn more: https://go.microsoft.com/fwlink/?linkid=870924
Comment:
    Non Bird
Minimum cap hold</t>
      </text>
    </comment>
    <comment ref="P21" authorId="21" shapeId="0" xr:uid="{350F842B-9E23-4B49-9ED4-B8690BAAD2D1}">
      <text>
        <t>[Threaded comment]
Your version of Excel allows you to read this threaded comment; however, any edits to it will get removed if the file is opened in a newer version of Excel. Learn more: https://go.microsoft.com/fwlink/?linkid=870924
Comment:
    Non Bird
Minimum cap hold</t>
      </text>
    </comment>
    <comment ref="P25" authorId="22" shapeId="0" xr:uid="{11D04738-AB3E-DD4E-905D-54E580666FB6}">
      <text>
        <t>[Threaded comment]
Your version of Excel allows you to read this threaded comment; however, any edits to it will get removed if the file is opened in a newer version of Excel. Learn more: https://go.microsoft.com/fwlink/?linkid=870924
Comment:
    7 players: Nikola Jokic / Jamal Murray / Gary Harris / Will Barton / Michael Porter Jr. / Vladko Cancar / Bol Bol (2W)
2020 HOU 1st (#22)
Paul Millsap
Mason Plumlee
Jerami Grant (PO)
Torrey Craig
Noah Vonleh
P.J. Dozier (PG)
Monte Morris (NG)
Keita Bates-Diop (NG)
Troy Daniels
Tyler Cook</t>
      </text>
    </comment>
    <comment ref="P26" authorId="23" shapeId="0" xr:uid="{2FBB2F02-9AEA-884B-BF26-6359DA808FAA}">
      <text>
        <t>[Threaded comment]
Your version of Excel allows you to read this threaded comment; however, any edits to it will get removed if the file is opened in a newer version of Excel. Learn more: https://go.microsoft.com/fwlink/?linkid=870924
Comment:
    8 players: Nikola Jokic / Jamal Murray / Gary Harris / Will Barton /  Jerami Grant (PO) / Michael Porter Jr. / Vladko Cancar / Bol Bol (2W)
2020 HOU 1st (#22)
Paul Millsap
Mason Plumlee
Torrey Craig
Noah Vonleh
P.J. Dozier (PG)
Monte Morris (NG)
Keita Bates-Diop (NG)
Troy Daniels
Tyler Cook</t>
      </text>
    </comment>
    <comment ref="P27" authorId="24" shapeId="0" xr:uid="{FF7873C4-B6AF-8C40-A911-D37B938D8A9B}">
      <text>
        <t>[Threaded comment]
Your version of Excel allows you to read this threaded comment; however, any edits to it will get removed if the file is opened in a newer version of Excel. Learn more: https://go.microsoft.com/fwlink/?linkid=870924
Comment:
    11 players: Nikola Jokic / Jamal Murray / Gary Harris / Will Barton / Jerami Grant (PO) / Michael Porter Jr. / P.J Dozier (PG) / Monte Morris (NG) / Keita Bates-Diop (NG) / Vladko Cancar / Bol Bol (2W)
2020 HOU 1st (#22)
Paul Millsap
Mason Plumlee
Torrey Craig
Noah Vonleh
Troy Daniels
Tyler Cook</t>
      </text>
    </comment>
    <comment ref="P28" authorId="25" shapeId="0" xr:uid="{D340CC3B-BF51-5843-9A6C-98CD9712E9F6}">
      <text>
        <t>[Threaded comment]
Your version of Excel allows you to read this threaded comment; however, any edits to it will get removed if the file is opened in a newer version of Excel. Learn more: https://go.microsoft.com/fwlink/?linkid=870924
Comment:
    10 players: Nikola Jokic / Jamal Murray / Gary Harris / Will Barton / Michael Porter Jr. / P.J Dozier (PG) / Monte Morris (NG) / Keita Bates-Diop (NG) / Vladko Cancar / Bol Bol (2W)
2020 HOU 1st (#22)
Paul Millsap
Mason Plumlee
Jerami Grant (declining PO)
Torrey Craig
Noah Vonleh
Troy Daniels
Tyler Cook</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tc={6F7480B6-AD35-3E4C-B6D4-11DE1174D23C}</author>
    <author>tc={1A748361-2B32-C74C-9866-50BFD70D621A}</author>
    <author>tc={3D47BBFF-0DEE-3041-8134-088717A67F36}</author>
    <author>tc={6D647591-4692-4C40-90DE-9B92561FDF7F}</author>
    <author>tc={75D8C6C7-E831-4A43-80C3-6F61F38AADAB}</author>
    <author>tc={062D1191-D480-0A4D-BA6E-80CC836514AD}</author>
    <author>tc={86E3F769-F227-2847-9401-F59E1DF78327}</author>
    <author>tc={C02B1F97-A6BF-1249-92CC-35663E836835}</author>
    <author>tc={E207842B-99AA-8D41-85FA-0819613249E7}</author>
    <author>tc={14181F3F-D2BF-BB45-A989-095D9DB8F9A2}</author>
    <author>tc={411BC9EA-930A-B74C-B569-BE638F6911BC}</author>
    <author>tc={85449C82-97E2-DE47-80C1-D73ECE5FC629}</author>
    <author>tc={DAE79AC4-6C74-FD48-9CFB-A5761C003E79}</author>
    <author>tc={FA21097D-116E-9645-856D-DE3115936A84}</author>
    <author>tc={702F602D-D06E-C945-8958-71762A4ADD46}</author>
    <author>tc={32CA346B-B547-924E-9647-EE838488CF6D}</author>
    <author>tc={AB693815-EC48-7943-80BC-1DBE4FF5EFDE}</author>
    <author>tc={6DE41E25-0721-CC4C-9109-676257A83A47}</author>
    <author>tc={F60C360E-FDB2-F642-A819-CD42CC3F8D0F}</author>
    <author>tc={7B215A6C-2852-574B-8A14-36787CD03496}</author>
    <author>tc={F5D2BB47-86D9-1B4C-A36F-1E7119543813}</author>
    <author>tc={83A6169D-1729-0645-9188-58A5CB851469}</author>
    <author>tc={236029F9-0FAC-E24F-97B5-98328F3818F6}</author>
    <author>tc={4BAE535A-9169-4D43-AFC8-9FA3CF437A6B}</author>
    <author>tc={26218A42-3120-A641-A3F3-957D494AB4CF}</author>
    <author>tc={E5250989-47EF-8F48-864E-7A4CD2BB5EB8}</author>
    <author>tc={C61A5DC3-91A4-0B43-AFB8-4BE584F7F314}</author>
    <author>tc={EDEC251B-F7B4-C04C-AAD5-2CD790ABBC0E}</author>
  </authors>
  <commentList>
    <comment ref="C1" authorId="0" shapeId="0" xr:uid="{6F7480B6-AD35-3E4C-B6D4-11DE1174D23C}">
      <text>
        <t>[Threaded comment]
Your version of Excel allows you to read this threaded comment; however, any edits to it will get removed if the file is opened in a newer version of Excel. Learn more: https://go.microsoft.com/fwlink/?linkid=870924
Comment:
    per Cleaning The Glass</t>
      </text>
    </comment>
    <comment ref="W1" authorId="1" shapeId="0" xr:uid="{1A748361-2B32-C74C-9866-50BFD70D621A}">
      <text>
        <t>[Threaded comment]
Your version of Excel allows you to read this threaded comment; however, any edits to it will get removed if the file is opened in a newer version of Excel. Learn more: https://go.microsoft.com/fwlink/?linkid=870924
Comment:
    per Basketball Reference</t>
      </text>
    </comment>
    <comment ref="Q2" authorId="2" shapeId="0" xr:uid="{3D47BBFF-0DEE-3041-8134-088717A67F36}">
      <text>
        <t>[Threaded comment]
Your version of Excel allows you to read this threaded comment; however, any edits to it will get removed if the file is opened in a newer version of Excel. Learn more: https://go.microsoft.com/fwlink/?linkid=870924
Comment:
    OLD: 6/29/21 deadline
$43,750,000 cap hold
Bird</t>
      </text>
    </comment>
    <comment ref="R2" authorId="3" shapeId="0" xr:uid="{6D647591-4692-4C40-90DE-9B92561FDF7F}">
      <text>
        <t>[Threaded comment]
Your version of Excel allows you to read this threaded comment; however, any edits to it will get removed if the file is opened in a newer version of Excel. Learn more: https://go.microsoft.com/fwlink/?linkid=870924
Comment:
    Bird</t>
      </text>
    </comment>
    <comment ref="P3" authorId="4" shapeId="0" xr:uid="{75D8C6C7-E831-4A43-80C3-6F61F38AADAB}">
      <text>
        <t>[Threaded comment]
Your version of Excel allows you to read this threaded comment; however, any edits to it will get removed if the file is opened in a newer version of Excel. Learn more: https://go.microsoft.com/fwlink/?linkid=870924
Comment:
    NEW: 10/17/20 deadline
Bird
$18,267,857 cap hold</t>
      </text>
    </comment>
    <comment ref="Q3" authorId="5" shapeId="0" xr:uid="{062D1191-D480-0A4D-BA6E-80CC836514AD}">
      <text>
        <t>[Threaded comment]
Your version of Excel allows you to read this threaded comment; however, any edits to it will get removed if the file is opened in a newer version of Excel. Learn more: https://go.microsoft.com/fwlink/?linkid=870924
Comment:
    Bird</t>
      </text>
    </comment>
    <comment ref="Q4" authorId="6" shapeId="0" xr:uid="{86E3F769-F227-2847-9401-F59E1DF78327}">
      <text>
        <t>[Threaded comment]
Your version of Excel allows you to read this threaded comment; however, any edits to it will get removed if the file is opened in a newer version of Excel. Learn more: https://go.microsoft.com/fwlink/?linkid=870924
Comment:
    Early Bird</t>
      </text>
    </comment>
    <comment ref="Q5" authorId="7" shapeId="0" xr:uid="{C02B1F97-A6BF-1249-92CC-35663E836835}">
      <text>
        <t>[Threaded comment]
Your version of Excel allows you to read this threaded comment; however, any edits to it will get removed if the file is opened in a newer version of Excel. Learn more: https://go.microsoft.com/fwlink/?linkid=870924
Comment:
    $7,256,785 QO</t>
      </text>
    </comment>
    <comment ref="S6" authorId="8" shapeId="0" xr:uid="{E207842B-99AA-8D41-85FA-0819613249E7}">
      <text>
        <t>[Threaded comment]
Your version of Excel allows you to read this threaded comment; however, any edits to it will get removed if the file is opened in a newer version of Excel. Learn more: https://go.microsoft.com/fwlink/?linkid=870924
Comment:
    $7,744,600 QO</t>
      </text>
    </comment>
    <comment ref="P7" authorId="9" shapeId="0" xr:uid="{14181F3F-D2BF-BB45-A989-095D9DB8F9A2}">
      <text>
        <t>[Threaded comment]
Your version of Excel allows you to read this threaded comment; however, any edits to it will get removed if the file is opened in a newer version of Excel. Learn more: https://go.microsoft.com/fwlink/?linkid=870924
Comment:
    fully NG, fully gt on …
If waived, Non Bird RFA</t>
      </text>
    </comment>
    <comment ref="Q7" authorId="10" shapeId="0" xr:uid="{411BC9EA-930A-B74C-B569-BE638F6911BC}">
      <text>
        <t>[Threaded comment]
Your version of Excel allows you to read this threaded comment; however, any edits to it will get removed if the file is opened in a newer version of Excel. Learn more: https://go.microsoft.com/fwlink/?linkid=870924
Comment:
    Early Bird</t>
      </text>
    </comment>
    <comment ref="P8" authorId="11" shapeId="0" xr:uid="{85449C82-97E2-DE47-80C1-D73ECE5FC629}">
      <text>
        <t>[Threaded comment]
Your version of Excel allows you to read this threaded comment; however, any edits to it will get removed if the file is opened in a newer version of Excel. Learn more: https://go.microsoft.com/fwlink/?linkid=870924
Comment:
    OLD: fully NG, fully gt on 7/6/20 (probably now 10/23/20)
If waived, Early Bird RFA
Min Cap Hold</t>
      </text>
    </comment>
    <comment ref="Q8" authorId="12" shapeId="0" xr:uid="{DAE79AC4-6C74-FD48-9CFB-A5761C003E79}">
      <text>
        <t>[Threaded comment]
Your version of Excel allows you to read this threaded comment; however, any edits to it will get removed if the file is opened in a newer version of Excel. Learn more: https://go.microsoft.com/fwlink/?linkid=870924
Comment:
    $2,122,822 QO
Bird</t>
      </text>
    </comment>
    <comment ref="P9" authorId="13" shapeId="0" xr:uid="{FA21097D-116E-9645-856D-DE3115936A84}">
      <text>
        <t>[Threaded comment]
Your version of Excel allows you to read this threaded comment; however, any edits to it will get removed if the file is opened in a newer version of Excel. Learn more: https://go.microsoft.com/fwlink/?linkid=870924
Comment:
    OLD: fully NG, fully gt on 7/10/20 (probably now 10/27/20)
If waived, Early Bird RFA</t>
      </text>
    </comment>
    <comment ref="Q9" authorId="14" shapeId="0" xr:uid="{702F602D-D06E-C945-8958-71762A4ADD46}">
      <text>
        <t>[Threaded comment]
Your version of Excel allows you to read this threaded comment; however, any edits to it will get removed if the file is opened in a newer version of Excel. Learn more: https://go.microsoft.com/fwlink/?linkid=870924
Comment:
    $2,122,822 QO
Bird</t>
      </text>
    </comment>
    <comment ref="P10" authorId="15" shapeId="0" xr:uid="{32CA346B-B547-924E-9647-EE838488CF6D}">
      <text>
        <t>[Threaded comment]
Your version of Excel allows you to read this threaded comment; however, any edits to it will get removed if the file is opened in a newer version of Excel. Learn more: https://go.microsoft.com/fwlink/?linkid=870924
Comment:
    NEW: 10/17/20 deadline
fully NG, fully gt on 7/5/20 (probably now 10/22/20)
If declined, Early Bird RFA
Min Cap Hold</t>
      </text>
    </comment>
    <comment ref="Q10" authorId="16" shapeId="0" xr:uid="{AB693815-EC48-7943-80BC-1DBE4FF5EFDE}">
      <text>
        <t>[Threaded comment]
Your version of Excel allows you to read this threaded comment; however, any edits to it will get removed if the file is opened in a newer version of Excel. Learn more: https://go.microsoft.com/fwlink/?linkid=870924
Comment:
    $2,122,822 QO
Bird</t>
      </text>
    </comment>
    <comment ref="P14" authorId="17" shapeId="0" xr:uid="{6DE41E25-0721-CC4C-9109-676257A83A47}">
      <text>
        <t>[Threaded comment]
Your version of Excel allows you to read this threaded comment; however, any edits to it will get removed if the file is opened in a newer version of Excel. Learn more: https://go.microsoft.com/fwlink/?linkid=870924
Comment:
    Bird</t>
      </text>
    </comment>
    <comment ref="P15" authorId="18" shapeId="0" xr:uid="{F60C360E-FDB2-F642-A819-CD42CC3F8D0F}">
      <text>
        <t>[Threaded comment]
Your version of Excel allows you to read this threaded comment; however, any edits to it will get removed if the file is opened in a newer version of Excel. Learn more: https://go.microsoft.com/fwlink/?linkid=870924
Comment:
    Bird</t>
      </text>
    </comment>
    <comment ref="P16" authorId="19" shapeId="0" xr:uid="{7B215A6C-2852-574B-8A14-36787CD03496}">
      <text>
        <t>[Threaded comment]
Your version of Excel allows you to read this threaded comment; however, any edits to it will get removed if the file is opened in a newer version of Excel. Learn more: https://go.microsoft.com/fwlink/?linkid=870924
Comment:
    Bird</t>
      </text>
    </comment>
    <comment ref="P17" authorId="20" shapeId="0" xr:uid="{F5D2BB47-86D9-1B4C-A36F-1E7119543813}">
      <text>
        <t>[Threaded comment]
Your version of Excel allows you to read this threaded comment; however, any edits to it will get removed if the file is opened in a newer version of Excel. Learn more: https://go.microsoft.com/fwlink/?linkid=870924
Comment:
    NEW: 10/17/20 deadline
$4,861,854 QO
Bird</t>
      </text>
    </comment>
    <comment ref="P18" authorId="21" shapeId="0" xr:uid="{83A6169D-1729-0645-9188-58A5CB851469}">
      <text>
        <t>[Threaded comment]
Your version of Excel allows you to read this threaded comment; however, any edits to it will get removed if the file is opened in a newer version of Excel. Learn more: https://go.microsoft.com/fwlink/?linkid=870924
Comment:
    Early Bird</t>
      </text>
    </comment>
    <comment ref="P19" authorId="22" shapeId="0" xr:uid="{236029F9-0FAC-E24F-97B5-98328F3818F6}">
      <text>
        <t>[Threaded comment]
Your version of Excel allows you to read this threaded comment; however, any edits to it will get removed if the file is opened in a newer version of Excel. Learn more: https://go.microsoft.com/fwlink/?linkid=870924
Comment:
    Early Bird</t>
      </text>
    </comment>
    <comment ref="P20" authorId="23" shapeId="0" xr:uid="{4BAE535A-9169-4D43-AFC8-9FA3CF437A6B}">
      <text>
        <t>[Threaded comment]
Your version of Excel allows you to read this threaded comment; however, any edits to it will get removed if the file is opened in a newer version of Excel. Learn more: https://go.microsoft.com/fwlink/?linkid=870924
Comment:
    2W RFA
Min Cap Hold</t>
      </text>
    </comment>
    <comment ref="P21" authorId="24" shapeId="0" xr:uid="{26218A42-3120-A641-A3F3-957D494AB4CF}">
      <text>
        <t>[Threaded comment]
Your version of Excel allows you to read this threaded comment; however, any edits to it will get removed if the file is opened in a newer version of Excel. Learn more: https://go.microsoft.com/fwlink/?linkid=870924
Comment:
    2W RFA
Min Cap Hold</t>
      </text>
    </comment>
    <comment ref="P25" authorId="25" shapeId="0" xr:uid="{E5250989-47EF-8F48-864E-7A4CD2BB5EB8}">
      <text>
        <t>[Threaded comment]
Your version of Excel allows you to read this threaded comment; however, any edits to it will get removed if the file is opened in a newer version of Excel. Learn more: https://go.microsoft.com/fwlink/?linkid=870924
Comment:
    4 players: Blake Griffin / Derrick Rose / Luke Kennard / Sekou Doumbouya
2020 1st (#7)
Brandon Knight (Bird)
Tony Snell (PO, Bird)
John Henson (Bird)
Langston Galloway (Bird)
Thon Maker (Bird RFA if QO)
Christian Wood (Early Bird)
Jordan McRae (Early Bird)
Justin Patton (NG)
Khyri Thomas (PG)
Bruce Brown (NG)
Svi Mykhailiuk (TO)
Louis King (2W RFA)
Jordan Bone (2W RFA)</t>
      </text>
    </comment>
    <comment ref="P26" authorId="26" shapeId="0" xr:uid="{C61A5DC3-91A4-0B43-AFB8-4BE584F7F314}">
      <text>
        <t>[Threaded comment]
Your version of Excel allows you to read this threaded comment; however, any edits to it will get removed if the file is opened in a newer version of Excel. Learn more: https://go.microsoft.com/fwlink/?linkid=870924
Comment:
    5 players: Blake Griffin / Tony Snell (PO) / Derrick Rose / Luke Kennard / Sekou Doumbouya
2020 1st (#7)
Brandon Knight (Bird)
John Henson (Bird)
Langston Galloway (Bird)
Thon Maker (Bird RFA if QO)
Christian Wood (Early Bird)
Jordan McRae (Early Bird)
Justin Patton (NG)
Khyri Thomas (PG)
Bruce Brown (NG)
Svi Mykhailiuk (TO)
Louis King (2W RFA)
Jordan Bone (2W RFA)</t>
      </text>
    </comment>
    <comment ref="P27" authorId="27" shapeId="0" xr:uid="{EDEC251B-F7B4-C04C-AAD5-2CD790ABBC0E}">
      <text>
        <t>[Threaded comment]
Your version of Excel allows you to read this threaded comment; however, any edits to it will get removed if the file is opened in a newer version of Excel. Learn more: https://go.microsoft.com/fwlink/?linkid=870924
Comment:
    9 players: Blake Griffin / Tony Snell (PO) / Derrick Rose / Luke Kennard / Sekou Doumbouya / Justin Patton (NG) / Khyri Thomas (PG) / Bruce Brown (NG) / Svi Mykhailiuk (TO)
2020 1st (#7)
Brandon Knight (Bird)
John Henson (Bird)
Langston Galloway (Bird)
Thon Maker (Bird RFA if QO)
Christian Wood (Early Bird)
Jordan McRae (Early Bird)
Louis King (2W RFA)
Jordan Bone (2W RFA)</t>
      </text>
    </comment>
  </commentList>
</comments>
</file>

<file path=xl/sharedStrings.xml><?xml version="1.0" encoding="utf-8"?>
<sst xmlns="http://schemas.openxmlformats.org/spreadsheetml/2006/main" count="6696" uniqueCount="2434">
  <si>
    <t>Jeff Teague</t>
  </si>
  <si>
    <t>Bird Rights</t>
  </si>
  <si>
    <t>Skal Labissiere</t>
  </si>
  <si>
    <t>Damian Jones</t>
  </si>
  <si>
    <t>Treveon Graham</t>
  </si>
  <si>
    <t>Early Bird Rights</t>
  </si>
  <si>
    <t>Brandon Goodwin</t>
  </si>
  <si>
    <t>Gordon Hayward</t>
  </si>
  <si>
    <t>Enes Kanter</t>
  </si>
  <si>
    <t>Daniel Theis</t>
  </si>
  <si>
    <t>Brad Wanamaker</t>
  </si>
  <si>
    <t>Semi Ojeleye</t>
  </si>
  <si>
    <t>Javonte Green</t>
  </si>
  <si>
    <t>Joe Harris</t>
  </si>
  <si>
    <t>Garrett Temple</t>
  </si>
  <si>
    <t>Timothe Luwawu-Cabarrot</t>
  </si>
  <si>
    <t>Wilson Chandler</t>
  </si>
  <si>
    <t>Nicolas Batum</t>
  </si>
  <si>
    <t>Bismack Biyombo</t>
  </si>
  <si>
    <t>Willy Hernangomez</t>
  </si>
  <si>
    <t>Dwayne Bacon</t>
  </si>
  <si>
    <t>Caleb Martin</t>
  </si>
  <si>
    <t>Jalen McDaniels</t>
  </si>
  <si>
    <t>Otto Porter Jr.</t>
  </si>
  <si>
    <t>Kris Dunn</t>
  </si>
  <si>
    <t>Denzel Valentine</t>
  </si>
  <si>
    <t>Shaquille Harrison</t>
  </si>
  <si>
    <t>Andre Drummond</t>
  </si>
  <si>
    <t>Tristan Thompson</t>
  </si>
  <si>
    <t>Matthew Dellavedova</t>
  </si>
  <si>
    <t>Ante Zizic</t>
  </si>
  <si>
    <t>Alfonzo McKinnie</t>
  </si>
  <si>
    <t>Tim Hardaway Jr.</t>
  </si>
  <si>
    <t>Courtney Lee</t>
  </si>
  <si>
    <t>Willie Cauley-Stein</t>
  </si>
  <si>
    <t>J.J. Barea</t>
  </si>
  <si>
    <t>Michael Kidd-Gilchrist</t>
  </si>
  <si>
    <t>Paul Millsap</t>
  </si>
  <si>
    <t>Mason Plumlee</t>
  </si>
  <si>
    <t>Jerami Grant</t>
  </si>
  <si>
    <t>Torrey Craig</t>
  </si>
  <si>
    <t>Noah Vonleh</t>
  </si>
  <si>
    <t>Monte Morris</t>
  </si>
  <si>
    <t>Keita Bates-Diop</t>
  </si>
  <si>
    <t>Troy Daniels</t>
  </si>
  <si>
    <t>Brandon Knight</t>
  </si>
  <si>
    <t>Tony Snell</t>
  </si>
  <si>
    <t>John Henson</t>
  </si>
  <si>
    <t>Langston Galloway</t>
  </si>
  <si>
    <t>Thon Maker</t>
  </si>
  <si>
    <t>Christian Wood</t>
  </si>
  <si>
    <t>Jordan McRae</t>
  </si>
  <si>
    <t>Khyri Thomas</t>
  </si>
  <si>
    <t>Bruce Brown</t>
  </si>
  <si>
    <t>Damion Lee</t>
  </si>
  <si>
    <t>Marquese Chriss</t>
  </si>
  <si>
    <t>Non Bird Rights</t>
  </si>
  <si>
    <t>Ky Bowman</t>
  </si>
  <si>
    <t>Juan Toscano-Anderson</t>
  </si>
  <si>
    <t>Mychal Mulder</t>
  </si>
  <si>
    <t>Austin Rivers</t>
  </si>
  <si>
    <t>Ben McLemore</t>
  </si>
  <si>
    <t>Bruno Caboclo</t>
  </si>
  <si>
    <t>Tyson Chandler</t>
  </si>
  <si>
    <t>Thabo Sefolosha</t>
  </si>
  <si>
    <t>Chris Clemons</t>
  </si>
  <si>
    <t>DeMarre Carroll</t>
  </si>
  <si>
    <t>Jeff Green</t>
  </si>
  <si>
    <t>Justin Holiday</t>
  </si>
  <si>
    <t>T.J. McConnell</t>
  </si>
  <si>
    <t>JaKarr Sampson</t>
  </si>
  <si>
    <t>Alize Johnson</t>
  </si>
  <si>
    <t>Marcus Morris</t>
  </si>
  <si>
    <t>Montrezl Harrell</t>
  </si>
  <si>
    <t>JaMychal Green</t>
  </si>
  <si>
    <t>Patrick Patterson</t>
  </si>
  <si>
    <t>Reggie Jackson</t>
  </si>
  <si>
    <t>Anthony Davis</t>
  </si>
  <si>
    <t>Kentavious Caldwell-Pope</t>
  </si>
  <si>
    <t>Avery Bradley</t>
  </si>
  <si>
    <t>Quinn Cook</t>
  </si>
  <si>
    <t>Rajon Rondo</t>
  </si>
  <si>
    <t>Markieff Morris</t>
  </si>
  <si>
    <t>Jared Dudley</t>
  </si>
  <si>
    <t>Dwight Howard</t>
  </si>
  <si>
    <t>Dion Waiters</t>
  </si>
  <si>
    <t>Josh Jackson</t>
  </si>
  <si>
    <t>De'Anthony Melton</t>
  </si>
  <si>
    <t>Jontay Porter</t>
  </si>
  <si>
    <t>Goran Dragic</t>
  </si>
  <si>
    <t>Solomon Hill</t>
  </si>
  <si>
    <t>Kelly Olynyk</t>
  </si>
  <si>
    <t>Meyers Leonard</t>
  </si>
  <si>
    <t>Jae Crowder</t>
  </si>
  <si>
    <t>Derrick Jones Jr.</t>
  </si>
  <si>
    <t>Udonis Haslem</t>
  </si>
  <si>
    <t>Duncan Robinson</t>
  </si>
  <si>
    <t>Kendrick Nunn</t>
  </si>
  <si>
    <t>Ersan Ilyasova</t>
  </si>
  <si>
    <t>Robin Lopez</t>
  </si>
  <si>
    <t>Wesley Matthews</t>
  </si>
  <si>
    <t>Pat Connaughton</t>
  </si>
  <si>
    <t>Kyle Korver</t>
  </si>
  <si>
    <t>Sterling Brown</t>
  </si>
  <si>
    <t>Marvin Williams</t>
  </si>
  <si>
    <t>Evan Turner</t>
  </si>
  <si>
    <t>James Johnson</t>
  </si>
  <si>
    <t>Juan Hernangomez</t>
  </si>
  <si>
    <t>Malik Beasley</t>
  </si>
  <si>
    <t>Jarred Vanderbilt</t>
  </si>
  <si>
    <t>Jaylen Nowell</t>
  </si>
  <si>
    <t>Naz Reid</t>
  </si>
  <si>
    <t>Derrick Favors</t>
  </si>
  <si>
    <t>E'Twaun Moore</t>
  </si>
  <si>
    <t>Brandon Ingram</t>
  </si>
  <si>
    <t>Darius Miller</t>
  </si>
  <si>
    <t>Jahlil Okafor</t>
  </si>
  <si>
    <t>Frank Jackson</t>
  </si>
  <si>
    <t>Kenrich Williams</t>
  </si>
  <si>
    <t>Bobby Portis</t>
  </si>
  <si>
    <t>Maurice Harkless</t>
  </si>
  <si>
    <t>Taj Gibson</t>
  </si>
  <si>
    <t>Elfrid Payton</t>
  </si>
  <si>
    <t>Wayne Ellington</t>
  </si>
  <si>
    <t>Reggie Bullock</t>
  </si>
  <si>
    <t>Damyean Dotson</t>
  </si>
  <si>
    <t>Mitchell Robinson</t>
  </si>
  <si>
    <t>Danilo Gallinari</t>
  </si>
  <si>
    <t>Andre Roberson</t>
  </si>
  <si>
    <t>Mike Muscala</t>
  </si>
  <si>
    <t>Nerlens Noel</t>
  </si>
  <si>
    <t>Abdel Nader</t>
  </si>
  <si>
    <t>Hamidou Diallo</t>
  </si>
  <si>
    <t>Deonte Burton</t>
  </si>
  <si>
    <t>Evan Fournier</t>
  </si>
  <si>
    <t>D.J. Augustin</t>
  </si>
  <si>
    <t>James Ennis III</t>
  </si>
  <si>
    <t>Michael Carter-Williams</t>
  </si>
  <si>
    <t>Wes Iwundu</t>
  </si>
  <si>
    <t>Melvin Frazier Jr.</t>
  </si>
  <si>
    <t>Glenn Robinson III</t>
  </si>
  <si>
    <t>Alec Burks</t>
  </si>
  <si>
    <t>Raul Neto</t>
  </si>
  <si>
    <t>Kyle O'Quinn</t>
  </si>
  <si>
    <t>Furkan Korkmaz</t>
  </si>
  <si>
    <t>Norvel Pelle</t>
  </si>
  <si>
    <t>Aron Baynes</t>
  </si>
  <si>
    <t>Dario Saric</t>
  </si>
  <si>
    <t>Cheick Diallo</t>
  </si>
  <si>
    <t>Jevon Carter</t>
  </si>
  <si>
    <t>Elie Okobo</t>
  </si>
  <si>
    <t>Hassan Whiteside</t>
  </si>
  <si>
    <t>Trevor Ariza</t>
  </si>
  <si>
    <t>Rodney Hood</t>
  </si>
  <si>
    <t>Mario Hezonja</t>
  </si>
  <si>
    <t>Wenyen Gabriel</t>
  </si>
  <si>
    <t>Carmelo Anthony</t>
  </si>
  <si>
    <t>Kent Bazemore</t>
  </si>
  <si>
    <t>Bogdan Bogdanovic</t>
  </si>
  <si>
    <t>Nemanja Bjelica</t>
  </si>
  <si>
    <t>Jabari Parker</t>
  </si>
  <si>
    <t>Alex Len</t>
  </si>
  <si>
    <t>Yogi Ferrell</t>
  </si>
  <si>
    <t>Harry Giles</t>
  </si>
  <si>
    <t>DeMar DeRozan</t>
  </si>
  <si>
    <t>Marco Belinelli</t>
  </si>
  <si>
    <t>Trey Lyles</t>
  </si>
  <si>
    <t>Jakob Poeltl</t>
  </si>
  <si>
    <t>Bryn Forbes</t>
  </si>
  <si>
    <t>Quinndary Weatherspoon</t>
  </si>
  <si>
    <t>Marc Gasol</t>
  </si>
  <si>
    <t>Serge Ibaka</t>
  </si>
  <si>
    <t>Fred VanVleet</t>
  </si>
  <si>
    <t>Stanley Johnson</t>
  </si>
  <si>
    <t>Rondae Hollis-Jefferson</t>
  </si>
  <si>
    <t>Chris Boucher</t>
  </si>
  <si>
    <t>Malcolm Miller</t>
  </si>
  <si>
    <t>Matt Thomas</t>
  </si>
  <si>
    <t>Dewan Hernandez</t>
  </si>
  <si>
    <t>Jordan Clarkson</t>
  </si>
  <si>
    <t>Georges Niang</t>
  </si>
  <si>
    <t>Emmanuel Mudiay</t>
  </si>
  <si>
    <t>Nigel Williams-Goss</t>
  </si>
  <si>
    <t>Miye Oni</t>
  </si>
  <si>
    <t>Juwan Morgan</t>
  </si>
  <si>
    <t>Rayjon Tucker</t>
  </si>
  <si>
    <t>Ian Mahinmi</t>
  </si>
  <si>
    <t>Davis Bertans</t>
  </si>
  <si>
    <t>Shabazz Napier</t>
  </si>
  <si>
    <t>Isaac Bonga</t>
  </si>
  <si>
    <t>Gary Payton II</t>
  </si>
  <si>
    <t>Anzejs Pasecniks</t>
  </si>
  <si>
    <t>Clint Capela</t>
  </si>
  <si>
    <t>Dewayne Dedmon</t>
  </si>
  <si>
    <t>Jaylen Brown</t>
  </si>
  <si>
    <t>Marcus Smart</t>
  </si>
  <si>
    <t>Kevin Durant</t>
  </si>
  <si>
    <t>Kyrie Irving</t>
  </si>
  <si>
    <t>Thaddeus Young</t>
  </si>
  <si>
    <t>Dante Exum</t>
  </si>
  <si>
    <t>Delon Wright</t>
  </si>
  <si>
    <t>Maxi Kleber</t>
  </si>
  <si>
    <t>Nikola Jokic</t>
  </si>
  <si>
    <t>Gary Harris</t>
  </si>
  <si>
    <t>Eric Gordon</t>
  </si>
  <si>
    <t>Victor Oladipo</t>
  </si>
  <si>
    <t>Myles Turner</t>
  </si>
  <si>
    <t>Domantas Sabonis</t>
  </si>
  <si>
    <t>Tyus Jones</t>
  </si>
  <si>
    <t>Jrue Holiday</t>
  </si>
  <si>
    <t>Julius Randle</t>
  </si>
  <si>
    <t>Dennis Schroder</t>
  </si>
  <si>
    <t>Aaron Gordon</t>
  </si>
  <si>
    <t>Terrence Ross</t>
  </si>
  <si>
    <t>Ben Simmons</t>
  </si>
  <si>
    <t>Jusuf Nurkic</t>
  </si>
  <si>
    <t>Buddy Hield</t>
  </si>
  <si>
    <t>Rudy Gay</t>
  </si>
  <si>
    <t>Patty Mills</t>
  </si>
  <si>
    <t>Kyle Lowry</t>
  </si>
  <si>
    <t>Rudy Gobert</t>
  </si>
  <si>
    <t>Joe Ingles</t>
  </si>
  <si>
    <t>Bradley Beal</t>
  </si>
  <si>
    <t>Georgia</t>
  </si>
  <si>
    <t>Dayton</t>
  </si>
  <si>
    <t>Memphis</t>
  </si>
  <si>
    <t>USC</t>
  </si>
  <si>
    <t>Maccabi Tel Aviv (Israel)</t>
  </si>
  <si>
    <t>Ulm (Germany)</t>
  </si>
  <si>
    <t>Auburn</t>
  </si>
  <si>
    <t>Iowa State</t>
  </si>
  <si>
    <t>00</t>
  </si>
  <si>
    <t>Combo</t>
  </si>
  <si>
    <t>Wake Forest</t>
  </si>
  <si>
    <t>Traded from MIN on 1/16/20</t>
  </si>
  <si>
    <r>
      <t xml:space="preserve">39% PG, </t>
    </r>
    <r>
      <rPr>
        <u/>
        <sz val="12"/>
        <color theme="1"/>
        <rFont val="Calibri"/>
        <family val="2"/>
      </rPr>
      <t>60% SG</t>
    </r>
    <r>
      <rPr>
        <sz val="12"/>
        <color theme="1"/>
        <rFont val="Calibri"/>
        <family val="2"/>
      </rPr>
      <t>, 1% SF</t>
    </r>
  </si>
  <si>
    <t>Big</t>
  </si>
  <si>
    <t>Elan Chaton (France)</t>
  </si>
  <si>
    <t>Traded from HOU on 2/5/20</t>
  </si>
  <si>
    <t>Bird Rights (HOU)</t>
  </si>
  <si>
    <t>100% C</t>
  </si>
  <si>
    <t>Traded from SAC on 2/6/20</t>
  </si>
  <si>
    <t>Cap Space (SAC)</t>
  </si>
  <si>
    <t>De'Andre Hunter</t>
  </si>
  <si>
    <t>Forward</t>
  </si>
  <si>
    <t>Virginia</t>
  </si>
  <si>
    <t>2019 Draft (#4 pick)</t>
  </si>
  <si>
    <t>Rookie Scale</t>
  </si>
  <si>
    <r>
      <t xml:space="preserve">18% SG, </t>
    </r>
    <r>
      <rPr>
        <u/>
        <sz val="12"/>
        <color theme="1"/>
        <rFont val="Calibri"/>
        <family val="2"/>
      </rPr>
      <t>62% SF</t>
    </r>
    <r>
      <rPr>
        <sz val="12"/>
        <color theme="1"/>
        <rFont val="Calibri"/>
        <family val="2"/>
      </rPr>
      <t>, 20% PF</t>
    </r>
  </si>
  <si>
    <t>Trae Young</t>
  </si>
  <si>
    <t>Point</t>
  </si>
  <si>
    <t>Oklahoma</t>
  </si>
  <si>
    <t>2018 Draft (#5 pick)</t>
  </si>
  <si>
    <r>
      <rPr>
        <u/>
        <sz val="12"/>
        <color theme="1"/>
        <rFont val="Calibri"/>
        <family val="2"/>
      </rPr>
      <t>89% PG</t>
    </r>
    <r>
      <rPr>
        <sz val="12"/>
        <color theme="1"/>
        <rFont val="Calibri"/>
        <family val="2"/>
      </rPr>
      <t>, 3% SG</t>
    </r>
  </si>
  <si>
    <t>Cam Reddish</t>
  </si>
  <si>
    <t>Wing</t>
  </si>
  <si>
    <t>Duke</t>
  </si>
  <si>
    <t>2019 Draft (#10 pick)</t>
  </si>
  <si>
    <r>
      <t xml:space="preserve">40% SF, </t>
    </r>
    <r>
      <rPr>
        <u/>
        <sz val="12"/>
        <color theme="1"/>
        <rFont val="Calibri"/>
        <family val="2"/>
      </rPr>
      <t>59% PF</t>
    </r>
    <r>
      <rPr>
        <sz val="12"/>
        <color theme="1"/>
        <rFont val="Calibri"/>
        <family val="2"/>
      </rPr>
      <t>, 1% C</t>
    </r>
  </si>
  <si>
    <t>John Collins</t>
  </si>
  <si>
    <t>2017 Draft (#19 pick)</t>
  </si>
  <si>
    <r>
      <rPr>
        <u/>
        <sz val="12"/>
        <color theme="1"/>
        <rFont val="Calibri"/>
        <family val="2"/>
      </rPr>
      <t>53% PF</t>
    </r>
    <r>
      <rPr>
        <sz val="12"/>
        <color theme="1"/>
        <rFont val="Calibri"/>
        <family val="2"/>
      </rPr>
      <t>, 47% C</t>
    </r>
  </si>
  <si>
    <t>Kevin Huerter</t>
  </si>
  <si>
    <t>Maryland</t>
  </si>
  <si>
    <t>2018 Draft (#19 pick)</t>
  </si>
  <si>
    <r>
      <t xml:space="preserve">6% PG, </t>
    </r>
    <r>
      <rPr>
        <u/>
        <sz val="12"/>
        <color theme="1"/>
        <rFont val="Calibri"/>
        <family val="2"/>
      </rPr>
      <t>63% SG</t>
    </r>
    <r>
      <rPr>
        <sz val="12"/>
        <color theme="1"/>
        <rFont val="Calibri"/>
        <family val="2"/>
      </rPr>
      <t>, 27% SF, 3% PF</t>
    </r>
  </si>
  <si>
    <t>DeAndre' Bembry</t>
  </si>
  <si>
    <t>Saint Joseph's</t>
  </si>
  <si>
    <t>2016 Draft (#21 pick)</t>
  </si>
  <si>
    <r>
      <t xml:space="preserve">12% PG, </t>
    </r>
    <r>
      <rPr>
        <u/>
        <sz val="12"/>
        <color theme="1"/>
        <rFont val="Calibri"/>
        <family val="2"/>
      </rPr>
      <t>80% SG,</t>
    </r>
    <r>
      <rPr>
        <sz val="12"/>
        <color theme="1"/>
        <rFont val="Calibri"/>
        <family val="2"/>
      </rPr>
      <t xml:space="preserve"> 8% SF</t>
    </r>
  </si>
  <si>
    <t>Kentucky</t>
  </si>
  <si>
    <t>Traded from POR on 2/6/20</t>
  </si>
  <si>
    <t>Rookie Scale (SAC)</t>
  </si>
  <si>
    <r>
      <t>8% PF,</t>
    </r>
    <r>
      <rPr>
        <u/>
        <sz val="12"/>
        <color theme="1"/>
        <rFont val="Calibri"/>
        <family val="2"/>
      </rPr>
      <t xml:space="preserve"> 92% C</t>
    </r>
  </si>
  <si>
    <t xml:space="preserve">Vanderbilt </t>
  </si>
  <si>
    <t>Traded from GSW on 7/8/19</t>
  </si>
  <si>
    <t>Rookie Scale (GSW)</t>
  </si>
  <si>
    <r>
      <t>1% PF,</t>
    </r>
    <r>
      <rPr>
        <u/>
        <sz val="12"/>
        <color theme="1"/>
        <rFont val="Calibri"/>
        <family val="2"/>
      </rPr>
      <t xml:space="preserve"> 99% C</t>
    </r>
  </si>
  <si>
    <t>VCU</t>
  </si>
  <si>
    <t>Minimum (BKN)</t>
  </si>
  <si>
    <r>
      <t>2% PG,</t>
    </r>
    <r>
      <rPr>
        <u/>
        <sz val="12"/>
        <color theme="1"/>
        <rFont val="Calibri"/>
        <family val="2"/>
      </rPr>
      <t xml:space="preserve"> 61% SG</t>
    </r>
    <r>
      <rPr>
        <sz val="12"/>
        <color theme="1"/>
        <rFont val="Calibri"/>
        <family val="2"/>
      </rPr>
      <t>, 32% SF, 5% PF</t>
    </r>
  </si>
  <si>
    <t>North Carolina</t>
  </si>
  <si>
    <t>Minimum</t>
  </si>
  <si>
    <t>Bruno Fernando</t>
  </si>
  <si>
    <t>2019 Draft (#34 pick)</t>
  </si>
  <si>
    <t>Cap Space</t>
  </si>
  <si>
    <t>Year 1/3 of 3 yr/$5M from 2019 offseason</t>
  </si>
  <si>
    <r>
      <t xml:space="preserve">11% PF, </t>
    </r>
    <r>
      <rPr>
        <u/>
        <sz val="12"/>
        <color theme="1"/>
        <rFont val="Calibri"/>
        <family val="2"/>
      </rPr>
      <t>89% C</t>
    </r>
  </si>
  <si>
    <t>FGC</t>
  </si>
  <si>
    <t>Signed on 8/6/19 (two way)</t>
  </si>
  <si>
    <t>Year 1/2 of 2 yr/$2M from 19-20 season</t>
  </si>
  <si>
    <t>100% PG</t>
  </si>
  <si>
    <t>Charlie Brown Jr.</t>
  </si>
  <si>
    <t xml:space="preserve">Saint Joseph's </t>
  </si>
  <si>
    <t>Signed on 7/1/19 (two way)</t>
  </si>
  <si>
    <t>Two Way</t>
  </si>
  <si>
    <r>
      <t xml:space="preserve">10% PG, </t>
    </r>
    <r>
      <rPr>
        <u/>
        <sz val="12"/>
        <color theme="1"/>
        <rFont val="Calibri"/>
        <family val="2"/>
      </rPr>
      <t>57% SG</t>
    </r>
    <r>
      <rPr>
        <sz val="12"/>
        <color theme="1"/>
        <rFont val="Calibri"/>
        <family val="2"/>
      </rPr>
      <t>, 33% SF</t>
    </r>
  </si>
  <si>
    <t>DEAD MONEY</t>
  </si>
  <si>
    <t>2020 1st (4)</t>
  </si>
  <si>
    <t>Room Exception</t>
  </si>
  <si>
    <t>Salary Cap</t>
  </si>
  <si>
    <t>Cash Paid</t>
  </si>
  <si>
    <t>Luxury Tax</t>
  </si>
  <si>
    <t>Cash Received</t>
  </si>
  <si>
    <t>Winning Percentage</t>
  </si>
  <si>
    <t>Lloyd Pierce</t>
  </si>
  <si>
    <t>Offensive Rating</t>
  </si>
  <si>
    <t>Defensive Rating</t>
  </si>
  <si>
    <t>Net Rating</t>
  </si>
  <si>
    <t>Pace</t>
  </si>
  <si>
    <t>Incoming Picks:</t>
  </si>
  <si>
    <t>2021 2nd from Miami (unprotected)</t>
  </si>
  <si>
    <t>2022 1st from Oklahoma City (protected 1-14, if not conveyed becomes 2024 and 2025 2nds)</t>
  </si>
  <si>
    <t>2023 2nd from Charlotte / Brooklyn (receives second most favorable of the three picks, including their own)</t>
  </si>
  <si>
    <t>2023 2nd from New Orleans (protected 31-45, if not conveyed obligation extinguished)</t>
  </si>
  <si>
    <t>2024 2nd from Miami (protected 31-50 and 56-60)</t>
  </si>
  <si>
    <t>2025 2nd from Brooklyn (unprotected)</t>
  </si>
  <si>
    <t>2026 2nd from Golden State (unprotected)</t>
  </si>
  <si>
    <t>Outgoing Picks:</t>
  </si>
  <si>
    <t>2021 2nd to Brooklyn (for sure)</t>
  </si>
  <si>
    <t>2022 2nd to LA Clippers (protected 31-55)</t>
  </si>
  <si>
    <t>2024 2nd to Portland (protected 31-55)</t>
  </si>
  <si>
    <t>2019-2020</t>
  </si>
  <si>
    <t>14th in East</t>
  </si>
  <si>
    <t>---</t>
  </si>
  <si>
    <t>2018-2019</t>
  </si>
  <si>
    <t>12th in East</t>
  </si>
  <si>
    <t>2017-2018</t>
  </si>
  <si>
    <t>15th in East</t>
  </si>
  <si>
    <t>Mike Buzenholzer</t>
  </si>
  <si>
    <t>2016-2017</t>
  </si>
  <si>
    <t>5th in East</t>
  </si>
  <si>
    <t>Lost to WSH in first round (4-2)</t>
  </si>
  <si>
    <t>2015-2016</t>
  </si>
  <si>
    <t>4th in East</t>
  </si>
  <si>
    <t>Beat BOS in first round (4-2), lost to CLE in semifinals (4-0)</t>
  </si>
  <si>
    <t>2014-2015</t>
  </si>
  <si>
    <t>1st in East</t>
  </si>
  <si>
    <t>Beat BKN in first round (4-2), beat WSH in semifinals (4-2), lost to CLE in ECF (4-0)</t>
  </si>
  <si>
    <t>2013-2014</t>
  </si>
  <si>
    <t>8th in East</t>
  </si>
  <si>
    <t>Lost to IND in first round (4-3)</t>
  </si>
  <si>
    <t>2012-2013</t>
  </si>
  <si>
    <t>6th in East</t>
  </si>
  <si>
    <t>Larry Drew</t>
  </si>
  <si>
    <t>Lost to IND in first round (4-2)</t>
  </si>
  <si>
    <t>2011-2012</t>
  </si>
  <si>
    <t>Lost to BOS in fiirst round (4-2)</t>
  </si>
  <si>
    <t>2010-2011</t>
  </si>
  <si>
    <t>Beat ORL in first round (4-2), lost to CHI in semifinals (4-2)</t>
  </si>
  <si>
    <t>Ten Year Record</t>
  </si>
  <si>
    <t>Kemba Walker</t>
  </si>
  <si>
    <t>UConn</t>
  </si>
  <si>
    <t>Signed-and-traded from CHA on 7/6/19</t>
  </si>
  <si>
    <t>Sign-and-Trade</t>
  </si>
  <si>
    <t>15% trade kicker</t>
  </si>
  <si>
    <t>Butler</t>
  </si>
  <si>
    <t>Signed on 7/14/17</t>
  </si>
  <si>
    <t>Year 3/4 of 4 yr/$128M from 2017 offseason</t>
  </si>
  <si>
    <r>
      <t xml:space="preserve">6% SG, </t>
    </r>
    <r>
      <rPr>
        <u/>
        <sz val="12"/>
        <color theme="1"/>
        <rFont val="Calibri"/>
        <family val="2"/>
      </rPr>
      <t>77% SF</t>
    </r>
    <r>
      <rPr>
        <sz val="12"/>
        <color theme="1"/>
        <rFont val="Calibri"/>
        <family val="2"/>
      </rPr>
      <t>, 17% PF</t>
    </r>
  </si>
  <si>
    <t>Oklahoma State</t>
  </si>
  <si>
    <t>2014 Draft (#6 pick)</t>
  </si>
  <si>
    <r>
      <t xml:space="preserve">23% PG, </t>
    </r>
    <r>
      <rPr>
        <u/>
        <sz val="12"/>
        <color theme="1"/>
        <rFont val="Calibri"/>
        <family val="2"/>
      </rPr>
      <t>73% SG</t>
    </r>
    <r>
      <rPr>
        <sz val="12"/>
        <color theme="1"/>
        <rFont val="Calibri"/>
        <family val="2"/>
      </rPr>
      <t>, 5% SF</t>
    </r>
  </si>
  <si>
    <t>Jayson Tatum</t>
  </si>
  <si>
    <t>2017 Draft (#3 pick)</t>
  </si>
  <si>
    <r>
      <rPr>
        <u/>
        <sz val="12"/>
        <color theme="1"/>
        <rFont val="Calibri"/>
        <family val="2"/>
      </rPr>
      <t>89% PF</t>
    </r>
    <r>
      <rPr>
        <sz val="12"/>
        <color theme="1"/>
        <rFont val="Calibri"/>
        <family val="2"/>
      </rPr>
      <t>, 11% C</t>
    </r>
  </si>
  <si>
    <t>Cal</t>
  </si>
  <si>
    <t>2016 Draft (#3 pick)</t>
  </si>
  <si>
    <r>
      <rPr>
        <u/>
        <sz val="12"/>
        <color theme="1"/>
        <rFont val="Calibri"/>
        <family val="2"/>
      </rPr>
      <t>49% SG</t>
    </r>
    <r>
      <rPr>
        <sz val="12"/>
        <color theme="1"/>
        <rFont val="Calibri"/>
        <family val="2"/>
      </rPr>
      <t>, 47% SF, 4% PF</t>
    </r>
  </si>
  <si>
    <t>Brose Bamberg (Germany)</t>
  </si>
  <si>
    <t>Signed on 7/20/17</t>
  </si>
  <si>
    <t>Year 1/2 of 2 yr/$10M from 2019 offseason</t>
  </si>
  <si>
    <t>Signed on 7/17/19</t>
  </si>
  <si>
    <t>Romeo Langford</t>
  </si>
  <si>
    <t>Indiana</t>
  </si>
  <si>
    <t>2019 Draft (#14 pick)</t>
  </si>
  <si>
    <r>
      <t xml:space="preserve">8% PG, </t>
    </r>
    <r>
      <rPr>
        <u/>
        <sz val="12"/>
        <color theme="1"/>
        <rFont val="Calibri"/>
        <family val="2"/>
      </rPr>
      <t>63% SG</t>
    </r>
    <r>
      <rPr>
        <sz val="12"/>
        <color theme="1"/>
        <rFont val="Calibri"/>
        <family val="2"/>
      </rPr>
      <t>, 30% SF</t>
    </r>
  </si>
  <si>
    <t>Vincent Poirier</t>
  </si>
  <si>
    <t>Baskonia (Spain)</t>
  </si>
  <si>
    <t>Signed on 7/15/19</t>
  </si>
  <si>
    <t>Year 1/2 of 2 yr/$5M from 2019 offseason</t>
  </si>
  <si>
    <t>Grant Williams</t>
  </si>
  <si>
    <t>Tennessee</t>
  </si>
  <si>
    <t>2019 Draft (#22 pick)</t>
  </si>
  <si>
    <r>
      <t xml:space="preserve">31% SF, </t>
    </r>
    <r>
      <rPr>
        <u/>
        <sz val="12"/>
        <color theme="1"/>
        <rFont val="Calibri"/>
        <family val="2"/>
      </rPr>
      <t>56% PF</t>
    </r>
    <r>
      <rPr>
        <sz val="12"/>
        <color theme="1"/>
        <rFont val="Calibri"/>
        <family val="2"/>
      </rPr>
      <t>, 14% C</t>
    </r>
  </si>
  <si>
    <t>Robert Williams</t>
  </si>
  <si>
    <t>Texas A&amp;M</t>
  </si>
  <si>
    <t>2018 Draft (#27 pick)</t>
  </si>
  <si>
    <r>
      <t xml:space="preserve">1% PF, </t>
    </r>
    <r>
      <rPr>
        <u/>
        <sz val="12"/>
        <color theme="1"/>
        <rFont val="Calibri"/>
        <family val="2"/>
      </rPr>
      <t>99% C</t>
    </r>
  </si>
  <si>
    <t>SMU</t>
  </si>
  <si>
    <t>2017 Draft (#37 pick)</t>
  </si>
  <si>
    <t>Year 3/4 of 4 yr/$6M from 2017 offseason</t>
  </si>
  <si>
    <r>
      <t xml:space="preserve">1% SG, </t>
    </r>
    <r>
      <rPr>
        <u/>
        <sz val="12"/>
        <color theme="1"/>
        <rFont val="Calibri"/>
        <family val="2"/>
      </rPr>
      <t>53% SF</t>
    </r>
    <r>
      <rPr>
        <sz val="12"/>
        <color theme="1"/>
        <rFont val="Calibri"/>
        <family val="2"/>
      </rPr>
      <t>, 45% PF, 1% C</t>
    </r>
  </si>
  <si>
    <t>Fenerbahce (Turkey)</t>
  </si>
  <si>
    <t>Signed on 7/2/18</t>
  </si>
  <si>
    <r>
      <rPr>
        <u/>
        <sz val="12"/>
        <color theme="1"/>
        <rFont val="Calibri"/>
        <family val="2"/>
      </rPr>
      <t>79% PG</t>
    </r>
    <r>
      <rPr>
        <sz val="12"/>
        <color theme="1"/>
        <rFont val="Calibri"/>
        <family val="2"/>
      </rPr>
      <t>, 21% SG</t>
    </r>
  </si>
  <si>
    <t>Carsen Edwards</t>
  </si>
  <si>
    <t>Purdue</t>
  </si>
  <si>
    <t>2019 Draft (#33 pick)</t>
  </si>
  <si>
    <t>Year 1/4 of 4 yr/$6M from 2019 offseason</t>
  </si>
  <si>
    <r>
      <t xml:space="preserve">12% PG, </t>
    </r>
    <r>
      <rPr>
        <u/>
        <sz val="12"/>
        <color theme="1"/>
        <rFont val="Calibri"/>
        <family val="2"/>
      </rPr>
      <t>87% SG</t>
    </r>
    <r>
      <rPr>
        <sz val="12"/>
        <color theme="1"/>
        <rFont val="Calibri"/>
        <family val="2"/>
      </rPr>
      <t>, 1% SF</t>
    </r>
  </si>
  <si>
    <t>Signed on 7/25/19</t>
  </si>
  <si>
    <t>Year 1/2 of 2 yr/$2M from 2019 offseason</t>
  </si>
  <si>
    <r>
      <t xml:space="preserve">2% PG, 45% SG, </t>
    </r>
    <r>
      <rPr>
        <u/>
        <sz val="12"/>
        <color theme="1"/>
        <rFont val="Calibri"/>
        <family val="2"/>
      </rPr>
      <t>51% SF</t>
    </r>
    <r>
      <rPr>
        <sz val="12"/>
        <color theme="1"/>
        <rFont val="Calibri"/>
        <family val="2"/>
      </rPr>
      <t>, 3% PF</t>
    </r>
  </si>
  <si>
    <t>Tremont Waters</t>
  </si>
  <si>
    <t>LSU</t>
  </si>
  <si>
    <t>2019 Draft (#51 pick)</t>
  </si>
  <si>
    <t>Tacko Fall</t>
  </si>
  <si>
    <t>UCF</t>
  </si>
  <si>
    <t>2020 1st (26)</t>
  </si>
  <si>
    <t>2020 1st (30) - MIL</t>
  </si>
  <si>
    <t>3rd in East</t>
  </si>
  <si>
    <t>Brad Stevens</t>
  </si>
  <si>
    <t>Beat IND in first round (4-0), lost to MIL in semifinals (4-1)</t>
  </si>
  <si>
    <t>2nd in East</t>
  </si>
  <si>
    <t>Beat MIL in first round (4-3), beat PHI in semifinals (4-1), lost to CLE in ECF (4-3)</t>
  </si>
  <si>
    <t>Beat CHI in first round (4-2), beat WSH in semifinals (4-3), lost to CLE in ECF (4-1)</t>
  </si>
  <si>
    <t>Lost to ATL in first round (4-2)</t>
  </si>
  <si>
    <t>7th in East</t>
  </si>
  <si>
    <t>Lost to CLE in first round (4-0)</t>
  </si>
  <si>
    <t>Doc Rivers</t>
  </si>
  <si>
    <t>Lost to NYK in first round (4-2)</t>
  </si>
  <si>
    <t>Beat ATL in first round (4-2), beat PHI in semifinals (4-3), lost to MIA in ECF (4-3)</t>
  </si>
  <si>
    <t>Beat NYK in first round (4-0), lost to MIA in semifinals (4-1)</t>
  </si>
  <si>
    <t>Texas</t>
  </si>
  <si>
    <t>Signed-and-traded from GSW on 7/7/19</t>
  </si>
  <si>
    <r>
      <t xml:space="preserve">21% SF, </t>
    </r>
    <r>
      <rPr>
        <u/>
        <sz val="12"/>
        <color theme="1"/>
        <rFont val="Calibri"/>
        <family val="2"/>
      </rPr>
      <t>69% PF</t>
    </r>
    <r>
      <rPr>
        <sz val="12"/>
        <color theme="1"/>
        <rFont val="Calibri"/>
        <family val="2"/>
      </rPr>
      <t>, 10% C</t>
    </r>
  </si>
  <si>
    <t>Signed on 7/7/19</t>
  </si>
  <si>
    <t>Spencer Dinwiddie</t>
  </si>
  <si>
    <t>Colorado</t>
  </si>
  <si>
    <t>Signed on 12/8/16</t>
  </si>
  <si>
    <r>
      <t xml:space="preserve">40% PG, </t>
    </r>
    <r>
      <rPr>
        <u/>
        <sz val="12"/>
        <color theme="1"/>
        <rFont val="Calibri"/>
        <family val="2"/>
      </rPr>
      <t>57% SG</t>
    </r>
    <r>
      <rPr>
        <sz val="12"/>
        <color theme="1"/>
        <rFont val="Calibri"/>
        <family val="2"/>
      </rPr>
      <t>, % SF</t>
    </r>
  </si>
  <si>
    <t>DeAndre Jordan</t>
  </si>
  <si>
    <t>Signed on 7/6/19</t>
  </si>
  <si>
    <t>Signed on 7/19/16</t>
  </si>
  <si>
    <r>
      <t>11% SG,</t>
    </r>
    <r>
      <rPr>
        <u/>
        <sz val="12"/>
        <color theme="1"/>
        <rFont val="Calibri"/>
        <family val="2"/>
      </rPr>
      <t xml:space="preserve"> 82% SF</t>
    </r>
    <r>
      <rPr>
        <sz val="12"/>
        <color theme="1"/>
        <rFont val="Calibri"/>
        <family val="2"/>
      </rPr>
      <t>, 7% PF</t>
    </r>
  </si>
  <si>
    <t>Signed on 7/8/19</t>
  </si>
  <si>
    <r>
      <rPr>
        <u/>
        <sz val="12"/>
        <color theme="1"/>
        <rFont val="Calibri"/>
        <family val="2"/>
      </rPr>
      <t>86% PG</t>
    </r>
    <r>
      <rPr>
        <sz val="12"/>
        <color theme="1"/>
        <rFont val="Calibri"/>
        <family val="2"/>
      </rPr>
      <t>, 14% SG</t>
    </r>
  </si>
  <si>
    <t>Taurean Prince</t>
  </si>
  <si>
    <t>Baylor</t>
  </si>
  <si>
    <t>Traded from ATL on 6/6/19</t>
  </si>
  <si>
    <r>
      <t xml:space="preserve">16% SF, </t>
    </r>
    <r>
      <rPr>
        <u/>
        <sz val="12"/>
        <color theme="1"/>
        <rFont val="Calibri"/>
        <family val="2"/>
      </rPr>
      <t>83% PF</t>
    </r>
    <r>
      <rPr>
        <sz val="12"/>
        <color theme="1"/>
        <rFont val="Calibri"/>
        <family val="2"/>
      </rPr>
      <t>, 1% C</t>
    </r>
  </si>
  <si>
    <t>Caris LeVert</t>
  </si>
  <si>
    <t>Michigan</t>
  </si>
  <si>
    <t>2016 Draft (#20 pick)</t>
  </si>
  <si>
    <r>
      <t xml:space="preserve">5% PG, </t>
    </r>
    <r>
      <rPr>
        <u/>
        <sz val="12"/>
        <color theme="1"/>
        <rFont val="Calibri"/>
        <family val="2"/>
      </rPr>
      <t>76% SG</t>
    </r>
    <r>
      <rPr>
        <sz val="12"/>
        <color theme="1"/>
        <rFont val="Calibri"/>
        <family val="2"/>
      </rPr>
      <t>, 19% SF</t>
    </r>
  </si>
  <si>
    <t>Jarrett Allen</t>
  </si>
  <si>
    <t>2017 Draft (#22 pick)</t>
  </si>
  <si>
    <t>Dzanan Musa</t>
  </si>
  <si>
    <t>Cedevita (Croatia)</t>
  </si>
  <si>
    <t>2018 Draft (#29 pick)</t>
  </si>
  <si>
    <r>
      <t xml:space="preserve">26% SF, </t>
    </r>
    <r>
      <rPr>
        <u/>
        <sz val="12"/>
        <color theme="1"/>
        <rFont val="Calibri"/>
        <family val="2"/>
      </rPr>
      <t>74% PF</t>
    </r>
  </si>
  <si>
    <t>Rodions Kurucs</t>
  </si>
  <si>
    <t>FC Barcelona (Spain)</t>
  </si>
  <si>
    <t>2018 Draft (#40 pick)</t>
  </si>
  <si>
    <t>Year 2/4 of 4 yr/$7M from 2018 offseason</t>
  </si>
  <si>
    <r>
      <rPr>
        <u/>
        <sz val="12"/>
        <color theme="1"/>
        <rFont val="Calibri"/>
        <family val="2"/>
      </rPr>
      <t>91% PF</t>
    </r>
    <r>
      <rPr>
        <sz val="12"/>
        <color theme="1"/>
        <rFont val="Calibri"/>
        <family val="2"/>
      </rPr>
      <t>, 9% C</t>
    </r>
  </si>
  <si>
    <t>DePaul</t>
  </si>
  <si>
    <r>
      <t xml:space="preserve">1% SG, 21% SF, </t>
    </r>
    <r>
      <rPr>
        <u/>
        <sz val="12"/>
        <color theme="1"/>
        <rFont val="Calibri"/>
        <family val="2"/>
      </rPr>
      <t>75% PF</t>
    </r>
    <r>
      <rPr>
        <sz val="12"/>
        <color theme="1"/>
        <rFont val="Calibri"/>
        <family val="2"/>
      </rPr>
      <t>, 3% C</t>
    </r>
  </si>
  <si>
    <t>Theo Pinston</t>
  </si>
  <si>
    <t>Year 1/2 of 2 yr/$3M from 2019 offseason</t>
  </si>
  <si>
    <r>
      <t xml:space="preserve">39% PG, </t>
    </r>
    <r>
      <rPr>
        <u/>
        <sz val="12"/>
        <color theme="1"/>
        <rFont val="Calibri"/>
        <family val="2"/>
      </rPr>
      <t>57% SG</t>
    </r>
    <r>
      <rPr>
        <sz val="12"/>
        <color theme="1"/>
        <rFont val="Calibri"/>
        <family val="2"/>
      </rPr>
      <t>, 4% SF</t>
    </r>
  </si>
  <si>
    <t>Nic Claxton</t>
  </si>
  <si>
    <t>2019 Draft (#31 pick)</t>
  </si>
  <si>
    <t>Year 1/3 of 3 yr/$4M from 2019 offseason</t>
  </si>
  <si>
    <r>
      <t xml:space="preserve">29% PF, </t>
    </r>
    <r>
      <rPr>
        <u/>
        <sz val="12"/>
        <color theme="1"/>
        <rFont val="Calibri"/>
        <family val="2"/>
      </rPr>
      <t>71% C</t>
    </r>
  </si>
  <si>
    <t>Mega Leks (Serbia)</t>
  </si>
  <si>
    <t>Signed on 2/7/20</t>
  </si>
  <si>
    <r>
      <t xml:space="preserve">1% PG, 46% SG, </t>
    </r>
    <r>
      <rPr>
        <u/>
        <sz val="12"/>
        <color theme="1"/>
        <rFont val="Calibri"/>
        <family val="2"/>
      </rPr>
      <t>52% SF</t>
    </r>
    <r>
      <rPr>
        <sz val="12"/>
        <color theme="1"/>
        <rFont val="Calibri"/>
        <family val="2"/>
      </rPr>
      <t>, 1% PF</t>
    </r>
  </si>
  <si>
    <t>Chris Chiozza</t>
  </si>
  <si>
    <t>Florida</t>
  </si>
  <si>
    <t>Signed on 1/4/20</t>
  </si>
  <si>
    <t>Jeremiah Martin</t>
  </si>
  <si>
    <t>Signed on 1/15/20</t>
  </si>
  <si>
    <r>
      <t xml:space="preserve">15% PG, </t>
    </r>
    <r>
      <rPr>
        <u/>
        <sz val="12"/>
        <color theme="1"/>
        <rFont val="Calibri"/>
        <family val="2"/>
      </rPr>
      <t>86% SG</t>
    </r>
  </si>
  <si>
    <t>2020 2nd (55) - DEN</t>
  </si>
  <si>
    <t>Jacque Vaughn</t>
  </si>
  <si>
    <t>2021 2nd from Atlanta (unprotected)</t>
  </si>
  <si>
    <t>2021 2nd from Phoenix (protected 31-35)</t>
  </si>
  <si>
    <t>2021 2nd from Toronto (unprotected)</t>
  </si>
  <si>
    <t>2021 2nd to Charlotte (for sure)</t>
  </si>
  <si>
    <t>2023 2nd to Atlanta/Philadelphia (receive least favorable own pick, Atlanta pick, and Charlotte pick)</t>
  </si>
  <si>
    <t>2025 2nd to Atlanta (unprotected)</t>
  </si>
  <si>
    <t>Kenny Atkinson / Jacque Vaughn</t>
  </si>
  <si>
    <t>Kenny Atkinson</t>
  </si>
  <si>
    <t>Lost to PHI in first round (4-1)</t>
  </si>
  <si>
    <t>Lionel Hollins / Tony Brown</t>
  </si>
  <si>
    <t>Lionel Hollins</t>
  </si>
  <si>
    <t>Jason Kidd</t>
  </si>
  <si>
    <t>Beat TOR in first round (4-3), lost to MIA in semifinals (4-2)</t>
  </si>
  <si>
    <t>Avery Johnson / PJ Carlesimo</t>
  </si>
  <si>
    <t>Lost to CHI in first round (4-3)</t>
  </si>
  <si>
    <t>Avery Johnson</t>
  </si>
  <si>
    <t>Le Mans (France)</t>
  </si>
  <si>
    <t>Traded from POR on 6/24/15</t>
  </si>
  <si>
    <t>Year 4/5 of 5 yr/$120M from 2016 offseason</t>
  </si>
  <si>
    <r>
      <rPr>
        <u/>
        <sz val="12"/>
        <color theme="1"/>
        <rFont val="Calibri (Body)"/>
      </rPr>
      <t>67% SF</t>
    </r>
    <r>
      <rPr>
        <sz val="12"/>
        <color theme="1"/>
        <rFont val="Calibri"/>
        <family val="2"/>
        <scheme val="minor"/>
      </rPr>
      <t>, 32% PF</t>
    </r>
  </si>
  <si>
    <t>Terry Rozier</t>
  </si>
  <si>
    <t>Louisville</t>
  </si>
  <si>
    <t>Signed-and-traded from BOS on 7/6/19</t>
  </si>
  <si>
    <r>
      <t xml:space="preserve">38% PG, </t>
    </r>
    <r>
      <rPr>
        <u/>
        <sz val="12"/>
        <color theme="1"/>
        <rFont val="Calibri (Body)"/>
      </rPr>
      <t>62% SG</t>
    </r>
  </si>
  <si>
    <t>Fuenlabrada (Spain)</t>
  </si>
  <si>
    <t>Traded from ORL on 7/7/18</t>
  </si>
  <si>
    <r>
      <t xml:space="preserve">3% PF, </t>
    </r>
    <r>
      <rPr>
        <u/>
        <sz val="12"/>
        <color theme="1"/>
        <rFont val="Calibri (Body)"/>
      </rPr>
      <t>97% C</t>
    </r>
  </si>
  <si>
    <t>Cody Zeller</t>
  </si>
  <si>
    <t>2013 Draft (#4 pick)</t>
  </si>
  <si>
    <t>Malik Monk</t>
  </si>
  <si>
    <t>2017 Draft (#11 pick)</t>
  </si>
  <si>
    <r>
      <t xml:space="preserve">4% PG, </t>
    </r>
    <r>
      <rPr>
        <u/>
        <sz val="12"/>
        <color theme="1"/>
        <rFont val="Calibri (Body)"/>
      </rPr>
      <t>85% SG</t>
    </r>
    <r>
      <rPr>
        <sz val="12"/>
        <color theme="1"/>
        <rFont val="Calibri"/>
        <family val="2"/>
        <scheme val="minor"/>
      </rPr>
      <t>, 12% SF</t>
    </r>
  </si>
  <si>
    <t>P.J. Washington</t>
  </si>
  <si>
    <t>2019 Draft (#12 pick)</t>
  </si>
  <si>
    <r>
      <t xml:space="preserve">6% SF, </t>
    </r>
    <r>
      <rPr>
        <u/>
        <sz val="12"/>
        <color theme="1"/>
        <rFont val="Calibri (Body)"/>
      </rPr>
      <t>85% PF</t>
    </r>
    <r>
      <rPr>
        <sz val="12"/>
        <color theme="1"/>
        <rFont val="Calibri"/>
        <family val="2"/>
        <scheme val="minor"/>
      </rPr>
      <t>, 9% C</t>
    </r>
  </si>
  <si>
    <t>Miles Bridges</t>
  </si>
  <si>
    <t>Michigan State</t>
  </si>
  <si>
    <t>2018 Draft (#12 pick)</t>
  </si>
  <si>
    <r>
      <t xml:space="preserve">3% SG, </t>
    </r>
    <r>
      <rPr>
        <u/>
        <sz val="12"/>
        <color theme="1"/>
        <rFont val="Calibri (Body)"/>
      </rPr>
      <t>72% SF</t>
    </r>
    <r>
      <rPr>
        <sz val="12"/>
        <color theme="1"/>
        <rFont val="Calibri"/>
        <family val="2"/>
        <scheme val="minor"/>
      </rPr>
      <t>, 25% PF</t>
    </r>
  </si>
  <si>
    <t>Sevilla (Spain)</t>
  </si>
  <si>
    <t>Traded from NYK on 2/7/18</t>
  </si>
  <si>
    <t>Cap Space (NYK)</t>
  </si>
  <si>
    <t>Florida State</t>
  </si>
  <si>
    <t>2017 Draft (#40 pick)</t>
  </si>
  <si>
    <t>MLE</t>
  </si>
  <si>
    <r>
      <t xml:space="preserve">3% PG, 43% SG, </t>
    </r>
    <r>
      <rPr>
        <u/>
        <sz val="12"/>
        <color theme="1"/>
        <rFont val="Calibri (Body)"/>
      </rPr>
      <t>55% SF</t>
    </r>
  </si>
  <si>
    <t>Devonte' Graham</t>
  </si>
  <si>
    <t>Kansas</t>
  </si>
  <si>
    <t>2018 Draft (#34 pick)</t>
  </si>
  <si>
    <t>Year 2/3 of 3 yr/$4M from 2018 offseason</t>
  </si>
  <si>
    <t>Cody Martin</t>
  </si>
  <si>
    <t>Nevada</t>
  </si>
  <si>
    <t>2019 Draft (#36 pick)</t>
  </si>
  <si>
    <r>
      <t xml:space="preserve">1% PG, 26% SG, </t>
    </r>
    <r>
      <rPr>
        <u/>
        <sz val="12"/>
        <color theme="1"/>
        <rFont val="Calibri (Body)"/>
      </rPr>
      <t>71% SF</t>
    </r>
    <r>
      <rPr>
        <sz val="12"/>
        <color theme="1"/>
        <rFont val="Calibri"/>
        <family val="2"/>
        <scheme val="minor"/>
      </rPr>
      <t>, 3% PF</t>
    </r>
  </si>
  <si>
    <t>Signed on 7/31/19</t>
  </si>
  <si>
    <r>
      <t xml:space="preserve">5% PG, </t>
    </r>
    <r>
      <rPr>
        <u/>
        <sz val="12"/>
        <color theme="1"/>
        <rFont val="Calibri (Body)"/>
      </rPr>
      <t>73% SG</t>
    </r>
    <r>
      <rPr>
        <sz val="12"/>
        <color theme="1"/>
        <rFont val="Calibri"/>
        <family val="2"/>
        <scheme val="minor"/>
      </rPr>
      <t>, 23% SF</t>
    </r>
  </si>
  <si>
    <t>San Diego State</t>
  </si>
  <si>
    <t>2019 Draft (#52 pick)</t>
  </si>
  <si>
    <r>
      <rPr>
        <u/>
        <sz val="12"/>
        <color theme="1"/>
        <rFont val="Calibri (Body)"/>
      </rPr>
      <t>81% PF</t>
    </r>
    <r>
      <rPr>
        <sz val="12"/>
        <color theme="1"/>
        <rFont val="Calibri"/>
        <family val="2"/>
        <scheme val="minor"/>
      </rPr>
      <t>, 19% C</t>
    </r>
  </si>
  <si>
    <t>Kobi Simmons</t>
  </si>
  <si>
    <t>Arizona</t>
  </si>
  <si>
    <t>Signed on 9/16/19</t>
  </si>
  <si>
    <t>Ray Spalding</t>
  </si>
  <si>
    <t>2020 1st (8)</t>
  </si>
  <si>
    <t>2020 2nd (32) - CLE</t>
  </si>
  <si>
    <t>2020 2nd (56) - BOS</t>
  </si>
  <si>
    <t>BAE</t>
  </si>
  <si>
    <t>James Borrego</t>
  </si>
  <si>
    <t>2021 2nd from Brooklyn (unprotected)</t>
  </si>
  <si>
    <t>2021 2nd from LA Clippers (unprotected)</t>
  </si>
  <si>
    <t>2021 2nd to New York (for sure)</t>
  </si>
  <si>
    <t>2023 2nd to Atlanta/Brooklyn/Philadelphia (for sure to one of these teams)</t>
  </si>
  <si>
    <t>10th in East</t>
  </si>
  <si>
    <t>9th in East</t>
  </si>
  <si>
    <t>Steve Clifford</t>
  </si>
  <si>
    <t>11th in East</t>
  </si>
  <si>
    <t>Lost to MIA in first round (4-3)</t>
  </si>
  <si>
    <t>Lost to MIA in first round (4-0)</t>
  </si>
  <si>
    <t>Mike Dunlap</t>
  </si>
  <si>
    <t>Paul Silas</t>
  </si>
  <si>
    <t>Larry Brown / Paul Silas</t>
  </si>
  <si>
    <t>Georgetown</t>
  </si>
  <si>
    <t>Traded from WSH on 2/6/19</t>
  </si>
  <si>
    <t>Cap Space (WSH)</t>
  </si>
  <si>
    <t>Year 3/4 of 4 yr/$107M from 2017 offseason (WSH matched BKN offer sheet)</t>
  </si>
  <si>
    <r>
      <rPr>
        <u/>
        <sz val="12"/>
        <color theme="1"/>
        <rFont val="Calibri (Body)"/>
      </rPr>
      <t>90% SF</t>
    </r>
    <r>
      <rPr>
        <sz val="12"/>
        <color theme="1"/>
        <rFont val="Calibri"/>
        <family val="2"/>
        <scheme val="minor"/>
      </rPr>
      <t>, 10% PF</t>
    </r>
  </si>
  <si>
    <t>Zach LaVine</t>
  </si>
  <si>
    <t>UCLA</t>
  </si>
  <si>
    <t>Traded from MIN on 6/22/17</t>
  </si>
  <si>
    <r>
      <t xml:space="preserve">31% SG, </t>
    </r>
    <r>
      <rPr>
        <u/>
        <sz val="12"/>
        <color theme="1"/>
        <rFont val="Calibri (Body)"/>
      </rPr>
      <t>67% SF</t>
    </r>
    <r>
      <rPr>
        <sz val="12"/>
        <color theme="1"/>
        <rFont val="Calibri"/>
        <family val="2"/>
        <scheme val="minor"/>
      </rPr>
      <t>, 2% PF</t>
    </r>
  </si>
  <si>
    <t>Georgia Tech</t>
  </si>
  <si>
    <r>
      <t xml:space="preserve">2% SF, </t>
    </r>
    <r>
      <rPr>
        <u/>
        <sz val="12"/>
        <color theme="1"/>
        <rFont val="Calibri (Body)"/>
      </rPr>
      <t>96% PF</t>
    </r>
    <r>
      <rPr>
        <sz val="12"/>
        <color theme="1"/>
        <rFont val="Calibri"/>
        <family val="2"/>
        <scheme val="minor"/>
      </rPr>
      <t>, 3% C</t>
    </r>
  </si>
  <si>
    <t>Tomas Satoransky</t>
  </si>
  <si>
    <t>Signed-and-traded from WSH on 7/6/19</t>
  </si>
  <si>
    <r>
      <rPr>
        <u/>
        <sz val="12"/>
        <color theme="1"/>
        <rFont val="Calibri (Body)"/>
      </rPr>
      <t>53% PG</t>
    </r>
    <r>
      <rPr>
        <sz val="12"/>
        <color theme="1"/>
        <rFont val="Calibri"/>
        <family val="2"/>
        <scheme val="minor"/>
      </rPr>
      <t>, 47% SG</t>
    </r>
  </si>
  <si>
    <t>Christiano Felicio</t>
  </si>
  <si>
    <t>Flamengo (Brazil)</t>
  </si>
  <si>
    <t>Signed on 7/12/15</t>
  </si>
  <si>
    <r>
      <t xml:space="preserve">8% PF, </t>
    </r>
    <r>
      <rPr>
        <u/>
        <sz val="12"/>
        <color theme="1"/>
        <rFont val="Calibri (Body)"/>
      </rPr>
      <t>92% C</t>
    </r>
  </si>
  <si>
    <t>Providence</t>
  </si>
  <si>
    <r>
      <rPr>
        <u/>
        <sz val="12"/>
        <color theme="1"/>
        <rFont val="Calibri (Body)"/>
      </rPr>
      <t>81% PG</t>
    </r>
    <r>
      <rPr>
        <sz val="12"/>
        <color theme="1"/>
        <rFont val="Calibri"/>
        <family val="2"/>
        <scheme val="minor"/>
      </rPr>
      <t>, 19% SG</t>
    </r>
  </si>
  <si>
    <t>Coby White</t>
  </si>
  <si>
    <t>2019 Draft (#7 pick)</t>
  </si>
  <si>
    <r>
      <t>12% PG,</t>
    </r>
    <r>
      <rPr>
        <u/>
        <sz val="12"/>
        <color theme="1"/>
        <rFont val="Calibri (Body)"/>
      </rPr>
      <t xml:space="preserve"> 71% SG</t>
    </r>
    <r>
      <rPr>
        <sz val="12"/>
        <color theme="1"/>
        <rFont val="Calibri"/>
        <family val="2"/>
        <scheme val="minor"/>
      </rPr>
      <t>, 17% SF</t>
    </r>
  </si>
  <si>
    <t>Lauri Markkanen</t>
  </si>
  <si>
    <t>2017 Draft (#7 pick)</t>
  </si>
  <si>
    <r>
      <rPr>
        <u/>
        <sz val="12"/>
        <color theme="1"/>
        <rFont val="Calibri (Body)"/>
      </rPr>
      <t>78% PF</t>
    </r>
    <r>
      <rPr>
        <sz val="12"/>
        <color theme="1"/>
        <rFont val="Calibri"/>
        <family val="2"/>
        <scheme val="minor"/>
      </rPr>
      <t>, 22% C</t>
    </r>
  </si>
  <si>
    <t>Wendell Carter Jr.</t>
  </si>
  <si>
    <t>2018 Draft (#7 pick)</t>
  </si>
  <si>
    <t>2016 Draft (#14 pick)</t>
  </si>
  <si>
    <r>
      <t xml:space="preserve">22% SG, </t>
    </r>
    <r>
      <rPr>
        <u/>
        <sz val="12"/>
        <color theme="1"/>
        <rFont val="Calibri (Body)"/>
      </rPr>
      <t>76% SF</t>
    </r>
    <r>
      <rPr>
        <sz val="12"/>
        <color theme="1"/>
        <rFont val="Calibri"/>
        <family val="2"/>
        <scheme val="minor"/>
      </rPr>
      <t>, 3% PF</t>
    </r>
  </si>
  <si>
    <t>Ryan Arcidiacano</t>
  </si>
  <si>
    <t>Villanova</t>
  </si>
  <si>
    <t>Signed on 7/25/17</t>
  </si>
  <si>
    <t>Chandler Hutchison</t>
  </si>
  <si>
    <t>Boise State</t>
  </si>
  <si>
    <t>2018 Draft (#22 pick)</t>
  </si>
  <si>
    <r>
      <rPr>
        <u/>
        <sz val="12"/>
        <color theme="1"/>
        <rFont val="Calibri (Body)"/>
      </rPr>
      <t>61% SF</t>
    </r>
    <r>
      <rPr>
        <sz val="12"/>
        <color theme="1"/>
        <rFont val="Calibri"/>
        <family val="2"/>
        <scheme val="minor"/>
      </rPr>
      <t>, 39% PF</t>
    </r>
  </si>
  <si>
    <t>Luke Kornet</t>
  </si>
  <si>
    <t>Vanderbilt</t>
  </si>
  <si>
    <t>Signed on 7/18/19</t>
  </si>
  <si>
    <t>Tulsa</t>
  </si>
  <si>
    <t>Signed on 10/21/18</t>
  </si>
  <si>
    <r>
      <t xml:space="preserve">11% SG, </t>
    </r>
    <r>
      <rPr>
        <u/>
        <sz val="12"/>
        <color theme="1"/>
        <rFont val="Calibri (Body)"/>
      </rPr>
      <t>69% SF</t>
    </r>
    <r>
      <rPr>
        <sz val="12"/>
        <color theme="1"/>
        <rFont val="Calibri"/>
        <family val="2"/>
        <scheme val="minor"/>
      </rPr>
      <t>, 20% PF</t>
    </r>
  </si>
  <si>
    <t>Daniel Gafford</t>
  </si>
  <si>
    <t>Arkansas</t>
  </si>
  <si>
    <t>2019 Draft (#38 pick)</t>
  </si>
  <si>
    <r>
      <t xml:space="preserve">2% PF, </t>
    </r>
    <r>
      <rPr>
        <u/>
        <sz val="12"/>
        <color theme="1"/>
        <rFont val="Calibri (Body)"/>
      </rPr>
      <t>98% C</t>
    </r>
  </si>
  <si>
    <t>Adam Mokoka</t>
  </si>
  <si>
    <t>Mega Basket (Serbia)</t>
  </si>
  <si>
    <t>Signed on 7/2/19</t>
  </si>
  <si>
    <r>
      <t xml:space="preserve">27% SG, </t>
    </r>
    <r>
      <rPr>
        <u/>
        <sz val="12"/>
        <color theme="1"/>
        <rFont val="Calibri (Body)"/>
      </rPr>
      <t>71% SF</t>
    </r>
    <r>
      <rPr>
        <sz val="12"/>
        <color theme="1"/>
        <rFont val="Calibri"/>
        <family val="2"/>
        <scheme val="minor"/>
      </rPr>
      <t>, 2% PF</t>
    </r>
  </si>
  <si>
    <t>Max Strus</t>
  </si>
  <si>
    <t>Signed on 10/22/19</t>
  </si>
  <si>
    <t>100% SG</t>
  </si>
  <si>
    <t>2020 1st (7)</t>
  </si>
  <si>
    <t>Jim Boylen</t>
  </si>
  <si>
    <t>2021 2nd from New Orleans (right to swap)</t>
  </si>
  <si>
    <t>2022 2nd from Detroit (complicated, but some unfavorable right to swap)</t>
  </si>
  <si>
    <t>2023 2nd to Washington (for sure)</t>
  </si>
  <si>
    <t>13th in East</t>
  </si>
  <si>
    <t>Fred Hoiberg / Jim Boylen</t>
  </si>
  <si>
    <t>Fred Hoiberg</t>
  </si>
  <si>
    <t>Lost to BOS in first round (4-2)</t>
  </si>
  <si>
    <t>Beat MIL in first round (4-2), lost to CLE in semifinals (4-2)</t>
  </si>
  <si>
    <t>Tom Thibodeau</t>
  </si>
  <si>
    <t>Lost to WSH in first round (4-1)</t>
  </si>
  <si>
    <t>Beat BKN in first round (4-3), lost to MIA in semifinals (4-1)</t>
  </si>
  <si>
    <t>Lost to PHI in first round (4-2)</t>
  </si>
  <si>
    <t>Beat IND in first round (4-1), beat ATL in semifinals (4-2), lost to MIA in ECF (4-1)</t>
  </si>
  <si>
    <t>Kevin Love</t>
  </si>
  <si>
    <t>Traded from MIN on 8/23/14</t>
  </si>
  <si>
    <r>
      <rPr>
        <sz val="12"/>
        <color theme="1"/>
        <rFont val="Calibri (Body)"/>
      </rPr>
      <t xml:space="preserve">5% SF, </t>
    </r>
    <r>
      <rPr>
        <u/>
        <sz val="12"/>
        <color theme="1"/>
        <rFont val="Calibri (Body)"/>
      </rPr>
      <t>94% PF</t>
    </r>
    <r>
      <rPr>
        <sz val="12"/>
        <color theme="1"/>
        <rFont val="Calibri (Body)"/>
      </rPr>
      <t>, 2% C</t>
    </r>
  </si>
  <si>
    <t>2012 Draft (#9 pick)</t>
  </si>
  <si>
    <t>Bird Rights (DET)</t>
  </si>
  <si>
    <t>Year 4/5 of 5 yr/$127M from 2016 offseason</t>
  </si>
  <si>
    <t>2011 Draft (#4 pick)</t>
  </si>
  <si>
    <r>
      <t xml:space="preserve">1% PF, </t>
    </r>
    <r>
      <rPr>
        <u/>
        <sz val="12"/>
        <color theme="1"/>
        <rFont val="Calibri (Body)"/>
      </rPr>
      <t>99% C</t>
    </r>
  </si>
  <si>
    <t>Larry Nance Jr.</t>
  </si>
  <si>
    <t>Wyoming</t>
  </si>
  <si>
    <t>Traded from LAL on 2/8/18</t>
  </si>
  <si>
    <r>
      <t xml:space="preserve">45% PF, </t>
    </r>
    <r>
      <rPr>
        <u/>
        <sz val="12"/>
        <color theme="1"/>
        <rFont val="Calibri (Body)"/>
      </rPr>
      <t>55% C</t>
    </r>
  </si>
  <si>
    <t>Saint Mary's</t>
  </si>
  <si>
    <t>Traded from MIL on 12/7/18</t>
  </si>
  <si>
    <r>
      <rPr>
        <u/>
        <sz val="12"/>
        <color theme="1"/>
        <rFont val="Calibri (Body)"/>
      </rPr>
      <t>84% PG</t>
    </r>
    <r>
      <rPr>
        <sz val="12"/>
        <color theme="1"/>
        <rFont val="Calibri"/>
        <family val="2"/>
        <scheme val="minor"/>
      </rPr>
      <t>, 14% SG, 2% SF</t>
    </r>
  </si>
  <si>
    <t>Lake Ginninderra (Australia)</t>
  </si>
  <si>
    <t>Traded from UTA on 12/24/19</t>
  </si>
  <si>
    <t>Bird Rights (UTA)</t>
  </si>
  <si>
    <t>$500,000 annual likely incentives (offseason conditioning, body fat weigh-in), $1,400,000 annual unlikely incentives (unknown)</t>
  </si>
  <si>
    <r>
      <t xml:space="preserve">4% PG, </t>
    </r>
    <r>
      <rPr>
        <u/>
        <sz val="12"/>
        <color theme="1"/>
        <rFont val="Calibri (Body)"/>
      </rPr>
      <t>77% SG</t>
    </r>
    <r>
      <rPr>
        <sz val="12"/>
        <color theme="1"/>
        <rFont val="Calibri"/>
        <family val="2"/>
        <scheme val="minor"/>
      </rPr>
      <t>, 19% SF, 1% PF</t>
    </r>
  </si>
  <si>
    <t>Darius Garland</t>
  </si>
  <si>
    <t>2019 Draft (#5 pick)</t>
  </si>
  <si>
    <t>Collin Sexton</t>
  </si>
  <si>
    <t>Alabama</t>
  </si>
  <si>
    <t>2018 Draft (#8 pick)</t>
  </si>
  <si>
    <r>
      <t xml:space="preserve">22% PG, </t>
    </r>
    <r>
      <rPr>
        <u/>
        <sz val="12"/>
        <color theme="1"/>
        <rFont val="Calibri (Body)"/>
      </rPr>
      <t>77% SG</t>
    </r>
    <r>
      <rPr>
        <sz val="12"/>
        <color theme="1"/>
        <rFont val="Calibri"/>
        <family val="2"/>
        <scheme val="minor"/>
      </rPr>
      <t>, 1% SF</t>
    </r>
  </si>
  <si>
    <t>Cedi Osman</t>
  </si>
  <si>
    <t>Anadolu Efes (Turkey)</t>
  </si>
  <si>
    <t>Signed on 7/18/17</t>
  </si>
  <si>
    <r>
      <t xml:space="preserve">4% SG, </t>
    </r>
    <r>
      <rPr>
        <u/>
        <sz val="12"/>
        <color theme="1"/>
        <rFont val="Calibri (Body)"/>
      </rPr>
      <t>87% SF</t>
    </r>
    <r>
      <rPr>
        <sz val="12"/>
        <color theme="1"/>
        <rFont val="Calibri"/>
        <family val="2"/>
        <scheme val="minor"/>
      </rPr>
      <t>, 9% PF</t>
    </r>
  </si>
  <si>
    <t>Darussafaka (Turkey)</t>
  </si>
  <si>
    <t>Traded from BOS on 8/22/17</t>
  </si>
  <si>
    <t>Dylan Windler</t>
  </si>
  <si>
    <t>Belmont</t>
  </si>
  <si>
    <t>2019 Draft (#26 pick)</t>
  </si>
  <si>
    <r>
      <t xml:space="preserve">1% SG, </t>
    </r>
    <r>
      <rPr>
        <u/>
        <sz val="12"/>
        <color theme="1"/>
        <rFont val="Calibri (Body)"/>
      </rPr>
      <t>57% SF</t>
    </r>
    <r>
      <rPr>
        <sz val="12"/>
        <color theme="1"/>
        <rFont val="Calibri"/>
        <family val="2"/>
        <scheme val="minor"/>
      </rPr>
      <t>, 42% PF</t>
    </r>
  </si>
  <si>
    <t>Rayos de Hermosillo (Mexico)</t>
  </si>
  <si>
    <t>Claimed off waivers on 10/21/19</t>
  </si>
  <si>
    <t>Year 1/4 of 4 yr/$7M from 19-20 season</t>
  </si>
  <si>
    <r>
      <t xml:space="preserve">24% SG, </t>
    </r>
    <r>
      <rPr>
        <u/>
        <sz val="12"/>
        <color theme="1"/>
        <rFont val="Calibri (Body)"/>
      </rPr>
      <t>76% SF</t>
    </r>
  </si>
  <si>
    <t>Kevin Porter Jr.</t>
  </si>
  <si>
    <t>2019 Draft (#30 pick)</t>
  </si>
  <si>
    <r>
      <rPr>
        <u/>
        <sz val="12"/>
        <color theme="1"/>
        <rFont val="Calibri (Body)"/>
      </rPr>
      <t>84% PF</t>
    </r>
    <r>
      <rPr>
        <sz val="12"/>
        <color theme="1"/>
        <rFont val="Calibri"/>
        <family val="2"/>
        <scheme val="minor"/>
      </rPr>
      <t>, 17% C</t>
    </r>
  </si>
  <si>
    <t>Dean Wade</t>
  </si>
  <si>
    <t>Kansas State</t>
  </si>
  <si>
    <t>Signed on 7/9/19</t>
  </si>
  <si>
    <r>
      <rPr>
        <u/>
        <sz val="12"/>
        <color theme="1"/>
        <rFont val="Calibri (Body)"/>
      </rPr>
      <t>84% SG</t>
    </r>
    <r>
      <rPr>
        <sz val="12"/>
        <color theme="1"/>
        <rFont val="Calibri"/>
        <family val="2"/>
        <scheme val="minor"/>
      </rPr>
      <t>, 14% SF</t>
    </r>
  </si>
  <si>
    <t>Matt Mooney</t>
  </si>
  <si>
    <t>Texas Tech</t>
  </si>
  <si>
    <t>Miami FL</t>
  </si>
  <si>
    <t>Signed on 3/8/20</t>
  </si>
  <si>
    <t>2020 1st (2)</t>
  </si>
  <si>
    <t>J.B. Bickerstaff</t>
  </si>
  <si>
    <t>2022 2nd from Houston (unprotected)</t>
  </si>
  <si>
    <t>2022 2nd from Washington (unprotected)</t>
  </si>
  <si>
    <t>2022 2nd from San Antonio (unprotected)</t>
  </si>
  <si>
    <t>2023 2nd from Golden State (will receive more favorable of own pick and GSW pick)</t>
  </si>
  <si>
    <t>2024 2nd to Utah (UTA has right to swap)</t>
  </si>
  <si>
    <t>John Beilein / JB Bickerstaff</t>
  </si>
  <si>
    <t>Tyronn Lue / Larry Drew</t>
  </si>
  <si>
    <t>Tyronn Lue</t>
  </si>
  <si>
    <t>Beat IND in first round (4-3), beat TOR in semifinals (4-0), beat BOS in ECF (4-3), lost to GSW in NBA Finals (4-0)</t>
  </si>
  <si>
    <t>Beat IND in first round (4-0), beat TOR in semifinals (4-0), beat BOS in ECF (4-1), lost to GSW in NBA Finals (4-1)</t>
  </si>
  <si>
    <t>David Blatt / Tyronn Lue</t>
  </si>
  <si>
    <t>Beat DET in first round (4-0), beat ATL in semifinals (4-0), beat TOR in ECF (4-2), beat GSW in NBA Finals (4-3)</t>
  </si>
  <si>
    <t>David Blatt</t>
  </si>
  <si>
    <t>Beat BOS in first round (4-0), beat CHI in semifinals (4-2), beat ATL in ECF (4-0), lost to GSW in NBA Finals (4-2)</t>
  </si>
  <si>
    <t>Mike Brown</t>
  </si>
  <si>
    <t>Byron Scott</t>
  </si>
  <si>
    <t>10 Year Record</t>
  </si>
  <si>
    <t>With LeBron</t>
  </si>
  <si>
    <t>Without LeBron</t>
  </si>
  <si>
    <t>Kristaps Porzingis</t>
  </si>
  <si>
    <t>Traded from NYK on 1/31/19</t>
  </si>
  <si>
    <r>
      <rPr>
        <u/>
        <sz val="12"/>
        <color theme="1"/>
        <rFont val="Calibri (Body)"/>
      </rPr>
      <t>69% PF</t>
    </r>
    <r>
      <rPr>
        <sz val="12"/>
        <color theme="1"/>
        <rFont val="Calibri"/>
        <family val="2"/>
        <scheme val="minor"/>
      </rPr>
      <t>, 31% C</t>
    </r>
  </si>
  <si>
    <t>15% trade kicker (activated)</t>
  </si>
  <si>
    <r>
      <t xml:space="preserve">45% SG, </t>
    </r>
    <r>
      <rPr>
        <u/>
        <sz val="12"/>
        <color theme="1"/>
        <rFont val="Calibri (Body)"/>
      </rPr>
      <t>54% SF</t>
    </r>
    <r>
      <rPr>
        <sz val="12"/>
        <color theme="1"/>
        <rFont val="Calibri"/>
        <family val="2"/>
        <scheme val="minor"/>
      </rPr>
      <t>, 1% PF</t>
    </r>
  </si>
  <si>
    <t>Western Kentucky</t>
  </si>
  <si>
    <r>
      <t xml:space="preserve">17% SG, </t>
    </r>
    <r>
      <rPr>
        <u/>
        <sz val="12"/>
        <color theme="1"/>
        <rFont val="Calibri (Body)"/>
      </rPr>
      <t>77% SF</t>
    </r>
    <r>
      <rPr>
        <sz val="12"/>
        <color theme="1"/>
        <rFont val="Calibri"/>
        <family val="2"/>
        <scheme val="minor"/>
      </rPr>
      <t>, 6% PF</t>
    </r>
  </si>
  <si>
    <t>Dwight Powell</t>
  </si>
  <si>
    <t>Stanford</t>
  </si>
  <si>
    <t>Traded from BOS on 12/18/14</t>
  </si>
  <si>
    <r>
      <t xml:space="preserve">30% PF, </t>
    </r>
    <r>
      <rPr>
        <u/>
        <sz val="12"/>
        <color theme="1"/>
        <rFont val="Calibri (Body)"/>
      </rPr>
      <t>70% C</t>
    </r>
  </si>
  <si>
    <t>Utah</t>
  </si>
  <si>
    <t>Signed-and-traded from MEM on 7/8/19</t>
  </si>
  <si>
    <r>
      <t xml:space="preserve">7% PG, </t>
    </r>
    <r>
      <rPr>
        <u/>
        <sz val="12"/>
        <color theme="1"/>
        <rFont val="Calibri (Body)"/>
      </rPr>
      <t>64% SG</t>
    </r>
    <r>
      <rPr>
        <sz val="12"/>
        <color theme="1"/>
        <rFont val="Calibri"/>
        <family val="2"/>
        <scheme val="minor"/>
      </rPr>
      <t>, 28% SF, 1% PF</t>
    </r>
  </si>
  <si>
    <t>Bayern Munich (Germany)</t>
  </si>
  <si>
    <t>Signed on 7/13/17</t>
  </si>
  <si>
    <t>Year 1/4 of 4 yr/$36M from 2019 offseason</t>
  </si>
  <si>
    <r>
      <t xml:space="preserve">13% PF, </t>
    </r>
    <r>
      <rPr>
        <u/>
        <sz val="12"/>
        <color theme="1"/>
        <rFont val="Calibri (Body)"/>
      </rPr>
      <t>87% C</t>
    </r>
  </si>
  <si>
    <t>Luka Doncic</t>
  </si>
  <si>
    <t>Real Madrid (Spain)</t>
  </si>
  <si>
    <t>2018 Draft (#3 pick)</t>
  </si>
  <si>
    <t>Seth Curry</t>
  </si>
  <si>
    <t>Signed on 7/10/19</t>
  </si>
  <si>
    <r>
      <t xml:space="preserve">22% PG, </t>
    </r>
    <r>
      <rPr>
        <u/>
        <sz val="12"/>
        <color theme="1"/>
        <rFont val="Calibri (Body)"/>
      </rPr>
      <t>72% SG</t>
    </r>
    <r>
      <rPr>
        <sz val="12"/>
        <color theme="1"/>
        <rFont val="Calibri"/>
        <family val="2"/>
        <scheme val="minor"/>
      </rPr>
      <t>, 6% SF</t>
    </r>
  </si>
  <si>
    <t>Dorian Finney-Smith</t>
  </si>
  <si>
    <t>Signed on 7/8/16</t>
  </si>
  <si>
    <r>
      <rPr>
        <u/>
        <sz val="12"/>
        <color theme="1"/>
        <rFont val="Calibri (Body)"/>
      </rPr>
      <t>50% SF</t>
    </r>
    <r>
      <rPr>
        <sz val="12"/>
        <color theme="1"/>
        <rFont val="Calibri"/>
        <family val="2"/>
        <scheme val="minor"/>
      </rPr>
      <t>, 48% PF, 2% C</t>
    </r>
  </si>
  <si>
    <t>Boban Marjanovic</t>
  </si>
  <si>
    <t>Crvena Zvezda (Serbia)</t>
  </si>
  <si>
    <t>Signed fon 7/23/19</t>
  </si>
  <si>
    <t>Year 1/2 of 2 yr/$7M from 2019 offseason</t>
  </si>
  <si>
    <t>Justin Jackson</t>
  </si>
  <si>
    <t>Traded from SAC on 2/6/19</t>
  </si>
  <si>
    <r>
      <t xml:space="preserve">1% SG, 41% SF, </t>
    </r>
    <r>
      <rPr>
        <u/>
        <sz val="12"/>
        <color theme="1"/>
        <rFont val="Calibri (Body)"/>
      </rPr>
      <t>56% PF</t>
    </r>
    <r>
      <rPr>
        <sz val="12"/>
        <color theme="1"/>
        <rFont val="Calibri"/>
        <family val="2"/>
        <scheme val="minor"/>
      </rPr>
      <t>, 2% C</t>
    </r>
  </si>
  <si>
    <t>Traded from GSW on 1/25/20</t>
  </si>
  <si>
    <t>MLE (GSW)</t>
  </si>
  <si>
    <t>Year 1/2 of 2 yr/$4M from 2019 offseason</t>
  </si>
  <si>
    <r>
      <t xml:space="preserve">5% PF, </t>
    </r>
    <r>
      <rPr>
        <u/>
        <sz val="12"/>
        <color theme="1"/>
        <rFont val="Calibri (Body)"/>
      </rPr>
      <t>95% C</t>
    </r>
  </si>
  <si>
    <t>Cangrejeros de Santurce</t>
  </si>
  <si>
    <t>Signed on 10/29/14</t>
  </si>
  <si>
    <t>Jalen Brunson</t>
  </si>
  <si>
    <t>2018 Draft (#33 pick)</t>
  </si>
  <si>
    <t>Year 2/4 of 4 yr/$6M from 2018 offseason</t>
  </si>
  <si>
    <r>
      <rPr>
        <u/>
        <sz val="12"/>
        <color theme="1"/>
        <rFont val="Calibri (Body)"/>
      </rPr>
      <t>96% PG</t>
    </r>
    <r>
      <rPr>
        <sz val="12"/>
        <color theme="1"/>
        <rFont val="Calibri"/>
        <family val="2"/>
        <scheme val="minor"/>
      </rPr>
      <t>, 4% SG</t>
    </r>
  </si>
  <si>
    <t>Signed on 2/11/20</t>
  </si>
  <si>
    <r>
      <t xml:space="preserve">32% SF, </t>
    </r>
    <r>
      <rPr>
        <u/>
        <sz val="12"/>
        <color theme="1"/>
        <rFont val="Calibri (Body)"/>
      </rPr>
      <t>68% PF</t>
    </r>
  </si>
  <si>
    <t>Antonius Cleveland</t>
  </si>
  <si>
    <t>Southeast Missouri State</t>
  </si>
  <si>
    <t>Signed on 7/24/19</t>
  </si>
  <si>
    <r>
      <t xml:space="preserve">12% PG, 6% SG, </t>
    </r>
    <r>
      <rPr>
        <u/>
        <sz val="12"/>
        <color theme="1"/>
        <rFont val="Calibri (Body)"/>
      </rPr>
      <t>82% SF</t>
    </r>
  </si>
  <si>
    <t>Josh Reaves</t>
  </si>
  <si>
    <t>Penn State</t>
  </si>
  <si>
    <t>Signed on 7/29/19</t>
  </si>
  <si>
    <t>2020 1st (18)</t>
  </si>
  <si>
    <t>2020 2nd (31) - GSW</t>
  </si>
  <si>
    <t>7th in West</t>
  </si>
  <si>
    <t>Rick Carlilse</t>
  </si>
  <si>
    <t>2021 1st to New York (unprotected)</t>
  </si>
  <si>
    <t>14th in West</t>
  </si>
  <si>
    <t>13th in West</t>
  </si>
  <si>
    <t>11th in West</t>
  </si>
  <si>
    <t>6th in West</t>
  </si>
  <si>
    <t>Lost to OKC in first round (4-1)</t>
  </si>
  <si>
    <t>Lost to HOU in first round (4-1)</t>
  </si>
  <si>
    <t>8th in West</t>
  </si>
  <si>
    <t>Lost to SAS in first round (4-3)</t>
  </si>
  <si>
    <t>10th in West</t>
  </si>
  <si>
    <t>Lost to OKC in first round (4-0)</t>
  </si>
  <si>
    <t>3rd in West</t>
  </si>
  <si>
    <t>Beat POR in first round (4-2), Beat LAL in semifinals (4-0), beat OKC in WCF (4-1), beat MIA in NBA Finals (4-2)</t>
  </si>
  <si>
    <t>Louisiana Tech</t>
  </si>
  <si>
    <r>
      <t xml:space="preserve">3% PF, </t>
    </r>
    <r>
      <rPr>
        <u/>
        <sz val="12"/>
        <color theme="1"/>
        <rFont val="Calibri (Body)"/>
      </rPr>
      <t>94% PF</t>
    </r>
    <r>
      <rPr>
        <sz val="12"/>
        <color theme="1"/>
        <rFont val="Calibri"/>
        <family val="2"/>
        <scheme val="minor"/>
      </rPr>
      <t>, 4% C</t>
    </r>
  </si>
  <si>
    <t>2014 Draft (#19 pick)</t>
  </si>
  <si>
    <r>
      <t xml:space="preserve">3% PG, </t>
    </r>
    <r>
      <rPr>
        <u/>
        <sz val="12"/>
        <color theme="1"/>
        <rFont val="Calibri (Body)"/>
      </rPr>
      <t>84% SG</t>
    </r>
    <r>
      <rPr>
        <sz val="12"/>
        <color theme="1"/>
        <rFont val="Calibri"/>
        <family val="2"/>
        <scheme val="minor"/>
      </rPr>
      <t>, 13% SF</t>
    </r>
  </si>
  <si>
    <t>Traded from POR on 2/13/17</t>
  </si>
  <si>
    <t>Will Barton</t>
  </si>
  <si>
    <t>Traded from POR on 2/19/15</t>
  </si>
  <si>
    <r>
      <t xml:space="preserve">28% SG, </t>
    </r>
    <r>
      <rPr>
        <u/>
        <sz val="12"/>
        <color theme="1"/>
        <rFont val="Calibri (Body)"/>
      </rPr>
      <t>71% SF</t>
    </r>
    <r>
      <rPr>
        <sz val="12"/>
        <color theme="1"/>
        <rFont val="Calibri"/>
        <family val="2"/>
        <scheme val="minor"/>
      </rPr>
      <t>, 1% PF</t>
    </r>
  </si>
  <si>
    <t>Syracuse</t>
  </si>
  <si>
    <t>Traded from OKC on 7/8/19</t>
  </si>
  <si>
    <t>Bird Rights (OKC)</t>
  </si>
  <si>
    <t>Year 2/3 of 3 yr/$27M from 2018 offseason</t>
  </si>
  <si>
    <r>
      <t xml:space="preserve">2% SG, 31% SF, </t>
    </r>
    <r>
      <rPr>
        <u/>
        <sz val="12"/>
        <color theme="1"/>
        <rFont val="Calibri (Body)"/>
      </rPr>
      <t>67% PF</t>
    </r>
    <r>
      <rPr>
        <sz val="12"/>
        <color theme="1"/>
        <rFont val="Calibri"/>
        <family val="2"/>
        <scheme val="minor"/>
      </rPr>
      <t>, 1% C</t>
    </r>
  </si>
  <si>
    <t>Jamal Murray</t>
  </si>
  <si>
    <t>2016 Draft (#7 pick)</t>
  </si>
  <si>
    <r>
      <rPr>
        <u/>
        <sz val="12"/>
        <color theme="1"/>
        <rFont val="Calibri (Body)"/>
      </rPr>
      <t>84% PG</t>
    </r>
    <r>
      <rPr>
        <sz val="12"/>
        <color theme="1"/>
        <rFont val="Calibri"/>
        <family val="2"/>
        <scheme val="minor"/>
      </rPr>
      <t>, 16% SG</t>
    </r>
  </si>
  <si>
    <t>Michael Porter Jr.</t>
  </si>
  <si>
    <t>Missouri</t>
  </si>
  <si>
    <t>2018 Draft (#14 pick)</t>
  </si>
  <si>
    <r>
      <t xml:space="preserve">3% SF, </t>
    </r>
    <r>
      <rPr>
        <u/>
        <sz val="12"/>
        <color theme="1"/>
        <rFont val="Calibri (Body)"/>
      </rPr>
      <t>84% PF</t>
    </r>
    <r>
      <rPr>
        <sz val="12"/>
        <color theme="1"/>
        <rFont val="Calibri"/>
        <family val="2"/>
        <scheme val="minor"/>
      </rPr>
      <t>, 13% C</t>
    </r>
  </si>
  <si>
    <t>Gold Coast Rollers (Australia)</t>
  </si>
  <si>
    <t>Signed on 7/19/17</t>
  </si>
  <si>
    <r>
      <t xml:space="preserve">6% SG, </t>
    </r>
    <r>
      <rPr>
        <u/>
        <sz val="12"/>
        <color theme="1"/>
        <rFont val="Calibri (Body)"/>
      </rPr>
      <t>88% SF</t>
    </r>
    <r>
      <rPr>
        <sz val="12"/>
        <color theme="1"/>
        <rFont val="Calibri"/>
        <family val="2"/>
        <scheme val="minor"/>
      </rPr>
      <t>, 6% PF</t>
    </r>
  </si>
  <si>
    <t>Traded from MIN on 2/5/20</t>
  </si>
  <si>
    <t>MLE (MIN)</t>
  </si>
  <si>
    <r>
      <rPr>
        <sz val="12"/>
        <color theme="1"/>
        <rFont val="Calibri (Body)"/>
      </rPr>
      <t xml:space="preserve">7% PF, </t>
    </r>
    <r>
      <rPr>
        <u/>
        <sz val="12"/>
        <color theme="1"/>
        <rFont val="Calibri (Body)"/>
      </rPr>
      <t>93% C</t>
    </r>
  </si>
  <si>
    <t>2017 Draft (#51 pick)</t>
  </si>
  <si>
    <t>Tax MLE</t>
  </si>
  <si>
    <t>Year 2/3 of 3 yr/$5M from 2018 offseason</t>
  </si>
  <si>
    <t>Ohio State</t>
  </si>
  <si>
    <t>Year 2/3 of 3 yr/$4M from 2019 offseason</t>
  </si>
  <si>
    <r>
      <t xml:space="preserve">1% SG, 26% SF, </t>
    </r>
    <r>
      <rPr>
        <u/>
        <sz val="12"/>
        <color theme="1"/>
        <rFont val="Calibri (Body)"/>
      </rPr>
      <t>71% PF</t>
    </r>
    <r>
      <rPr>
        <sz val="12"/>
        <color theme="1"/>
        <rFont val="Calibri"/>
        <family val="2"/>
        <scheme val="minor"/>
      </rPr>
      <t>, 2% C</t>
    </r>
  </si>
  <si>
    <t>Vlatko Cancar</t>
  </si>
  <si>
    <t>San Pablo Burgos (Spain)</t>
  </si>
  <si>
    <t>2017 Draft (#49 pick)</t>
  </si>
  <si>
    <r>
      <t xml:space="preserve">10% SG, 24% SF, </t>
    </r>
    <r>
      <rPr>
        <u/>
        <sz val="12"/>
        <color theme="1"/>
        <rFont val="Calibri (Body)"/>
      </rPr>
      <t>48% PF</t>
    </r>
    <r>
      <rPr>
        <sz val="12"/>
        <color theme="1"/>
        <rFont val="Calibri"/>
        <family val="2"/>
        <scheme val="minor"/>
      </rPr>
      <t>, 18% C</t>
    </r>
  </si>
  <si>
    <t>Signed on 3/5/20</t>
  </si>
  <si>
    <r>
      <t xml:space="preserve">37% SG, </t>
    </r>
    <r>
      <rPr>
        <u/>
        <sz val="12"/>
        <color theme="1"/>
        <rFont val="Calibri (Body)"/>
      </rPr>
      <t>61% SF</t>
    </r>
    <r>
      <rPr>
        <sz val="12"/>
        <color theme="1"/>
        <rFont val="Calibri"/>
        <family val="2"/>
        <scheme val="minor"/>
      </rPr>
      <t>, 2% PF</t>
    </r>
  </si>
  <si>
    <t>P.J. Dozier</t>
  </si>
  <si>
    <t>South Carolina</t>
  </si>
  <si>
    <t>Signed on 8/12/19</t>
  </si>
  <si>
    <r>
      <rPr>
        <u/>
        <sz val="12"/>
        <color theme="1"/>
        <rFont val="Calibri (Body)"/>
      </rPr>
      <t>57% PG</t>
    </r>
    <r>
      <rPr>
        <sz val="12"/>
        <color theme="1"/>
        <rFont val="Calibri"/>
        <family val="2"/>
        <scheme val="minor"/>
      </rPr>
      <t>, 33% SG, 11% SF</t>
    </r>
  </si>
  <si>
    <t>Bol Bol</t>
  </si>
  <si>
    <t>Oregon</t>
  </si>
  <si>
    <t>2019 Draft (#44 pick)</t>
  </si>
  <si>
    <t>Year 1/2 of two way from 2019 offseason</t>
  </si>
  <si>
    <t>Mike Malone</t>
  </si>
  <si>
    <t>2021 2nd to Philadelphia (for sure)</t>
  </si>
  <si>
    <t>2nd in West</t>
  </si>
  <si>
    <t>Beat SAS in first round (4-3), lost to POR in semifinals (4-3)</t>
  </si>
  <si>
    <t>9th in West</t>
  </si>
  <si>
    <t>12th in West</t>
  </si>
  <si>
    <t>Brian Shaw / Melvin Hunt</t>
  </si>
  <si>
    <t>Brian Shaw</t>
  </si>
  <si>
    <t>George Karl</t>
  </si>
  <si>
    <t>Lost to GSW in first round (4-2)</t>
  </si>
  <si>
    <t>Lost to LAL in first round (4-3)</t>
  </si>
  <si>
    <t>5th in West</t>
  </si>
  <si>
    <t>Blake Griffin</t>
  </si>
  <si>
    <t>Traded from LAC on 1/29/18</t>
  </si>
  <si>
    <t>Bird Rights (LAC)</t>
  </si>
  <si>
    <t>15% Trade Kicker (activated, addl. $215,000 in each of first four seasons of contract)</t>
  </si>
  <si>
    <r>
      <rPr>
        <u/>
        <sz val="12"/>
        <color theme="1"/>
        <rFont val="Calibri (Body)"/>
      </rPr>
      <t>87% PF</t>
    </r>
    <r>
      <rPr>
        <sz val="12"/>
        <color theme="1"/>
        <rFont val="Calibri"/>
        <family val="2"/>
        <scheme val="minor"/>
      </rPr>
      <t>, 13% C</t>
    </r>
  </si>
  <si>
    <t>Traded from CLE on 2/6/20</t>
  </si>
  <si>
    <t>Bird Rights (PHX)</t>
  </si>
  <si>
    <r>
      <rPr>
        <u/>
        <sz val="12"/>
        <color theme="1"/>
        <rFont val="Calibri (Body)"/>
      </rPr>
      <t>95% PG</t>
    </r>
    <r>
      <rPr>
        <sz val="12"/>
        <color theme="1"/>
        <rFont val="Calibri"/>
        <family val="2"/>
        <scheme val="minor"/>
      </rPr>
      <t>, 5% SG</t>
    </r>
  </si>
  <si>
    <t>New Mexico</t>
  </si>
  <si>
    <t>Traded from MIL on 6/20/19</t>
  </si>
  <si>
    <t>Bird Rights (MIL)</t>
  </si>
  <si>
    <t>Year 3/4 of 4 yr/$46M from 2017 offseason</t>
  </si>
  <si>
    <r>
      <t xml:space="preserve">25% SG, </t>
    </r>
    <r>
      <rPr>
        <u/>
        <sz val="12"/>
        <color theme="1"/>
        <rFont val="Calibri (Body)"/>
      </rPr>
      <t>69% SF</t>
    </r>
    <r>
      <rPr>
        <sz val="12"/>
        <color theme="1"/>
        <rFont val="Calibri"/>
        <family val="2"/>
        <scheme val="minor"/>
      </rPr>
      <t>, 6% PF</t>
    </r>
  </si>
  <si>
    <r>
      <rPr>
        <u/>
        <sz val="12"/>
        <color theme="1"/>
        <rFont val="Calibri (Body)"/>
      </rPr>
      <t>80% PF</t>
    </r>
    <r>
      <rPr>
        <sz val="12"/>
        <color theme="1"/>
        <rFont val="Calibri"/>
        <family val="2"/>
        <scheme val="minor"/>
      </rPr>
      <t>, 20% C</t>
    </r>
  </si>
  <si>
    <t>Signed on 7/6/17</t>
  </si>
  <si>
    <r>
      <t xml:space="preserve">31% PG, </t>
    </r>
    <r>
      <rPr>
        <u/>
        <sz val="12"/>
        <color theme="1"/>
        <rFont val="Calibri (Body)"/>
      </rPr>
      <t>66% SG</t>
    </r>
    <r>
      <rPr>
        <sz val="12"/>
        <color theme="1"/>
        <rFont val="Calibri"/>
        <family val="2"/>
        <scheme val="minor"/>
      </rPr>
      <t>, 3% SF</t>
    </r>
  </si>
  <si>
    <t>Derrick Rose</t>
  </si>
  <si>
    <t>Year 1/2 of 2 yr/$15M from 2019 offseason</t>
  </si>
  <si>
    <r>
      <rPr>
        <u/>
        <sz val="12"/>
        <color theme="1"/>
        <rFont val="Calibri (Body)"/>
      </rPr>
      <t>98% PG</t>
    </r>
    <r>
      <rPr>
        <sz val="12"/>
        <color theme="1"/>
        <rFont val="Calibri"/>
        <family val="2"/>
        <scheme val="minor"/>
      </rPr>
      <t>, 2% SG</t>
    </r>
  </si>
  <si>
    <t>Luke Kennard</t>
  </si>
  <si>
    <t>2017 Draft (#12 pick)</t>
  </si>
  <si>
    <r>
      <rPr>
        <u/>
        <sz val="12"/>
        <color theme="1"/>
        <rFont val="Calibri (Body)"/>
      </rPr>
      <t>53% SG</t>
    </r>
    <r>
      <rPr>
        <sz val="12"/>
        <color theme="1"/>
        <rFont val="Calibri"/>
        <family val="2"/>
        <scheme val="minor"/>
      </rPr>
      <t>, 47% SF</t>
    </r>
  </si>
  <si>
    <t>Orangeville Prep (Canada)</t>
  </si>
  <si>
    <t>Traded from MIL on 2/7/19</t>
  </si>
  <si>
    <r>
      <t xml:space="preserve">11% PF, </t>
    </r>
    <r>
      <rPr>
        <u/>
        <sz val="12"/>
        <color theme="1"/>
        <rFont val="Calibri (Body)"/>
      </rPr>
      <t>89% C</t>
    </r>
  </si>
  <si>
    <t>Sekou Doumbouya</t>
  </si>
  <si>
    <t>Limoges CSP (France)</t>
  </si>
  <si>
    <t>2019 Draft (#15 pick)</t>
  </si>
  <si>
    <r>
      <t xml:space="preserve">15% SF, </t>
    </r>
    <r>
      <rPr>
        <u/>
        <sz val="12"/>
        <color theme="1"/>
        <rFont val="Calibri (Body)"/>
      </rPr>
      <t>86% PF</t>
    </r>
  </si>
  <si>
    <t>UNLV</t>
  </si>
  <si>
    <t>Claimed off waivers on 7/17/19</t>
  </si>
  <si>
    <r>
      <t xml:space="preserve">47% PF, </t>
    </r>
    <r>
      <rPr>
        <u/>
        <sz val="12"/>
        <color theme="1"/>
        <rFont val="Calibri (Body)"/>
      </rPr>
      <t>53% C</t>
    </r>
  </si>
  <si>
    <t>Melbourne United (Australia)</t>
  </si>
  <si>
    <t>Claimed off waivers on 3/4/20</t>
  </si>
  <si>
    <r>
      <t xml:space="preserve">4% PG, </t>
    </r>
    <r>
      <rPr>
        <u/>
        <sz val="12"/>
        <color theme="1"/>
        <rFont val="Calibri (Body)"/>
      </rPr>
      <t>70% SG</t>
    </r>
    <r>
      <rPr>
        <sz val="12"/>
        <color theme="1"/>
        <rFont val="Calibri"/>
        <family val="2"/>
        <scheme val="minor"/>
      </rPr>
      <t>, 26% SF</t>
    </r>
  </si>
  <si>
    <t>Creighton</t>
  </si>
  <si>
    <t>2018 Draft (#38 pick)</t>
  </si>
  <si>
    <r>
      <t xml:space="preserve">6% PG, 23% SG, </t>
    </r>
    <r>
      <rPr>
        <u/>
        <sz val="12"/>
        <color theme="1"/>
        <rFont val="Calibri (Body)"/>
      </rPr>
      <t>71% SF</t>
    </r>
  </si>
  <si>
    <t>2018 Draft (#42 pick)</t>
  </si>
  <si>
    <r>
      <t xml:space="preserve">26% PG, </t>
    </r>
    <r>
      <rPr>
        <u/>
        <sz val="12"/>
        <color theme="1"/>
        <rFont val="Calibri (Body)"/>
      </rPr>
      <t>57% SG</t>
    </r>
    <r>
      <rPr>
        <sz val="12"/>
        <color theme="1"/>
        <rFont val="Calibri"/>
        <family val="2"/>
        <scheme val="minor"/>
      </rPr>
      <t>, 18% SF</t>
    </r>
  </si>
  <si>
    <t>Svi Mykhailiuk</t>
  </si>
  <si>
    <t>Traded from LAL on 2/6/19</t>
  </si>
  <si>
    <t>Cap Space (LAL)</t>
  </si>
  <si>
    <r>
      <t xml:space="preserve">3% SG, </t>
    </r>
    <r>
      <rPr>
        <u/>
        <sz val="12"/>
        <color theme="1"/>
        <rFont val="Calibri (Body)"/>
      </rPr>
      <t>85% SF</t>
    </r>
    <r>
      <rPr>
        <sz val="12"/>
        <color theme="1"/>
        <rFont val="Calibri"/>
        <family val="2"/>
        <scheme val="minor"/>
      </rPr>
      <t>, 11% PF</t>
    </r>
  </si>
  <si>
    <t>Louis King</t>
  </si>
  <si>
    <t>Signed on 7/4/19</t>
  </si>
  <si>
    <r>
      <t xml:space="preserve">32% SG, </t>
    </r>
    <r>
      <rPr>
        <u/>
        <sz val="12"/>
        <color theme="1"/>
        <rFont val="Calibri (Body)"/>
      </rPr>
      <t>67% SF</t>
    </r>
    <r>
      <rPr>
        <sz val="12"/>
        <color theme="1"/>
        <rFont val="Calibri"/>
        <family val="2"/>
        <scheme val="minor"/>
      </rPr>
      <t>, 1% PF</t>
    </r>
  </si>
  <si>
    <t>Jordan Bone</t>
  </si>
  <si>
    <t>2019 Draft (#57 pick)</t>
  </si>
  <si>
    <r>
      <rPr>
        <u/>
        <sz val="12"/>
        <color theme="1"/>
        <rFont val="Calibri (Body)"/>
      </rPr>
      <t>97% PG</t>
    </r>
    <r>
      <rPr>
        <sz val="12"/>
        <color theme="1"/>
        <rFont val="Calibri"/>
        <family val="2"/>
        <scheme val="minor"/>
      </rPr>
      <t>, 3% SG</t>
    </r>
  </si>
  <si>
    <t>2020 1st (5)</t>
  </si>
  <si>
    <t>Dwane Casey</t>
  </si>
  <si>
    <t>Lost to MIL in first round (4-0)</t>
  </si>
  <si>
    <t>Stan Van Gundy</t>
  </si>
  <si>
    <t>Maurice Cheeks / John Loyer</t>
  </si>
  <si>
    <t>Lawrence Frank</t>
  </si>
  <si>
    <t>John Kuester</t>
  </si>
  <si>
    <t>Stephen Curry</t>
  </si>
  <si>
    <t>Davidson</t>
  </si>
  <si>
    <t>2009 Draft (#7 pick)</t>
  </si>
  <si>
    <t>Klay Thompson</t>
  </si>
  <si>
    <t>Washington State</t>
  </si>
  <si>
    <t>2011 Draft (#11 pick)</t>
  </si>
  <si>
    <r>
      <t xml:space="preserve">7% PG, </t>
    </r>
    <r>
      <rPr>
        <u/>
        <sz val="12"/>
        <color theme="1"/>
        <rFont val="Calibri (Body)"/>
      </rPr>
      <t>80% SG</t>
    </r>
    <r>
      <rPr>
        <sz val="12"/>
        <color theme="1"/>
        <rFont val="Calibri"/>
        <family val="2"/>
        <scheme val="minor"/>
      </rPr>
      <t>, 13% SF, 1% PF</t>
    </r>
  </si>
  <si>
    <t>Andrew Wiggins</t>
  </si>
  <si>
    <t>Traded from MIN on 2/6/20</t>
  </si>
  <si>
    <t>Bird Rights (MIN)</t>
  </si>
  <si>
    <r>
      <t xml:space="preserve">17% SG, </t>
    </r>
    <r>
      <rPr>
        <u/>
        <sz val="12"/>
        <color theme="1"/>
        <rFont val="Calibri (Body)"/>
      </rPr>
      <t>80% SF</t>
    </r>
    <r>
      <rPr>
        <sz val="12"/>
        <color theme="1"/>
        <rFont val="Calibri"/>
        <family val="2"/>
        <scheme val="minor"/>
      </rPr>
      <t>, 2% PF</t>
    </r>
  </si>
  <si>
    <t>Draymond Green</t>
  </si>
  <si>
    <t>2012 Draft (#35 pick)</t>
  </si>
  <si>
    <r>
      <t xml:space="preserve">23% SF, </t>
    </r>
    <r>
      <rPr>
        <u/>
        <sz val="12"/>
        <color theme="1"/>
        <rFont val="Calibri (Body)"/>
      </rPr>
      <t>73% PF</t>
    </r>
    <r>
      <rPr>
        <sz val="12"/>
        <color theme="1"/>
        <rFont val="Calibri"/>
        <family val="2"/>
        <scheme val="minor"/>
      </rPr>
      <t>, 4% C</t>
    </r>
  </si>
  <si>
    <t>Kevon Looney</t>
  </si>
  <si>
    <t>2015 Draft (#30 pick)</t>
  </si>
  <si>
    <r>
      <t xml:space="preserve">12% PF, </t>
    </r>
    <r>
      <rPr>
        <u/>
        <sz val="12"/>
        <color theme="1"/>
        <rFont val="Calibri (Body)"/>
      </rPr>
      <t>88% C</t>
    </r>
  </si>
  <si>
    <t>Jordan Poole</t>
  </si>
  <si>
    <t>2019 Draft (#28 pick)</t>
  </si>
  <si>
    <r>
      <t xml:space="preserve">35% PG, </t>
    </r>
    <r>
      <rPr>
        <u/>
        <sz val="12"/>
        <color theme="1"/>
        <rFont val="Calibri (Body)"/>
      </rPr>
      <t>63% SG</t>
    </r>
    <r>
      <rPr>
        <sz val="12"/>
        <color theme="1"/>
        <rFont val="Calibri"/>
        <family val="2"/>
        <scheme val="minor"/>
      </rPr>
      <t>, 2% SF, 1% PF</t>
    </r>
  </si>
  <si>
    <t>Eric Paschall</t>
  </si>
  <si>
    <t>2019 Draft (#41 pick)</t>
  </si>
  <si>
    <r>
      <t xml:space="preserve">13% SF, </t>
    </r>
    <r>
      <rPr>
        <u/>
        <sz val="12"/>
        <color theme="1"/>
        <rFont val="Calibri (Body)"/>
      </rPr>
      <t>72% PF</t>
    </r>
    <r>
      <rPr>
        <sz val="12"/>
        <color theme="1"/>
        <rFont val="Calibri"/>
        <family val="2"/>
        <scheme val="minor"/>
      </rPr>
      <t>, 15% C</t>
    </r>
  </si>
  <si>
    <t>Alen Smailagic</t>
  </si>
  <si>
    <t>Santa Cruz Warriors</t>
  </si>
  <si>
    <t>2019 Draft (#39 pick)</t>
  </si>
  <si>
    <r>
      <t xml:space="preserve">15% PF, </t>
    </r>
    <r>
      <rPr>
        <u/>
        <sz val="12"/>
        <color theme="1"/>
        <rFont val="Calibri (Body)"/>
      </rPr>
      <t>85% C</t>
    </r>
  </si>
  <si>
    <t>Signed on 7/14/18</t>
  </si>
  <si>
    <t>Year 1/3 of 3 yr/$5M from 19-20 season</t>
  </si>
  <si>
    <r>
      <t xml:space="preserve">11% PG, </t>
    </r>
    <r>
      <rPr>
        <u/>
        <sz val="12"/>
        <color theme="1"/>
        <rFont val="Calibri (Body)"/>
      </rPr>
      <t>70% SG</t>
    </r>
    <r>
      <rPr>
        <sz val="12"/>
        <color theme="1"/>
        <rFont val="Calibri"/>
        <family val="2"/>
        <scheme val="minor"/>
      </rPr>
      <t>, 18% SF</t>
    </r>
  </si>
  <si>
    <t>Signed on 9/30/19</t>
  </si>
  <si>
    <t>Boston College</t>
  </si>
  <si>
    <t>Year 1/3 of 3 yr/$4M from 19-20 season</t>
  </si>
  <si>
    <t>Monterrey Royal Force (Mexico)</t>
  </si>
  <si>
    <r>
      <t>1% SG,</t>
    </r>
    <r>
      <rPr>
        <u/>
        <sz val="12"/>
        <color theme="1"/>
        <rFont val="Calibri (Body)"/>
      </rPr>
      <t xml:space="preserve"> 59% SF</t>
    </r>
    <r>
      <rPr>
        <sz val="12"/>
        <color theme="1"/>
        <rFont val="Calibri"/>
        <family val="2"/>
        <scheme val="minor"/>
      </rPr>
      <t>, 39% PF</t>
    </r>
  </si>
  <si>
    <t>Signed on 3/10/20</t>
  </si>
  <si>
    <t>Year 1/3 of 3 yr/$3M from 19-20 season</t>
  </si>
  <si>
    <r>
      <rPr>
        <u/>
        <sz val="12"/>
        <color theme="1"/>
        <rFont val="Calibri (Body)"/>
      </rPr>
      <t>87% PG</t>
    </r>
    <r>
      <rPr>
        <sz val="12"/>
        <color theme="1"/>
        <rFont val="Calibri"/>
        <family val="2"/>
        <scheme val="minor"/>
      </rPr>
      <t>, 9% SG, 3% SF</t>
    </r>
  </si>
  <si>
    <t>2020 1st (1)</t>
  </si>
  <si>
    <t>2020 2nd (48) - DAL</t>
  </si>
  <si>
    <t>Steve Kerr</t>
  </si>
  <si>
    <t>GRIII/Burks trade</t>
  </si>
  <si>
    <t>2021 1st from Minnesota (protected 1-3, unprotected in 2022)</t>
  </si>
  <si>
    <t>D'Lo/Wiggins trade</t>
  </si>
  <si>
    <t>2021 2nd from Minnesota (unprotected)</t>
  </si>
  <si>
    <t>2021 2nd from Denver (unprotected)</t>
  </si>
  <si>
    <t>2022 2nd from Toronto (unprotected)</t>
  </si>
  <si>
    <t>2021 2nd to Utah (for sure)</t>
  </si>
  <si>
    <t>Smailagic draft night</t>
  </si>
  <si>
    <t>2023 2nd to Cleveland / Detroit (for sure)</t>
  </si>
  <si>
    <t>2024 1st to Memphis (protected 1-4 in 2024, 1 in 2025, unprotected in 2026)</t>
  </si>
  <si>
    <t>Iguodala salary dump</t>
  </si>
  <si>
    <t>2024 2nd to Houston (for sure)</t>
  </si>
  <si>
    <t>Paschall draft night</t>
  </si>
  <si>
    <t>2025 2nd to Brooklyn (for sure)</t>
  </si>
  <si>
    <t>Kevin Durant sign-and-trade, was 2020 top 20 protected 1st</t>
  </si>
  <si>
    <t>2026 2nd to Atlanta (for sure)</t>
  </si>
  <si>
    <t>Spellman for Jones</t>
  </si>
  <si>
    <t>15th in West</t>
  </si>
  <si>
    <t>1st in West</t>
  </si>
  <si>
    <t>Beat LAC in first round (4-2), Beat HOU in semifinals (4-2), Beat POR in WCF (4-0), lost to TOR in NBA Finals (4-2)</t>
  </si>
  <si>
    <t>Beat SAS in first round (4-1), Beat NOP in semifinals (4-1), Beat HOU in WCF (4-3), beat CLE in NBA Finals (4-0)</t>
  </si>
  <si>
    <t>Beat POR in first round (4-0), Beat UTA in semifinals (4-0), Beat SAS in WCF (4-0), beat CLE in NBA Finals (4-1)</t>
  </si>
  <si>
    <t>Beat HOU in first round (4-1), Beat POR in semifinals (4-1), Beat OKC in WCF (4-3), lost to CLE in NBA Finals (4-3)</t>
  </si>
  <si>
    <t>Beat NOP in first round (4-0), Beat MEM in semifinals (4-2), Beat HOU in WCF (4-1), beat CLE in NBA Finals (4-2)</t>
  </si>
  <si>
    <t>Mark Jackson</t>
  </si>
  <si>
    <t>Lost to LAC in first round (4-3)</t>
  </si>
  <si>
    <t>Beat DEN in first round (4-2), Lost to SAS in semifinals (4-2)</t>
  </si>
  <si>
    <t>Keith Smart</t>
  </si>
  <si>
    <t>Steve Kerr's record (79% not including 19-20 season)</t>
  </si>
  <si>
    <t>Mark Jackson / Keith Smart</t>
  </si>
  <si>
    <t>Russell Westbrook</t>
  </si>
  <si>
    <t>Traded from OKC on 7/16/19</t>
  </si>
  <si>
    <t>15% trade kicker (voided with OKC-HOU trade)</t>
  </si>
  <si>
    <t>James Harden</t>
  </si>
  <si>
    <t>Arizona State</t>
  </si>
  <si>
    <t>Traded from OKC on 10/27/12</t>
  </si>
  <si>
    <r>
      <t xml:space="preserve">1% PG, 40% SG, </t>
    </r>
    <r>
      <rPr>
        <u/>
        <sz val="12"/>
        <color theme="1"/>
        <rFont val="Calibri (Body)"/>
      </rPr>
      <t>55% SF</t>
    </r>
    <r>
      <rPr>
        <sz val="12"/>
        <color theme="1"/>
        <rFont val="Calibri"/>
        <family val="2"/>
        <scheme val="minor"/>
      </rPr>
      <t>, 5% PF</t>
    </r>
  </si>
  <si>
    <t>Signed on 7/9/16</t>
  </si>
  <si>
    <r>
      <t xml:space="preserve">10% SG, </t>
    </r>
    <r>
      <rPr>
        <u/>
        <sz val="12"/>
        <color theme="1"/>
        <rFont val="Calibri (Body)"/>
      </rPr>
      <t>49% SG</t>
    </r>
    <r>
      <rPr>
        <sz val="12"/>
        <color theme="1"/>
        <rFont val="Calibri"/>
        <family val="2"/>
        <scheme val="minor"/>
      </rPr>
      <t>, 34% SF, 7% PF</t>
    </r>
  </si>
  <si>
    <t>Robert Covington</t>
  </si>
  <si>
    <t>Tennessee State</t>
  </si>
  <si>
    <t>Bird Rights (PHI)</t>
  </si>
  <si>
    <r>
      <t xml:space="preserve">17% PF, </t>
    </r>
    <r>
      <rPr>
        <u/>
        <sz val="12"/>
        <color theme="1"/>
        <rFont val="Calibri (Body)"/>
      </rPr>
      <t>83% C</t>
    </r>
  </si>
  <si>
    <t>PJ Tucker</t>
  </si>
  <si>
    <r>
      <t xml:space="preserve">1% SF, </t>
    </r>
    <r>
      <rPr>
        <u/>
        <sz val="12"/>
        <color theme="1"/>
        <rFont val="Calibri (Body)"/>
      </rPr>
      <t>71% PF</t>
    </r>
    <r>
      <rPr>
        <sz val="12"/>
        <color theme="1"/>
        <rFont val="Calibri"/>
        <family val="2"/>
        <scheme val="minor"/>
      </rPr>
      <t>, 28% C</t>
    </r>
  </si>
  <si>
    <t>Danuel House Jr.</t>
  </si>
  <si>
    <t>Signed on 11/26/18</t>
  </si>
  <si>
    <r>
      <t xml:space="preserve">1% SG, </t>
    </r>
    <r>
      <rPr>
        <u/>
        <sz val="12"/>
        <color theme="1"/>
        <rFont val="Calibri (Body)"/>
      </rPr>
      <t>60% SF</t>
    </r>
    <r>
      <rPr>
        <sz val="12"/>
        <color theme="1"/>
        <rFont val="Calibri"/>
        <family val="2"/>
        <scheme val="minor"/>
      </rPr>
      <t>, 38% PF, 1% C</t>
    </r>
  </si>
  <si>
    <t>Signed on 12/24/18</t>
  </si>
  <si>
    <t>One-Year Bird Restriction, can veto trade</t>
  </si>
  <si>
    <r>
      <t xml:space="preserve">16% PG, </t>
    </r>
    <r>
      <rPr>
        <u/>
        <sz val="12"/>
        <color theme="1"/>
        <rFont val="Calibri (Body)"/>
      </rPr>
      <t>59% SG</t>
    </r>
    <r>
      <rPr>
        <sz val="12"/>
        <color theme="1"/>
        <rFont val="Calibri"/>
        <family val="2"/>
        <scheme val="minor"/>
      </rPr>
      <t>, 25% SF, 1% PF</t>
    </r>
  </si>
  <si>
    <t>Signed on 7/23/19</t>
  </si>
  <si>
    <r>
      <t xml:space="preserve">44% PG, </t>
    </r>
    <r>
      <rPr>
        <u/>
        <sz val="12"/>
        <color theme="1"/>
        <rFont val="Calibri (Body)"/>
      </rPr>
      <t>55% SG</t>
    </r>
    <r>
      <rPr>
        <sz val="12"/>
        <color theme="1"/>
        <rFont val="Calibri"/>
        <family val="2"/>
        <scheme val="minor"/>
      </rPr>
      <t>, 2% SF</t>
    </r>
  </si>
  <si>
    <t>Pinheiros Basquete (Brazil)</t>
  </si>
  <si>
    <t>Traded from MEM on 2/6/20</t>
  </si>
  <si>
    <r>
      <t>10% SF,</t>
    </r>
    <r>
      <rPr>
        <u/>
        <sz val="12"/>
        <color theme="1"/>
        <rFont val="Calibri (Body)"/>
      </rPr>
      <t xml:space="preserve"> 55% PF</t>
    </r>
    <r>
      <rPr>
        <sz val="12"/>
        <color theme="1"/>
        <rFont val="Calibri"/>
        <family val="2"/>
        <scheme val="minor"/>
      </rPr>
      <t>, 36% C</t>
    </r>
  </si>
  <si>
    <t>Dominguez HS</t>
  </si>
  <si>
    <t>Signed on 7/19/19</t>
  </si>
  <si>
    <t>Pallacanestro Biella (Italy)</t>
  </si>
  <si>
    <t>Signed on 9/23/19</t>
  </si>
  <si>
    <r>
      <t xml:space="preserve">5% SF, </t>
    </r>
    <r>
      <rPr>
        <u/>
        <sz val="12"/>
        <color theme="1"/>
        <rFont val="Calibri (Body)"/>
      </rPr>
      <t>78% PF</t>
    </r>
    <r>
      <rPr>
        <sz val="12"/>
        <color theme="1"/>
        <rFont val="Calibri"/>
        <family val="2"/>
        <scheme val="minor"/>
      </rPr>
      <t>, 17% C</t>
    </r>
  </si>
  <si>
    <t>Campbell - North Carolina</t>
  </si>
  <si>
    <t>Signed on 7/3/19</t>
  </si>
  <si>
    <t>Signed on 2/20/20</t>
  </si>
  <si>
    <r>
      <rPr>
        <sz val="12"/>
        <color theme="1"/>
        <rFont val="Calibri (Body)"/>
      </rPr>
      <t xml:space="preserve">44% SF, </t>
    </r>
    <r>
      <rPr>
        <u/>
        <sz val="12"/>
        <color theme="1"/>
        <rFont val="Calibri (Body)"/>
      </rPr>
      <t>56% PF</t>
    </r>
  </si>
  <si>
    <t>Signed on 2/18/20</t>
  </si>
  <si>
    <t>Michael Frazier</t>
  </si>
  <si>
    <t>Scaligera Basket Verona (Italy)</t>
  </si>
  <si>
    <t>Signed on 4/6/19</t>
  </si>
  <si>
    <t>34% PG, 50% SG, 16% SF</t>
  </si>
  <si>
    <t>William Howard</t>
  </si>
  <si>
    <t>Signed on 12/27/19</t>
  </si>
  <si>
    <t>Mike D'Antoni</t>
  </si>
  <si>
    <t>2021 2nd from Philadelphia (right to swap)</t>
  </si>
  <si>
    <t>2024 2nd from Golden State (unprotected)</t>
  </si>
  <si>
    <t>2021 1st to Oklahoma City (Houston receives least favorable of own pick, OKC pick, and Miami pick, Houston pick protected 1-4)</t>
  </si>
  <si>
    <t>2022 2nd to Cleveland (unprotected)</t>
  </si>
  <si>
    <t>2023 2nd to Memphis (MEM has right to swap, protected 31-32)</t>
  </si>
  <si>
    <t>2024 1st to Oklahoma City (protected 1-4, if not conveyed becomes 2024 and 2025 2nds)</t>
  </si>
  <si>
    <t>2025 1st to Oklahoma City (OKC has right to swap, Houston pick protected 1-10)</t>
  </si>
  <si>
    <t>2026 1st to Oklahoma City (protected 1-4, if not conveyed becomes 2026 2nd)</t>
  </si>
  <si>
    <t>4th in West</t>
  </si>
  <si>
    <t>Beat UTA in first round (4-1), lost to GSW in semifinals (4-2)</t>
  </si>
  <si>
    <t>Beat MIN in first round (4-1), beat UTA in semifinals (4-1), lost to GSW in WCF (4-3)</t>
  </si>
  <si>
    <t>Beat OKC in first round (4-1), lost to SAS in semifinals (4-2)</t>
  </si>
  <si>
    <t>Kevin McHale / JB Bickerstaff</t>
  </si>
  <si>
    <t>Lost to GSW in first round (4-1)</t>
  </si>
  <si>
    <t>Kevin McHale</t>
  </si>
  <si>
    <t>Beat DAL in first round (4-1), beat LAC in semifinals (4-3), lost to GSW in WCF (4-1)</t>
  </si>
  <si>
    <t>Lost to POR in first round (4-2)</t>
  </si>
  <si>
    <t>Lost to OKC in first round (4-2)</t>
  </si>
  <si>
    <t>Rick Adelman</t>
  </si>
  <si>
    <t>Traded from OKC on 7/6/17</t>
  </si>
  <si>
    <t>$250,000 annual unlikely incentives (regular / postseason games played)</t>
  </si>
  <si>
    <r>
      <rPr>
        <u/>
        <sz val="12"/>
        <color theme="1"/>
        <rFont val="Calibri (Body)"/>
      </rPr>
      <t>74% SG</t>
    </r>
    <r>
      <rPr>
        <sz val="12"/>
        <color theme="1"/>
        <rFont val="Calibri"/>
        <family val="2"/>
        <scheme val="minor"/>
      </rPr>
      <t>, 26% SF</t>
    </r>
  </si>
  <si>
    <t>Malcolm Brogdon</t>
  </si>
  <si>
    <t>Signed-and-traded from MIL on 7/6/19</t>
  </si>
  <si>
    <r>
      <rPr>
        <u/>
        <sz val="12"/>
        <color theme="1"/>
        <rFont val="Calibri (Body)"/>
      </rPr>
      <t>66% PG</t>
    </r>
    <r>
      <rPr>
        <sz val="12"/>
        <color theme="1"/>
        <rFont val="Calibri"/>
        <family val="2"/>
        <scheme val="minor"/>
      </rPr>
      <t>, 34% SG, 1% SF</t>
    </r>
  </si>
  <si>
    <t>2015 Draft (#11 pick)</t>
  </si>
  <si>
    <t>$500,000 annual likely incentives, $2,000,000 annual unlikely incentives</t>
  </si>
  <si>
    <t>T.J. Warren</t>
  </si>
  <si>
    <t>NC State</t>
  </si>
  <si>
    <t>Traded from PHX on 7/6/19</t>
  </si>
  <si>
    <r>
      <t xml:space="preserve">1% SG, </t>
    </r>
    <r>
      <rPr>
        <u/>
        <sz val="12"/>
        <color theme="1"/>
        <rFont val="Calibri (Body)"/>
      </rPr>
      <t>64% SF</t>
    </r>
    <r>
      <rPr>
        <sz val="12"/>
        <color theme="1"/>
        <rFont val="Calibri"/>
        <family val="2"/>
        <scheme val="minor"/>
      </rPr>
      <t>, 34% PF, 1% C</t>
    </r>
  </si>
  <si>
    <t>Jeremy Lamb</t>
  </si>
  <si>
    <r>
      <rPr>
        <u/>
        <sz val="12"/>
        <color theme="1"/>
        <rFont val="Calibri (Body)"/>
      </rPr>
      <t>95% SG</t>
    </r>
    <r>
      <rPr>
        <sz val="12"/>
        <color theme="1"/>
        <rFont val="Calibri"/>
        <family val="2"/>
        <scheme val="minor"/>
      </rPr>
      <t>, 5% SF</t>
    </r>
  </si>
  <si>
    <t>Doug McDermott</t>
  </si>
  <si>
    <t>Signed on 7/6/18</t>
  </si>
  <si>
    <r>
      <t xml:space="preserve">13% SF, </t>
    </r>
    <r>
      <rPr>
        <u/>
        <sz val="12"/>
        <color theme="1"/>
        <rFont val="Calibri (Body)"/>
      </rPr>
      <t>87% PF</t>
    </r>
    <r>
      <rPr>
        <sz val="12"/>
        <color theme="1"/>
        <rFont val="Calibri"/>
        <family val="2"/>
        <scheme val="minor"/>
      </rPr>
      <t>, 1% C</t>
    </r>
  </si>
  <si>
    <t>Szolnoki Olaj (Hungary)</t>
  </si>
  <si>
    <r>
      <t xml:space="preserve">22% SG, </t>
    </r>
    <r>
      <rPr>
        <u/>
        <sz val="12"/>
        <color theme="1"/>
        <rFont val="Calibri (Body)"/>
      </rPr>
      <t>76% SF</t>
    </r>
    <r>
      <rPr>
        <sz val="12"/>
        <color theme="1"/>
        <rFont val="Calibri"/>
        <family val="2"/>
        <scheme val="minor"/>
      </rPr>
      <t>, 2% PF</t>
    </r>
  </si>
  <si>
    <t>Gonzaga</t>
  </si>
  <si>
    <t>$1,300,000 annual likely incentives (All-Star), $1,300,000 annual unlikely incentives (All-NBA)</t>
  </si>
  <si>
    <r>
      <rPr>
        <u/>
        <sz val="12"/>
        <color theme="1"/>
        <rFont val="Calibri (Body)"/>
      </rPr>
      <t>53% PF</t>
    </r>
    <r>
      <rPr>
        <sz val="12"/>
        <color theme="1"/>
        <rFont val="Calibri"/>
        <family val="2"/>
        <scheme val="minor"/>
      </rPr>
      <t>, 47% C</t>
    </r>
  </si>
  <si>
    <r>
      <rPr>
        <u/>
        <sz val="12"/>
        <color theme="1"/>
        <rFont val="Calibri (Body)"/>
      </rPr>
      <t>60% PG</t>
    </r>
    <r>
      <rPr>
        <sz val="12"/>
        <color theme="1"/>
        <rFont val="Calibri"/>
        <family val="2"/>
        <scheme val="minor"/>
      </rPr>
      <t>, 40% SG</t>
    </r>
  </si>
  <si>
    <t>Goga Bitadze</t>
  </si>
  <si>
    <t>Buducnost (Montenegro)</t>
  </si>
  <si>
    <t>2019 Draft (#18 pick)</t>
  </si>
  <si>
    <t>Year 1/4 of 4 yr/$14M from 2019 offseason</t>
  </si>
  <si>
    <t>T.J. Leaf</t>
  </si>
  <si>
    <t>2017 Draft (#18 pick)</t>
  </si>
  <si>
    <r>
      <rPr>
        <u/>
        <sz val="12"/>
        <color theme="1"/>
        <rFont val="Calibri (Body)"/>
      </rPr>
      <t>61% PF</t>
    </r>
    <r>
      <rPr>
        <sz val="12"/>
        <color theme="1"/>
        <rFont val="Calibri"/>
        <family val="2"/>
        <scheme val="minor"/>
      </rPr>
      <t>, 39% C</t>
    </r>
  </si>
  <si>
    <t>Aaron Holiday</t>
  </si>
  <si>
    <t>2018 Draft (#23 pick)</t>
  </si>
  <si>
    <t>Edmond Sumner</t>
  </si>
  <si>
    <t>Xavier</t>
  </si>
  <si>
    <t>Signed on 7/15/17</t>
  </si>
  <si>
    <r>
      <t xml:space="preserve">19% PG, </t>
    </r>
    <r>
      <rPr>
        <u/>
        <sz val="12"/>
        <color theme="1"/>
        <rFont val="Calibri (Body)"/>
      </rPr>
      <t>80% SG</t>
    </r>
    <r>
      <rPr>
        <sz val="12"/>
        <color theme="1"/>
        <rFont val="Calibri"/>
        <family val="2"/>
        <scheme val="minor"/>
      </rPr>
      <t>, 1% SF</t>
    </r>
  </si>
  <si>
    <t>St. John's</t>
  </si>
  <si>
    <t>Signed on 8/2/19</t>
  </si>
  <si>
    <r>
      <rPr>
        <u/>
        <sz val="12"/>
        <color theme="1"/>
        <rFont val="Calibri (Body)"/>
      </rPr>
      <t>78% SF</t>
    </r>
    <r>
      <rPr>
        <sz val="12"/>
        <color theme="1"/>
        <rFont val="Calibri"/>
        <family val="2"/>
        <scheme val="minor"/>
      </rPr>
      <t>, 21% PF, 1% C</t>
    </r>
  </si>
  <si>
    <t>Missouri State</t>
  </si>
  <si>
    <t>2018 Draft (#50 pick)</t>
  </si>
  <si>
    <r>
      <t xml:space="preserve">15% SG, </t>
    </r>
    <r>
      <rPr>
        <u/>
        <sz val="12"/>
        <color theme="1"/>
        <rFont val="Calibri (Body)"/>
      </rPr>
      <t>78% SF</t>
    </r>
    <r>
      <rPr>
        <sz val="12"/>
        <color theme="1"/>
        <rFont val="Calibri"/>
        <family val="2"/>
        <scheme val="minor"/>
      </rPr>
      <t>, 8% PF</t>
    </r>
  </si>
  <si>
    <t>Brian Bowen II</t>
  </si>
  <si>
    <t>La Lumiere - Indiana</t>
  </si>
  <si>
    <t>Signed on 7/1/19</t>
  </si>
  <si>
    <t>Naz Mitrou-Long</t>
  </si>
  <si>
    <t>Nate McMillan</t>
  </si>
  <si>
    <t>2025 2nd to Milwaukee (for sure)</t>
  </si>
  <si>
    <t>Lost to BOS in first round (4-0)</t>
  </si>
  <si>
    <t>Lost to CLE in first round (4-3)</t>
  </si>
  <si>
    <t>Frank Vogel</t>
  </si>
  <si>
    <t>Lost to TOR in first round (4-3)</t>
  </si>
  <si>
    <t>Beat ATL in first round (4-3), Beat WSH in second round (4-2), lost to MIA in ECF (4-2)</t>
  </si>
  <si>
    <t>Beat ATL in first round (4-2), Beat NYK in second round (4-2), lost to MIA in ECF (4-3)</t>
  </si>
  <si>
    <t>Beat ORL in first round (4-1), lost to MIA in second round (4-2)</t>
  </si>
  <si>
    <t>Jim O'Brien / Frank Vogel</t>
  </si>
  <si>
    <t>Lost to CHI in first round (4-1)</t>
  </si>
  <si>
    <t>Paul George</t>
  </si>
  <si>
    <t>Fresno State</t>
  </si>
  <si>
    <t>Traded from OKC on 7/10/19</t>
  </si>
  <si>
    <r>
      <t xml:space="preserve">1% SG, 46% SF, </t>
    </r>
    <r>
      <rPr>
        <u/>
        <sz val="12"/>
        <color theme="1"/>
        <rFont val="Calibri (Body)"/>
      </rPr>
      <t>54% PF</t>
    </r>
  </si>
  <si>
    <t>Kawhi Leonard</t>
  </si>
  <si>
    <r>
      <t xml:space="preserve">18% SG, </t>
    </r>
    <r>
      <rPr>
        <u/>
        <sz val="12"/>
        <color theme="1"/>
        <rFont val="Calibri (Body)"/>
      </rPr>
      <t>63% SF</t>
    </r>
    <r>
      <rPr>
        <sz val="12"/>
        <color theme="1"/>
        <rFont val="Calibri"/>
        <family val="2"/>
        <scheme val="minor"/>
      </rPr>
      <t>, 19% PF</t>
    </r>
  </si>
  <si>
    <t>Traded from NYK on 2/6/20</t>
  </si>
  <si>
    <r>
      <rPr>
        <u/>
        <sz val="12"/>
        <color theme="1"/>
        <rFont val="Calibri (Body)"/>
      </rPr>
      <t>96% PF</t>
    </r>
    <r>
      <rPr>
        <sz val="12"/>
        <color theme="1"/>
        <rFont val="Calibri"/>
        <family val="2"/>
        <scheme val="minor"/>
      </rPr>
      <t>, 4% C</t>
    </r>
  </si>
  <si>
    <t>Patrick Beverley</t>
  </si>
  <si>
    <t>Spartak St. Petersburg (Russia)</t>
  </si>
  <si>
    <t>Traded from HOU on 6/28/17</t>
  </si>
  <si>
    <r>
      <rPr>
        <u/>
        <sz val="12"/>
        <color theme="1"/>
        <rFont val="Calibri (Body)"/>
      </rPr>
      <t>99% PG</t>
    </r>
    <r>
      <rPr>
        <sz val="12"/>
        <color theme="1"/>
        <rFont val="Calibri"/>
        <family val="2"/>
        <scheme val="minor"/>
      </rPr>
      <t>, 1% SG</t>
    </r>
  </si>
  <si>
    <t>Lou Williams</t>
  </si>
  <si>
    <t>South Gwinett HS</t>
  </si>
  <si>
    <r>
      <rPr>
        <u/>
        <sz val="12"/>
        <color theme="1"/>
        <rFont val="Calibri (Body)"/>
      </rPr>
      <t>61% PG</t>
    </r>
    <r>
      <rPr>
        <sz val="12"/>
        <color theme="1"/>
        <rFont val="Calibri"/>
        <family val="2"/>
        <scheme val="minor"/>
      </rPr>
      <t>, 38% SG, 1% SF</t>
    </r>
  </si>
  <si>
    <t>Ivica Zubac</t>
  </si>
  <si>
    <t>Traded from LAL on 2/7/19</t>
  </si>
  <si>
    <t>Rodney McGruder</t>
  </si>
  <si>
    <t>Atomeromu (Hungary)</t>
  </si>
  <si>
    <t>Claimed off waivers on 4/9/19</t>
  </si>
  <si>
    <r>
      <t xml:space="preserve">6% PG, 41% SG, </t>
    </r>
    <r>
      <rPr>
        <u/>
        <sz val="12"/>
        <color theme="1"/>
        <rFont val="Calibri (Body)"/>
      </rPr>
      <t>52% SF,</t>
    </r>
    <r>
      <rPr>
        <sz val="12"/>
        <color theme="1"/>
        <rFont val="Calibri"/>
        <family val="2"/>
        <scheme val="minor"/>
      </rPr>
      <t xml:space="preserve"> 1% PF</t>
    </r>
  </si>
  <si>
    <t>Chorale Roanne (France)</t>
  </si>
  <si>
    <t>Traded from MEM on 2/7/19</t>
  </si>
  <si>
    <r>
      <t xml:space="preserve">2% SF, </t>
    </r>
    <r>
      <rPr>
        <u/>
        <sz val="12"/>
        <color theme="1"/>
        <rFont val="Calibri (Body)"/>
      </rPr>
      <t>95% PF</t>
    </r>
    <r>
      <rPr>
        <sz val="12"/>
        <color theme="1"/>
        <rFont val="Calibri"/>
        <family val="2"/>
        <scheme val="minor"/>
      </rPr>
      <t>, 3% C</t>
    </r>
  </si>
  <si>
    <t>Landry Shamet</t>
  </si>
  <si>
    <t>Wichita State</t>
  </si>
  <si>
    <t>Traded from PHI on 2/6/19</t>
  </si>
  <si>
    <t>Rookie Scale (PHI)</t>
  </si>
  <si>
    <r>
      <t xml:space="preserve">16% PG, </t>
    </r>
    <r>
      <rPr>
        <u/>
        <sz val="12"/>
        <color theme="1"/>
        <rFont val="Calibri (Body)"/>
      </rPr>
      <t>67% SG</t>
    </r>
    <r>
      <rPr>
        <sz val="12"/>
        <color theme="1"/>
        <rFont val="Calibri"/>
        <family val="2"/>
        <scheme val="minor"/>
      </rPr>
      <t>, 17% SF</t>
    </r>
  </si>
  <si>
    <t>Mfiondu Kabengele</t>
  </si>
  <si>
    <t>2019 Draft (#27 pick)</t>
  </si>
  <si>
    <r>
      <t>15% PF,</t>
    </r>
    <r>
      <rPr>
        <u/>
        <sz val="12"/>
        <color theme="1"/>
        <rFont val="Calibri (Body)"/>
      </rPr>
      <t xml:space="preserve"> 86% C</t>
    </r>
  </si>
  <si>
    <t>Signed on 8/15/19</t>
  </si>
  <si>
    <t>Terance Mann</t>
  </si>
  <si>
    <t>2019 Draft (#48 pick)</t>
  </si>
  <si>
    <r>
      <t xml:space="preserve">5% PG, 36% SG, </t>
    </r>
    <r>
      <rPr>
        <u/>
        <sz val="12"/>
        <color theme="1"/>
        <rFont val="Calibri (Body)"/>
      </rPr>
      <t>58% SF</t>
    </r>
    <r>
      <rPr>
        <sz val="12"/>
        <color theme="1"/>
        <rFont val="Calibri"/>
        <family val="2"/>
        <scheme val="minor"/>
      </rPr>
      <t>, 1% PF</t>
    </r>
  </si>
  <si>
    <t>Amir Coffey</t>
  </si>
  <si>
    <t>Minnesota</t>
  </si>
  <si>
    <r>
      <t xml:space="preserve">17% SG, </t>
    </r>
    <r>
      <rPr>
        <u/>
        <sz val="12"/>
        <color theme="1"/>
        <rFont val="Calibri (Body)"/>
      </rPr>
      <t>76% SF</t>
    </r>
    <r>
      <rPr>
        <sz val="12"/>
        <color theme="1"/>
        <rFont val="Calibri"/>
        <family val="2"/>
        <scheme val="minor"/>
      </rPr>
      <t>, 7% PF</t>
    </r>
  </si>
  <si>
    <t>Johnathan Motley</t>
  </si>
  <si>
    <t>Traded from DAL on 7/23/18</t>
  </si>
  <si>
    <r>
      <t xml:space="preserve">7% SF, </t>
    </r>
    <r>
      <rPr>
        <u/>
        <sz val="12"/>
        <color theme="1"/>
        <rFont val="Calibri (Body)"/>
      </rPr>
      <t>76% PF</t>
    </r>
    <r>
      <rPr>
        <sz val="12"/>
        <color theme="1"/>
        <rFont val="Calibri"/>
        <family val="2"/>
        <scheme val="minor"/>
      </rPr>
      <t>, 17% C</t>
    </r>
  </si>
  <si>
    <t>Joakim Noah</t>
  </si>
  <si>
    <t>2020 2nd (57)</t>
  </si>
  <si>
    <t>2022 2nd from Atlanta (protected 31-55)</t>
  </si>
  <si>
    <t>2023 2nd from Detroit (unprotected)</t>
  </si>
  <si>
    <t>2021 1st to New York (NYK has right to swap, LAC pick protected 1-4, because of course NYK will be better than LAC lol)</t>
  </si>
  <si>
    <t>2022 1st to Oklahoma City (unprotected)</t>
  </si>
  <si>
    <t>2023 1st to Oklahoma City (right to swap picks)</t>
  </si>
  <si>
    <t>2024 1st to Oklahoma City (unprotected)</t>
  </si>
  <si>
    <t>2025 1st to Oklahoma City (right to swap picks)</t>
  </si>
  <si>
    <t>2026 1st to Oklahoma City (unprotected)</t>
  </si>
  <si>
    <t>Vinny Del Negro</t>
  </si>
  <si>
    <t>LeBron James</t>
  </si>
  <si>
    <t>St. Vincent-St. Mary's HS</t>
  </si>
  <si>
    <t>Signed on 7/9/18</t>
  </si>
  <si>
    <t>Year 2/4 of 4 yr/$153M from 2018 offseason</t>
  </si>
  <si>
    <r>
      <rPr>
        <u/>
        <sz val="12"/>
        <color theme="1"/>
        <rFont val="Calibri (Body)"/>
      </rPr>
      <t>57% PG</t>
    </r>
    <r>
      <rPr>
        <sz val="12"/>
        <color theme="1"/>
        <rFont val="Calibri"/>
        <family val="2"/>
        <scheme val="minor"/>
      </rPr>
      <t>, 36% SG, 7% SF</t>
    </r>
  </si>
  <si>
    <t>Traded from NOP on 7/6/19</t>
  </si>
  <si>
    <t>Bird Rights (NOP)</t>
  </si>
  <si>
    <t>Year 4/5 of 5 yr/$127M from 2015 offseason (extension)</t>
  </si>
  <si>
    <r>
      <rPr>
        <u/>
        <sz val="12"/>
        <color theme="1"/>
        <rFont val="Calibri (Body)"/>
      </rPr>
      <t>62% PF</t>
    </r>
    <r>
      <rPr>
        <sz val="12"/>
        <color theme="1"/>
        <rFont val="Calibri"/>
        <family val="2"/>
        <scheme val="minor"/>
      </rPr>
      <t>, 38% C</t>
    </r>
  </si>
  <si>
    <t>Danny Green</t>
  </si>
  <si>
    <t>Year 1/2 of 2 yr/$30M from 2019 offseason</t>
  </si>
  <si>
    <r>
      <rPr>
        <u/>
        <sz val="12"/>
        <color theme="1"/>
        <rFont val="Calibri (Body)"/>
      </rPr>
      <t>86% SF</t>
    </r>
    <r>
      <rPr>
        <sz val="12"/>
        <color theme="1"/>
        <rFont val="Calibri"/>
        <family val="2"/>
        <scheme val="minor"/>
      </rPr>
      <t>, 13% PF</t>
    </r>
  </si>
  <si>
    <t>Year 1/2 of 2 yr/$17M from 2019 offseason</t>
  </si>
  <si>
    <t>One-year bird restriction (can block trade), 15% trade kicker, 15% unlikely incentives ($1,213,392)</t>
  </si>
  <si>
    <r>
      <t xml:space="preserve">33% SG, </t>
    </r>
    <r>
      <rPr>
        <u/>
        <sz val="12"/>
        <color theme="1"/>
        <rFont val="Calibri (Body)"/>
      </rPr>
      <t>60% SF</t>
    </r>
    <r>
      <rPr>
        <sz val="12"/>
        <color theme="1"/>
        <rFont val="Calibri"/>
        <family val="2"/>
        <scheme val="minor"/>
      </rPr>
      <t>, 7% PF</t>
    </r>
  </si>
  <si>
    <r>
      <rPr>
        <u/>
        <sz val="12"/>
        <color theme="1"/>
        <rFont val="Calibri (Body)"/>
      </rPr>
      <t>85% SG</t>
    </r>
    <r>
      <rPr>
        <sz val="12"/>
        <color theme="1"/>
        <rFont val="Calibri"/>
        <family val="2"/>
        <scheme val="minor"/>
      </rPr>
      <t>, 14% SF, 1% PF</t>
    </r>
  </si>
  <si>
    <t>JaVale McGee</t>
  </si>
  <si>
    <t>Signed on 7/10/18</t>
  </si>
  <si>
    <t>Year 1/2 of 2 yr/$8M from 2019 offseason</t>
  </si>
  <si>
    <t>Signed fon 7/6/19</t>
  </si>
  <si>
    <t>Year 1/2 of 2 yr/$6M from 2019 offseason</t>
  </si>
  <si>
    <t>Alex Caruso</t>
  </si>
  <si>
    <r>
      <t xml:space="preserve">48% PG, </t>
    </r>
    <r>
      <rPr>
        <u/>
        <sz val="12"/>
        <color theme="1"/>
        <rFont val="Calibri (Body)"/>
      </rPr>
      <t>51% SG</t>
    </r>
    <r>
      <rPr>
        <sz val="12"/>
        <color theme="1"/>
        <rFont val="Calibri"/>
        <family val="2"/>
        <scheme val="minor"/>
      </rPr>
      <t>, 1% SF</t>
    </r>
  </si>
  <si>
    <t>Kyle Kuzma</t>
  </si>
  <si>
    <t>2017 Draft (#27 pick)</t>
  </si>
  <si>
    <t>Rookie</t>
  </si>
  <si>
    <t>Year 3/4 of 4 yr/$9M from 2017 offseason</t>
  </si>
  <si>
    <r>
      <t xml:space="preserve">7% SF, </t>
    </r>
    <r>
      <rPr>
        <u/>
        <sz val="12"/>
        <color theme="1"/>
        <rFont val="Calibri (Body)"/>
      </rPr>
      <t>89% PF,</t>
    </r>
    <r>
      <rPr>
        <sz val="12"/>
        <color theme="1"/>
        <rFont val="Calibri"/>
        <family val="2"/>
        <scheme val="minor"/>
      </rPr>
      <t xml:space="preserve"> 4% C</t>
    </r>
  </si>
  <si>
    <t>Signed on 2/23/20</t>
  </si>
  <si>
    <r>
      <t xml:space="preserve">1% SF, </t>
    </r>
    <r>
      <rPr>
        <u/>
        <sz val="12"/>
        <color theme="1"/>
        <rFont val="Calibri (Body)"/>
      </rPr>
      <t>78% PF</t>
    </r>
    <r>
      <rPr>
        <sz val="12"/>
        <color theme="1"/>
        <rFont val="Calibri"/>
        <family val="2"/>
        <scheme val="minor"/>
      </rPr>
      <t>, 22% C</t>
    </r>
  </si>
  <si>
    <r>
      <t xml:space="preserve">16% SF, </t>
    </r>
    <r>
      <rPr>
        <u/>
        <sz val="12"/>
        <color theme="1"/>
        <rFont val="Calibri (Body)"/>
      </rPr>
      <t>80% PF</t>
    </r>
    <r>
      <rPr>
        <sz val="12"/>
        <color theme="1"/>
        <rFont val="Calibri"/>
        <family val="2"/>
        <scheme val="minor"/>
      </rPr>
      <t>, 4% C</t>
    </r>
  </si>
  <si>
    <t>SW Atlanta Christian Academy HS</t>
  </si>
  <si>
    <t>Signed on 8/26/19</t>
  </si>
  <si>
    <t>Talen Horton-Tucker</t>
  </si>
  <si>
    <t>2019 Draft (#46 pick)</t>
  </si>
  <si>
    <t>Signed on 3/6/20</t>
  </si>
  <si>
    <t>Devontae Cacok</t>
  </si>
  <si>
    <t>UNC Wilmington</t>
  </si>
  <si>
    <t>Signed on 12/11/19</t>
  </si>
  <si>
    <t>Year 1/2 of two way from 19-20 season</t>
  </si>
  <si>
    <t>Kostas Antetokounmpo</t>
  </si>
  <si>
    <t>Claimed off waivers on 7/21/19</t>
  </si>
  <si>
    <t>2020 1st (29)</t>
  </si>
  <si>
    <t>None</t>
  </si>
  <si>
    <t>2021 1st to New Orleans (protected 8-30 in 2021, unprotected in 2022)</t>
  </si>
  <si>
    <t>2021 2nd to Detroit (for sure)</t>
  </si>
  <si>
    <t>2022 2nd to Washington/Chicago (for sure to one of these teams)</t>
  </si>
  <si>
    <t>2023 1st to New Orleans (NOP has right to swap, unprotected)</t>
  </si>
  <si>
    <t>2024 1st to New Orleans (unprotected, NOP has right to defer to 2025)</t>
  </si>
  <si>
    <t>Luke Walton</t>
  </si>
  <si>
    <t>Mike Brown, Bernie Bickerstaff, Mike D'Antoni</t>
  </si>
  <si>
    <t>Lost to SAS in first round (4-0)</t>
  </si>
  <si>
    <t>Beat DEN in first round (4-3), Lost to OKC in second round (4-1)</t>
  </si>
  <si>
    <t>Phil Jackson</t>
  </si>
  <si>
    <t>Beat NOP in first round (4-2), Lost to DAL in second round (4-0)</t>
  </si>
  <si>
    <t>Gorgui Dieng</t>
  </si>
  <si>
    <r>
      <t xml:space="preserve">16% PF, </t>
    </r>
    <r>
      <rPr>
        <u/>
        <sz val="12"/>
        <color theme="1"/>
        <rFont val="Calibri (Body)"/>
      </rPr>
      <t>84% C</t>
    </r>
  </si>
  <si>
    <t>Jonas Valanciunas</t>
  </si>
  <si>
    <t>BC Rytas (Lithuania)</t>
  </si>
  <si>
    <t>Traded from TOR on 2/7/19</t>
  </si>
  <si>
    <t>Justise Winslow</t>
  </si>
  <si>
    <t>Traded from MIA on 2/6/20</t>
  </si>
  <si>
    <t>Bird Rights (MIA)</t>
  </si>
  <si>
    <r>
      <t>5% PG, 24% SG,</t>
    </r>
    <r>
      <rPr>
        <u/>
        <sz val="12"/>
        <color theme="1"/>
        <rFont val="Calibri (Body)"/>
      </rPr>
      <t xml:space="preserve"> 58% SF</t>
    </r>
    <r>
      <rPr>
        <sz val="12"/>
        <color theme="1"/>
        <rFont val="Calibri (Body)"/>
      </rPr>
      <t>, 13% PF</t>
    </r>
  </si>
  <si>
    <t>Signed from MIN on 7/11/19</t>
  </si>
  <si>
    <t>$850,000 annual likely incentives</t>
  </si>
  <si>
    <t>Kyle Anderson</t>
  </si>
  <si>
    <t>Signed from SAS on 7/6/18</t>
  </si>
  <si>
    <r>
      <t xml:space="preserve">14% SF, </t>
    </r>
    <r>
      <rPr>
        <u/>
        <sz val="12"/>
        <color theme="1"/>
        <rFont val="Calibri (Body)"/>
      </rPr>
      <t>62% PF</t>
    </r>
    <r>
      <rPr>
        <sz val="12"/>
        <color theme="1"/>
        <rFont val="Calibri (Body)"/>
      </rPr>
      <t>, 24% C</t>
    </r>
  </si>
  <si>
    <t>Ja Morant</t>
  </si>
  <si>
    <t>Murray State</t>
  </si>
  <si>
    <t>2019 Draft (#2 pick)</t>
  </si>
  <si>
    <r>
      <rPr>
        <u/>
        <sz val="12"/>
        <color theme="1"/>
        <rFont val="Calibri (Body)"/>
      </rPr>
      <t>96% PG</t>
    </r>
    <r>
      <rPr>
        <sz val="12"/>
        <color theme="1"/>
        <rFont val="Calibri (Body)"/>
      </rPr>
      <t>, 5% SG</t>
    </r>
  </si>
  <si>
    <t>Traded from PHX on 7/7/19</t>
  </si>
  <si>
    <r>
      <t>1% SG,</t>
    </r>
    <r>
      <rPr>
        <u/>
        <sz val="12"/>
        <color theme="1"/>
        <rFont val="Calibri (Body)"/>
      </rPr>
      <t xml:space="preserve"> 80% SF</t>
    </r>
    <r>
      <rPr>
        <sz val="12"/>
        <color theme="1"/>
        <rFont val="Calibri (Body)"/>
      </rPr>
      <t>, 18% PF</t>
    </r>
  </si>
  <si>
    <t>Jaren Jackson Jr.</t>
  </si>
  <si>
    <t>2018 Draft (#4 pick)</t>
  </si>
  <si>
    <r>
      <t xml:space="preserve">46% PF, </t>
    </r>
    <r>
      <rPr>
        <u/>
        <sz val="12"/>
        <color theme="1"/>
        <rFont val="Calibri (Body)"/>
      </rPr>
      <t>54% C</t>
    </r>
  </si>
  <si>
    <t>Marko Guduric</t>
  </si>
  <si>
    <r>
      <rPr>
        <u/>
        <sz val="12"/>
        <color theme="1"/>
        <rFont val="Calibri (Body)"/>
      </rPr>
      <t>70% SG</t>
    </r>
    <r>
      <rPr>
        <sz val="12"/>
        <color theme="1"/>
        <rFont val="Calibri (Body)"/>
      </rPr>
      <t>, 30% SF, 1% PF</t>
    </r>
  </si>
  <si>
    <t>Brandon Clarke</t>
  </si>
  <si>
    <t>2019 Draft (#21 pick)</t>
  </si>
  <si>
    <r>
      <t xml:space="preserve">19% SF, </t>
    </r>
    <r>
      <rPr>
        <u/>
        <sz val="12"/>
        <color theme="1"/>
        <rFont val="Calibri (Body)"/>
      </rPr>
      <t>71% PF</t>
    </r>
    <r>
      <rPr>
        <sz val="12"/>
        <color theme="1"/>
        <rFont val="Calibri (Body)"/>
      </rPr>
      <t>, 10% C</t>
    </r>
  </si>
  <si>
    <t>Grayson Allen</t>
  </si>
  <si>
    <t>Traded from UTA on 7/6/19</t>
  </si>
  <si>
    <t>Rookie Scale (UTA)</t>
  </si>
  <si>
    <r>
      <t xml:space="preserve">1% PG, </t>
    </r>
    <r>
      <rPr>
        <u/>
        <sz val="12"/>
        <color theme="1"/>
        <rFont val="Calibri (Body)"/>
      </rPr>
      <t>78% SG</t>
    </r>
    <r>
      <rPr>
        <sz val="12"/>
        <color theme="1"/>
        <rFont val="Calibri (Body)"/>
      </rPr>
      <t>, 22% SF</t>
    </r>
  </si>
  <si>
    <t>Dillon Brooks</t>
  </si>
  <si>
    <t>2017 Draft (#45 pick)</t>
  </si>
  <si>
    <t>MLE / Bird Rights</t>
  </si>
  <si>
    <r>
      <rPr>
        <u/>
        <sz val="12"/>
        <color theme="1"/>
        <rFont val="Calibri (Body)"/>
      </rPr>
      <t>71% SG</t>
    </r>
    <r>
      <rPr>
        <sz val="12"/>
        <color theme="1"/>
        <rFont val="Calibri (Body)"/>
      </rPr>
      <t>, 29% SF</t>
    </r>
  </si>
  <si>
    <r>
      <t xml:space="preserve">17% PG, </t>
    </r>
    <r>
      <rPr>
        <u/>
        <sz val="12"/>
        <color theme="1"/>
        <rFont val="Calibri (Body)"/>
      </rPr>
      <t>82% SG</t>
    </r>
    <r>
      <rPr>
        <sz val="12"/>
        <color theme="1"/>
        <rFont val="Calibri (Body)"/>
      </rPr>
      <t>, 1% SF</t>
    </r>
  </si>
  <si>
    <t>Yuta Watanabe</t>
  </si>
  <si>
    <t>George Washington</t>
  </si>
  <si>
    <t>Signed on 7/20/18</t>
  </si>
  <si>
    <r>
      <rPr>
        <u/>
        <sz val="12"/>
        <color theme="1"/>
        <rFont val="Calibri (Body)"/>
      </rPr>
      <t>70% SF</t>
    </r>
    <r>
      <rPr>
        <sz val="12"/>
        <color theme="1"/>
        <rFont val="Calibri (Body)"/>
      </rPr>
      <t>, 26% PF, 5% C</t>
    </r>
  </si>
  <si>
    <t>John Konchar</t>
  </si>
  <si>
    <t>Purdue Fort Wayne</t>
  </si>
  <si>
    <r>
      <t xml:space="preserve">8% PG, </t>
    </r>
    <r>
      <rPr>
        <u/>
        <sz val="12"/>
        <color theme="1"/>
        <rFont val="Calibri (Body)"/>
      </rPr>
      <t>80% SG</t>
    </r>
    <r>
      <rPr>
        <sz val="12"/>
        <color theme="1"/>
        <rFont val="Calibri (Body)"/>
      </rPr>
      <t>, 12% SF</t>
    </r>
  </si>
  <si>
    <t>2020 2nd (40) - PHX</t>
  </si>
  <si>
    <t>Hollinger: probably pick two of full MLE, Josh Jackson ($8.93M max), De'Anthony Melton (average salary max, probably $9.26M)</t>
  </si>
  <si>
    <t>Also #40 pick, Jontay Porter $1.52M TO, and Konchar/Watanabe are RFAs</t>
  </si>
  <si>
    <t>Andre Iguodala</t>
  </si>
  <si>
    <t>Mike Conley</t>
  </si>
  <si>
    <t>Taylor Jenkins</t>
  </si>
  <si>
    <t>2021 2nd from Phoenix (protected 36-60)</t>
  </si>
  <si>
    <t>2021 2nd from Portland (unprotected)</t>
  </si>
  <si>
    <t>2022 2nd from Detroit/Chicago (less favorable)</t>
  </si>
  <si>
    <t>2023 2nd from Dallas / Miami (less favorable) or HOU (protected 31-32)</t>
  </si>
  <si>
    <t>2024 1st from Golden State (protected 1-4 in 2024, 1 in 2025, unprotected in 2026)</t>
  </si>
  <si>
    <t>2024 2nd from Toronto</t>
  </si>
  <si>
    <t>2021 2nd to Sacramento (for sure)</t>
  </si>
  <si>
    <t>2024 2nd to Oklahoma City (for sure)</t>
  </si>
  <si>
    <t>David Fizdale / J.B. Bickerstaff</t>
  </si>
  <si>
    <t>David Fizdale</t>
  </si>
  <si>
    <t>Lost to SAS in first round (4-2)</t>
  </si>
  <si>
    <t>Dave Joerger</t>
  </si>
  <si>
    <t>Beat POR in first round (4-1), lost to GSW in second round (4-2)</t>
  </si>
  <si>
    <t>Lost to OKC in first round (4-3)</t>
  </si>
  <si>
    <t>Beat LAC in first round (4-2), beat OKC in second round (4-1), lost to SAS in WCF (4-0)</t>
  </si>
  <si>
    <t>Beat SAS in first round (4-2), lost to OKC in second round (4-3)</t>
  </si>
  <si>
    <t>Jimmy Butler</t>
  </si>
  <si>
    <t>Marquette</t>
  </si>
  <si>
    <t>Signed-and-traded from PHI on 7/6/19</t>
  </si>
  <si>
    <r>
      <rPr>
        <u/>
        <sz val="12"/>
        <color theme="1"/>
        <rFont val="Calibri"/>
        <family val="2"/>
      </rPr>
      <t>56% SF</t>
    </r>
    <r>
      <rPr>
        <sz val="12"/>
        <color theme="1"/>
        <rFont val="Calibri"/>
        <family val="2"/>
      </rPr>
      <t>, 44% PF, 1% C</t>
    </r>
  </si>
  <si>
    <t>Olimpija (Slovenia)</t>
  </si>
  <si>
    <t>Traded from PHX on 2/19/15</t>
  </si>
  <si>
    <t>Extension: 7.5% trade kicker</t>
  </si>
  <si>
    <r>
      <t xml:space="preserve">2% PG, </t>
    </r>
    <r>
      <rPr>
        <u/>
        <sz val="12"/>
        <color theme="1"/>
        <rFont val="Calibri"/>
        <family val="2"/>
      </rPr>
      <t>81% SG</t>
    </r>
    <r>
      <rPr>
        <sz val="12"/>
        <color theme="1"/>
        <rFont val="Calibri"/>
        <family val="2"/>
      </rPr>
      <t>, 17% SF</t>
    </r>
  </si>
  <si>
    <r>
      <t xml:space="preserve">18% SG, </t>
    </r>
    <r>
      <rPr>
        <u/>
        <sz val="12"/>
        <color theme="1"/>
        <rFont val="Calibri"/>
        <family val="2"/>
      </rPr>
      <t>67% SF</t>
    </r>
    <r>
      <rPr>
        <sz val="12"/>
        <color theme="1"/>
        <rFont val="Calibri"/>
        <family val="2"/>
      </rPr>
      <t>, 15% PF</t>
    </r>
  </si>
  <si>
    <t>Signed on 7/7/17</t>
  </si>
  <si>
    <t>Year 3/4 of 4 yr/$50M from 2017 offseason</t>
  </si>
  <si>
    <t>trade kicker lesser of 5% of remaining contract value and $2M, $1,400,000 annual unlikely incentives ($1,000,000 for at least 1,700 MIN, $400,000 for playoffs)</t>
  </si>
  <si>
    <t>Illinois</t>
  </si>
  <si>
    <t>Traded from POR on 7/6/19</t>
  </si>
  <si>
    <r>
      <t xml:space="preserve">35% SF, </t>
    </r>
    <r>
      <rPr>
        <u/>
        <sz val="12"/>
        <color theme="1"/>
        <rFont val="Calibri"/>
        <family val="2"/>
      </rPr>
      <t>60% PF</t>
    </r>
    <r>
      <rPr>
        <sz val="12"/>
        <color theme="1"/>
        <rFont val="Calibri"/>
        <family val="2"/>
      </rPr>
      <t>, 5% C</t>
    </r>
  </si>
  <si>
    <t>Tyler Herro</t>
  </si>
  <si>
    <t>2019 Draft (#13 pick)</t>
  </si>
  <si>
    <r>
      <t xml:space="preserve">16% PG, </t>
    </r>
    <r>
      <rPr>
        <u/>
        <sz val="12"/>
        <color theme="1"/>
        <rFont val="Calibri"/>
        <family val="2"/>
      </rPr>
      <t>78% SG</t>
    </r>
    <r>
      <rPr>
        <sz val="12"/>
        <color theme="1"/>
        <rFont val="Calibri"/>
        <family val="2"/>
      </rPr>
      <t>, 7% SF</t>
    </r>
  </si>
  <si>
    <t>Bam Adebayo</t>
  </si>
  <si>
    <t>2017 Draft (#14 pick)</t>
  </si>
  <si>
    <r>
      <rPr>
        <u/>
        <sz val="12"/>
        <color theme="1"/>
        <rFont val="Calibri"/>
        <family val="2"/>
      </rPr>
      <t>58% PF</t>
    </r>
    <r>
      <rPr>
        <sz val="12"/>
        <color theme="1"/>
        <rFont val="Calibri"/>
        <family val="2"/>
      </rPr>
      <t>, 42% C</t>
    </r>
  </si>
  <si>
    <t>Signed on 12/31/17</t>
  </si>
  <si>
    <r>
      <t>1% PG, 46% SG,</t>
    </r>
    <r>
      <rPr>
        <u/>
        <sz val="12"/>
        <color theme="1"/>
        <rFont val="Calibri"/>
        <family val="2"/>
      </rPr>
      <t xml:space="preserve"> 50% SF</t>
    </r>
    <r>
      <rPr>
        <sz val="12"/>
        <color theme="1"/>
        <rFont val="Calibri"/>
        <family val="2"/>
      </rPr>
      <t>, 3% PF</t>
    </r>
  </si>
  <si>
    <t>Elan Chalon (France)</t>
  </si>
  <si>
    <t>Signed on 8/1/03</t>
  </si>
  <si>
    <t>Year 2/3 of 3 yr/$3M from 18-19 season</t>
  </si>
  <si>
    <r>
      <t xml:space="preserve">38% SG, </t>
    </r>
    <r>
      <rPr>
        <u/>
        <sz val="12"/>
        <color theme="1"/>
        <rFont val="Calibri"/>
        <family val="2"/>
      </rPr>
      <t>50% SF</t>
    </r>
    <r>
      <rPr>
        <sz val="12"/>
        <color theme="1"/>
        <rFont val="Calibri"/>
        <family val="2"/>
      </rPr>
      <t>, 12% PF</t>
    </r>
  </si>
  <si>
    <t>Oakland</t>
  </si>
  <si>
    <t>Signed on 4/10/19</t>
  </si>
  <si>
    <r>
      <rPr>
        <u/>
        <sz val="12"/>
        <color theme="1"/>
        <rFont val="Calibri"/>
        <family val="2"/>
      </rPr>
      <t>73% PG</t>
    </r>
    <r>
      <rPr>
        <sz val="12"/>
        <color theme="1"/>
        <rFont val="Calibri"/>
        <family val="2"/>
      </rPr>
      <t>, 27% SG</t>
    </r>
  </si>
  <si>
    <t>KZ Okpala</t>
  </si>
  <si>
    <t>2019 Draft (#32 pick)</t>
  </si>
  <si>
    <r>
      <t xml:space="preserve">13% SF, </t>
    </r>
    <r>
      <rPr>
        <u/>
        <sz val="12"/>
        <color theme="1"/>
        <rFont val="Calibri"/>
        <family val="2"/>
      </rPr>
      <t>80% PF</t>
    </r>
    <r>
      <rPr>
        <sz val="12"/>
        <color theme="1"/>
        <rFont val="Calibri"/>
        <family val="2"/>
      </rPr>
      <t>, 7% C</t>
    </r>
  </si>
  <si>
    <t>Chris Silva</t>
  </si>
  <si>
    <t>Signed on 7/11/19</t>
  </si>
  <si>
    <r>
      <t xml:space="preserve">1% SF, </t>
    </r>
    <r>
      <rPr>
        <u/>
        <sz val="12"/>
        <color theme="1"/>
        <rFont val="Calibri"/>
        <family val="2"/>
      </rPr>
      <t>65% PF</t>
    </r>
    <r>
      <rPr>
        <sz val="12"/>
        <color theme="1"/>
        <rFont val="Calibri"/>
        <family val="2"/>
      </rPr>
      <t>, 34% C</t>
    </r>
  </si>
  <si>
    <t>Gabe Vincent</t>
  </si>
  <si>
    <t>UC Santa Barbara</t>
  </si>
  <si>
    <t>Signed on 1/9/20</t>
  </si>
  <si>
    <t>Kyle Alexander</t>
  </si>
  <si>
    <t>Erik Spoelstra</t>
  </si>
  <si>
    <t>2022 2nd from Philadelphia / Denver (less favorable)</t>
  </si>
  <si>
    <t>2021 1st to Oklahoma City/Houston (unprotected)</t>
  </si>
  <si>
    <t>2021 2nd to Atlanta (for sure)</t>
  </si>
  <si>
    <t>2022 2nd to Indiana (for sure)</t>
  </si>
  <si>
    <t>2023 1st to Oklahoma City (protected 1-14 in 2023-2025, unprotected in 2026)</t>
  </si>
  <si>
    <t>2023 2nd to Dallas/Memphis (for sure)</t>
  </si>
  <si>
    <t>2024 2nd to Atlanta/Philadelphia (only if 51-55)</t>
  </si>
  <si>
    <t>2025 2nd to Indiana (for sure)</t>
  </si>
  <si>
    <t>2026 2nd to Indiana (sure)</t>
  </si>
  <si>
    <t>Beat CHA in first round (4-3), lost to TOR in second round (4-3)</t>
  </si>
  <si>
    <t>Beat CHA in first round (4-0), beat BKN in second round (4-1), beat IND in ECF (4-2), lost to SAS in NBA Finals (4-1)</t>
  </si>
  <si>
    <t>Beat MIL in first round (4-0), beat CHI in second round (4-1), beat IND in ECF (4-3), beat SAS in NBA Finals (4-3)</t>
  </si>
  <si>
    <t>Beat NYK in first round (4-1), beat IND in second round (4-2), beat BOS in ECF (4-3), beat OKC in NBA Finals (4-1)</t>
  </si>
  <si>
    <t>Beat PHI in first round (4-1), beat BOS in second round (4-1), beat CHI in ECF (4-1), lost to DAL in NBA Finals (4-2)</t>
  </si>
  <si>
    <t>Khris Middleton</t>
  </si>
  <si>
    <t>Traded from DET on 7/31/13</t>
  </si>
  <si>
    <r>
      <t xml:space="preserve">1% SG, </t>
    </r>
    <r>
      <rPr>
        <u/>
        <sz val="12"/>
        <color theme="1"/>
        <rFont val="Calibri (Body)"/>
      </rPr>
      <t>79% SF</t>
    </r>
    <r>
      <rPr>
        <sz val="12"/>
        <color theme="1"/>
        <rFont val="Calibri"/>
        <family val="2"/>
        <scheme val="minor"/>
      </rPr>
      <t>, 20% PF, 1% C</t>
    </r>
  </si>
  <si>
    <t>Giannis Antetokounmpo</t>
  </si>
  <si>
    <t>Zografou BC (Greece)</t>
  </si>
  <si>
    <t>2013 Draft (#15 pick)</t>
  </si>
  <si>
    <r>
      <rPr>
        <u/>
        <sz val="12"/>
        <color theme="1"/>
        <rFont val="Calibri (Body)"/>
      </rPr>
      <t>77% PF</t>
    </r>
    <r>
      <rPr>
        <sz val="12"/>
        <color theme="1"/>
        <rFont val="Calibri"/>
        <family val="2"/>
        <scheme val="minor"/>
      </rPr>
      <t>, 23% C</t>
    </r>
  </si>
  <si>
    <t>Eric Bledsoe</t>
  </si>
  <si>
    <t>Traded from PHX on 11/7/17</t>
  </si>
  <si>
    <t>Brook Lopez</t>
  </si>
  <si>
    <t>Signed from LAL on 7/17/18</t>
  </si>
  <si>
    <t>George Hill</t>
  </si>
  <si>
    <t>IUPUI</t>
  </si>
  <si>
    <t>Traded from CLE on 12/7/18</t>
  </si>
  <si>
    <r>
      <rPr>
        <u/>
        <sz val="12"/>
        <color theme="1"/>
        <rFont val="Calibri (Body)"/>
      </rPr>
      <t>87% PG</t>
    </r>
    <r>
      <rPr>
        <sz val="12"/>
        <color theme="1"/>
        <rFont val="Calibri"/>
        <family val="2"/>
        <scheme val="minor"/>
      </rPr>
      <t>, 13% SG</t>
    </r>
  </si>
  <si>
    <t>Signed from PHI on 7/16/18</t>
  </si>
  <si>
    <t>Year 2/3 of 3 yr/$21M from 2018 offseason</t>
  </si>
  <si>
    <r>
      <t xml:space="preserve">3% SF, </t>
    </r>
    <r>
      <rPr>
        <u/>
        <sz val="12"/>
        <color theme="1"/>
        <rFont val="Calibri (Body)"/>
      </rPr>
      <t>86% PF</t>
    </r>
    <r>
      <rPr>
        <sz val="12"/>
        <color theme="1"/>
        <rFont val="Calibri"/>
        <family val="2"/>
        <scheme val="minor"/>
      </rPr>
      <t>, 12% C</t>
    </r>
  </si>
  <si>
    <t>Signed from CHI on 7/12/19</t>
  </si>
  <si>
    <t>D.J. Wilson</t>
  </si>
  <si>
    <t>2017 Draft (#17 pick)</t>
  </si>
  <si>
    <t>63% PF, 38% C</t>
  </si>
  <si>
    <t>Donte DiVincenzo</t>
  </si>
  <si>
    <t>2018 Draft (#17 pick)</t>
  </si>
  <si>
    <r>
      <t xml:space="preserve">33% PG, </t>
    </r>
    <r>
      <rPr>
        <u/>
        <sz val="12"/>
        <color theme="1"/>
        <rFont val="Calibri (Body)"/>
      </rPr>
      <t>64% SG</t>
    </r>
    <r>
      <rPr>
        <sz val="12"/>
        <color theme="1"/>
        <rFont val="Calibri (Body)"/>
      </rPr>
      <t>, 3% SF</t>
    </r>
  </si>
  <si>
    <t>Signed from IND on 7/12/19</t>
  </si>
  <si>
    <r>
      <t xml:space="preserve">3% PG, </t>
    </r>
    <r>
      <rPr>
        <u/>
        <sz val="12"/>
        <color theme="1"/>
        <rFont val="Calibri (Body)"/>
      </rPr>
      <t>74% SG</t>
    </r>
    <r>
      <rPr>
        <sz val="12"/>
        <color theme="1"/>
        <rFont val="Calibri"/>
        <family val="2"/>
        <scheme val="minor"/>
      </rPr>
      <t>, 23% SF</t>
    </r>
  </si>
  <si>
    <t>Notre Dame</t>
  </si>
  <si>
    <t>Signed from POR on 8/1/18</t>
  </si>
  <si>
    <r>
      <t xml:space="preserve">7% PG, </t>
    </r>
    <r>
      <rPr>
        <u/>
        <sz val="12"/>
        <color theme="1"/>
        <rFont val="Calibri (Body)"/>
      </rPr>
      <t>57% SG</t>
    </r>
    <r>
      <rPr>
        <sz val="12"/>
        <color theme="1"/>
        <rFont val="Calibri"/>
        <family val="2"/>
        <scheme val="minor"/>
      </rPr>
      <t>, 34% SF, 2% PF</t>
    </r>
  </si>
  <si>
    <t>Signed from PHX on 7/25/19</t>
  </si>
  <si>
    <r>
      <t xml:space="preserve">20% SG, </t>
    </r>
    <r>
      <rPr>
        <u/>
        <sz val="12"/>
        <color theme="1"/>
        <rFont val="Calibri (Body)"/>
      </rPr>
      <t>64% SF</t>
    </r>
    <r>
      <rPr>
        <sz val="12"/>
        <color theme="1"/>
        <rFont val="Calibri"/>
        <family val="2"/>
        <scheme val="minor"/>
      </rPr>
      <t>, 16% PF</t>
    </r>
  </si>
  <si>
    <t>2017 Draft (#46 pick)</t>
  </si>
  <si>
    <r>
      <t xml:space="preserve">19% SG, </t>
    </r>
    <r>
      <rPr>
        <u/>
        <sz val="12"/>
        <color theme="1"/>
        <rFont val="Calibri (Body)"/>
      </rPr>
      <t>70% SF</t>
    </r>
    <r>
      <rPr>
        <sz val="12"/>
        <color theme="1"/>
        <rFont val="Calibri"/>
        <family val="2"/>
        <scheme val="minor"/>
      </rPr>
      <t>, 11% PF</t>
    </r>
  </si>
  <si>
    <t>Thanasis Antetokounmpo</t>
  </si>
  <si>
    <t>Delaware 87ers</t>
  </si>
  <si>
    <t>Signed on 7/16/19</t>
  </si>
  <si>
    <r>
      <t xml:space="preserve">8% PG, </t>
    </r>
    <r>
      <rPr>
        <u/>
        <sz val="12"/>
        <color theme="1"/>
        <rFont val="Calibri (Body)"/>
      </rPr>
      <t>60% SG,</t>
    </r>
    <r>
      <rPr>
        <sz val="12"/>
        <color theme="1"/>
        <rFont val="Calibri"/>
        <family val="2"/>
        <scheme val="minor"/>
      </rPr>
      <t xml:space="preserve"> 32% SF</t>
    </r>
  </si>
  <si>
    <t>Signed on 2/10/20</t>
  </si>
  <si>
    <r>
      <t xml:space="preserve">5% SF, </t>
    </r>
    <r>
      <rPr>
        <u/>
        <sz val="12"/>
        <color theme="1"/>
        <rFont val="Calibri (Body)"/>
      </rPr>
      <t>87% PF</t>
    </r>
    <r>
      <rPr>
        <sz val="12"/>
        <color theme="1"/>
        <rFont val="Calibri"/>
        <family val="2"/>
        <scheme val="minor"/>
      </rPr>
      <t>, 8% C</t>
    </r>
  </si>
  <si>
    <t>Frank Mason III</t>
  </si>
  <si>
    <t>Signed on 7/26/19</t>
  </si>
  <si>
    <t>Cam Reynolds</t>
  </si>
  <si>
    <t>Tulane</t>
  </si>
  <si>
    <t>Mike Budenholzer</t>
  </si>
  <si>
    <t>2021 2nd from Indiana (could convey any time 2021-2024, will convey one year after IND conveys 2nd to BKN)</t>
  </si>
  <si>
    <t>2025 2nd from Indiana (unprotected)</t>
  </si>
  <si>
    <t>2021 2nd to Indiana (for sure)</t>
  </si>
  <si>
    <t>Beat DET in first round (4-0), Beat BOS in second round (4-1), lost to TOR in ECF (4-2)</t>
  </si>
  <si>
    <t>Jason Kidd / Joe Prunty</t>
  </si>
  <si>
    <t>Lost to BOS in first round (4-3)</t>
  </si>
  <si>
    <t>Lost to TOR in first round (4-2)</t>
  </si>
  <si>
    <t>Lost to CHI in first round (4-2)</t>
  </si>
  <si>
    <t>Scott Skiles / Jim Boylan</t>
  </si>
  <si>
    <t>Scott Skiles</t>
  </si>
  <si>
    <t>Karl-Anthony Towns</t>
  </si>
  <si>
    <t>2015 Draft (#1 pick)</t>
  </si>
  <si>
    <t>D'Angelo Russell</t>
  </si>
  <si>
    <t>Traded from GSW on 2/6/20</t>
  </si>
  <si>
    <t>Sign-and-Trade (GSW)</t>
  </si>
  <si>
    <r>
      <rPr>
        <u/>
        <sz val="12"/>
        <color theme="1"/>
        <rFont val="Calibri (Body)"/>
      </rPr>
      <t>89% PG</t>
    </r>
    <r>
      <rPr>
        <sz val="12"/>
        <color theme="1"/>
        <rFont val="Calibri"/>
        <family val="2"/>
        <scheme val="minor"/>
      </rPr>
      <t>, 11% SG</t>
    </r>
  </si>
  <si>
    <t>Traded from ATL on 2/5/20</t>
  </si>
  <si>
    <r>
      <rPr>
        <u/>
        <sz val="12"/>
        <color theme="1"/>
        <rFont val="Calibri (Body)"/>
      </rPr>
      <t>63% PG</t>
    </r>
    <r>
      <rPr>
        <sz val="12"/>
        <color theme="1"/>
        <rFont val="Calibri"/>
        <family val="2"/>
        <scheme val="minor"/>
      </rPr>
      <t>, 32% SG, 6% SF</t>
    </r>
  </si>
  <si>
    <t>Cap Space (MIA)</t>
  </si>
  <si>
    <t>Year 3/4 of 4 yr/$60M from 2017 offseason</t>
  </si>
  <si>
    <r>
      <t xml:space="preserve">2% SF, </t>
    </r>
    <r>
      <rPr>
        <u/>
        <sz val="12"/>
        <color theme="1"/>
        <rFont val="Calibri (Body)"/>
      </rPr>
      <t>67% PF</t>
    </r>
    <r>
      <rPr>
        <sz val="12"/>
        <color theme="1"/>
        <rFont val="Calibri"/>
        <family val="2"/>
        <scheme val="minor"/>
      </rPr>
      <t>, 32% C</t>
    </r>
  </si>
  <si>
    <t>Jarrett Culver</t>
  </si>
  <si>
    <t>2019 Draft (#6 pick)</t>
  </si>
  <si>
    <r>
      <t xml:space="preserve">11% PG, </t>
    </r>
    <r>
      <rPr>
        <u/>
        <sz val="12"/>
        <color theme="1"/>
        <rFont val="Calibri (Body)"/>
      </rPr>
      <t>53% SG</t>
    </r>
    <r>
      <rPr>
        <sz val="12"/>
        <color theme="1"/>
        <rFont val="Calibri"/>
        <family val="2"/>
        <scheme val="minor"/>
      </rPr>
      <t>, 36% SF</t>
    </r>
  </si>
  <si>
    <t>Jake Layman</t>
  </si>
  <si>
    <t>Signed from POR on 7/8/19</t>
  </si>
  <si>
    <r>
      <t xml:space="preserve">9% SF, </t>
    </r>
    <r>
      <rPr>
        <u/>
        <sz val="12"/>
        <color theme="1"/>
        <rFont val="Calibri (Body)"/>
      </rPr>
      <t>91% PF</t>
    </r>
  </si>
  <si>
    <t>CB Estudiantes (Spain)</t>
  </si>
  <si>
    <t>Traded from DEN on 2/5/20</t>
  </si>
  <si>
    <r>
      <rPr>
        <u/>
        <sz val="12"/>
        <color theme="1"/>
        <rFont val="Calibri (Body)"/>
      </rPr>
      <t>60% PF</t>
    </r>
    <r>
      <rPr>
        <sz val="12"/>
        <color theme="1"/>
        <rFont val="Calibri"/>
        <family val="2"/>
        <scheme val="minor"/>
      </rPr>
      <t>, 40% C</t>
    </r>
  </si>
  <si>
    <r>
      <t xml:space="preserve">1% PG, </t>
    </r>
    <r>
      <rPr>
        <u/>
        <sz val="12"/>
        <color theme="1"/>
        <rFont val="Calibri (Body)"/>
      </rPr>
      <t>98% SG</t>
    </r>
    <r>
      <rPr>
        <sz val="12"/>
        <color theme="1"/>
        <rFont val="Calibri"/>
        <family val="2"/>
        <scheme val="minor"/>
      </rPr>
      <t>, 2% SF</t>
    </r>
  </si>
  <si>
    <t>Josh Okogie</t>
  </si>
  <si>
    <t>2018 Draft (#20 pick)</t>
  </si>
  <si>
    <r>
      <t xml:space="preserve">16% PG, </t>
    </r>
    <r>
      <rPr>
        <u/>
        <sz val="12"/>
        <color theme="1"/>
        <rFont val="Calibri (Body)"/>
      </rPr>
      <t>60% SG</t>
    </r>
    <r>
      <rPr>
        <sz val="12"/>
        <color theme="1"/>
        <rFont val="Calibri"/>
        <family val="2"/>
        <scheme val="minor"/>
      </rPr>
      <t>, 24% SF</t>
    </r>
  </si>
  <si>
    <t>Jacob Evans</t>
  </si>
  <si>
    <t>Cincinnati</t>
  </si>
  <si>
    <t>Omari Spellman</t>
  </si>
  <si>
    <t>Rookie Scale (ATL)</t>
  </si>
  <si>
    <r>
      <rPr>
        <u/>
        <sz val="12"/>
        <color theme="1"/>
        <rFont val="Calibri (Body)"/>
      </rPr>
      <t>59% PF</t>
    </r>
    <r>
      <rPr>
        <sz val="12"/>
        <color theme="1"/>
        <rFont val="Calibri"/>
        <family val="2"/>
        <scheme val="minor"/>
      </rPr>
      <t>, 41% C</t>
    </r>
  </si>
  <si>
    <t>Cap Space (DEN)</t>
  </si>
  <si>
    <r>
      <t xml:space="preserve">22% PF, </t>
    </r>
    <r>
      <rPr>
        <u/>
        <sz val="12"/>
        <color theme="1"/>
        <rFont val="Calibri (Body)"/>
      </rPr>
      <t>78% C</t>
    </r>
  </si>
  <si>
    <t>Washington</t>
  </si>
  <si>
    <t>2019 Draft (#43 pick)</t>
  </si>
  <si>
    <t>Year 1/4 of 4 yr/$7M from 2019 offseason</t>
  </si>
  <si>
    <r>
      <t xml:space="preserve">30% PG, </t>
    </r>
    <r>
      <rPr>
        <u/>
        <sz val="12"/>
        <color theme="1"/>
        <rFont val="Calibri (Body)"/>
      </rPr>
      <t>70% SG</t>
    </r>
  </si>
  <si>
    <t>Jordan McLaughlin</t>
  </si>
  <si>
    <t>Kelan Martin</t>
  </si>
  <si>
    <t>Riesen Ludwigsburg (Germany)</t>
  </si>
  <si>
    <t>Signed on 8/8/19</t>
  </si>
  <si>
    <r>
      <t xml:space="preserve">4% SG, </t>
    </r>
    <r>
      <rPr>
        <u/>
        <sz val="12"/>
        <color theme="1"/>
        <rFont val="Calibri (Body)"/>
      </rPr>
      <t>65% SF</t>
    </r>
    <r>
      <rPr>
        <sz val="12"/>
        <color theme="1"/>
        <rFont val="Calibri"/>
        <family val="2"/>
        <scheme val="minor"/>
      </rPr>
      <t>, 31% PF</t>
    </r>
  </si>
  <si>
    <t>2020 1st (3)</t>
  </si>
  <si>
    <t>2020 2nd (33)</t>
  </si>
  <si>
    <t>Ryan Saunders</t>
  </si>
  <si>
    <t>2022 2nd from Denver/Philadelphia (more favorable)</t>
  </si>
  <si>
    <t>2021 1st to Golden State (protected 1-3, unprotected in 2022)</t>
  </si>
  <si>
    <t>2021 2nd to Golden State (unprotected)</t>
  </si>
  <si>
    <t>Tom Thibodeau / Ryan Saunders</t>
  </si>
  <si>
    <t>Sam Mitchell</t>
  </si>
  <si>
    <t>Flip Saunders</t>
  </si>
  <si>
    <t>Kurt Rambis</t>
  </si>
  <si>
    <t>Traded from PHI on 7/12/13</t>
  </si>
  <si>
    <t>Year 3/5 of 5 yr/$132M from 2017 offseason</t>
  </si>
  <si>
    <t>$765,000 annual unlikely incentives ($510,000 for 66 reg/post games + 2075 MIN, $255,000 for 67 games + 7.3 APG + 3.2 RPG), $100,000 annual likely incentives (All-Defensive Team), lots of TBD incentives but = $4,700,000 total</t>
  </si>
  <si>
    <r>
      <t xml:space="preserve">3% PG, </t>
    </r>
    <r>
      <rPr>
        <u/>
        <sz val="12"/>
        <color theme="1"/>
        <rFont val="Calibri (Body)"/>
      </rPr>
      <t>61% SG</t>
    </r>
    <r>
      <rPr>
        <sz val="12"/>
        <color theme="1"/>
        <rFont val="Calibri"/>
        <family val="2"/>
        <scheme val="minor"/>
      </rPr>
      <t>, 35% SF, 1% PF</t>
    </r>
  </si>
  <si>
    <t>Traded from UTA on 7/7/19</t>
  </si>
  <si>
    <t>J.J. Redick</t>
  </si>
  <si>
    <t>Year 1/2 of 2 yr/$27M from 2019 offseason</t>
  </si>
  <si>
    <r>
      <t xml:space="preserve">31% PG, </t>
    </r>
    <r>
      <rPr>
        <u/>
        <sz val="12"/>
        <color theme="1"/>
        <rFont val="Calibri (Body)"/>
      </rPr>
      <t>60% SG</t>
    </r>
    <r>
      <rPr>
        <sz val="12"/>
        <color theme="1"/>
        <rFont val="Calibri"/>
        <family val="2"/>
        <scheme val="minor"/>
      </rPr>
      <t>, 9% SF, 1% PF</t>
    </r>
  </si>
  <si>
    <t>Zion Williamson</t>
  </si>
  <si>
    <t>2019 Draft (#1 pick)</t>
  </si>
  <si>
    <t>Year 1/4 of 4 yr/$44M from 2019 offseason</t>
  </si>
  <si>
    <r>
      <rPr>
        <u/>
        <sz val="12"/>
        <color theme="1"/>
        <rFont val="Calibri (Body)"/>
      </rPr>
      <t>92% PF</t>
    </r>
    <r>
      <rPr>
        <sz val="12"/>
        <color theme="1"/>
        <rFont val="Calibri"/>
        <family val="2"/>
        <scheme val="minor"/>
      </rPr>
      <t>, 9% C</t>
    </r>
  </si>
  <si>
    <t>Lonzo Ball</t>
  </si>
  <si>
    <t>Traded from LAL on 7/6/19</t>
  </si>
  <si>
    <t>Rookie Scale (LAL)</t>
  </si>
  <si>
    <t>Year 3/4 of 4 yr/$33M from 2017 offseason</t>
  </si>
  <si>
    <r>
      <rPr>
        <u/>
        <sz val="12"/>
        <color theme="1"/>
        <rFont val="Calibri (Body)"/>
      </rPr>
      <t>85% PG</t>
    </r>
    <r>
      <rPr>
        <sz val="12"/>
        <color theme="1"/>
        <rFont val="Calibri"/>
        <family val="2"/>
        <scheme val="minor"/>
      </rPr>
      <t>, 15% SG</t>
    </r>
  </si>
  <si>
    <t>Benetton Treviso (Italy)</t>
  </si>
  <si>
    <t>Signed on 7/21/16</t>
  </si>
  <si>
    <r>
      <t>38% PG,</t>
    </r>
    <r>
      <rPr>
        <u/>
        <sz val="12"/>
        <color theme="1"/>
        <rFont val="Calibri (Body)"/>
      </rPr>
      <t xml:space="preserve"> 52% SG</t>
    </r>
    <r>
      <rPr>
        <sz val="12"/>
        <color theme="1"/>
        <rFont val="Calibri"/>
        <family val="2"/>
        <scheme val="minor"/>
      </rPr>
      <t>, 10% SF</t>
    </r>
  </si>
  <si>
    <r>
      <t xml:space="preserve">38% SF, </t>
    </r>
    <r>
      <rPr>
        <u/>
        <sz val="12"/>
        <color theme="1"/>
        <rFont val="Calibri (Body)"/>
      </rPr>
      <t>62% PF</t>
    </r>
    <r>
      <rPr>
        <sz val="12"/>
        <color theme="1"/>
        <rFont val="Calibri"/>
        <family val="2"/>
        <scheme val="minor"/>
      </rPr>
      <t>, 1% C</t>
    </r>
  </si>
  <si>
    <t>Signed on 7/24/17</t>
  </si>
  <si>
    <t>Early Bird</t>
  </si>
  <si>
    <t>Year 1/2 of 2 yr/$14M from 2019 offseason</t>
  </si>
  <si>
    <r>
      <rPr>
        <u/>
        <sz val="12"/>
        <color theme="1"/>
        <rFont val="Calibri (Body)"/>
      </rPr>
      <t>63% SF</t>
    </r>
    <r>
      <rPr>
        <sz val="12"/>
        <color theme="1"/>
        <rFont val="Calibri"/>
        <family val="2"/>
        <scheme val="minor"/>
      </rPr>
      <t>, 37% PF</t>
    </r>
  </si>
  <si>
    <t>Jaxson Hayes</t>
  </si>
  <si>
    <t>2019 Draft (#8 pick)</t>
  </si>
  <si>
    <t>Year 1/4 of 4 yr/$22M from 2019 offseason</t>
  </si>
  <si>
    <t>Nicolo Melli</t>
  </si>
  <si>
    <r>
      <t xml:space="preserve">39% PF, </t>
    </r>
    <r>
      <rPr>
        <u/>
        <sz val="12"/>
        <color theme="1"/>
        <rFont val="Calibri (Body)"/>
      </rPr>
      <t>61% C</t>
    </r>
  </si>
  <si>
    <t>Nickeil Alexander-Walker</t>
  </si>
  <si>
    <t>Virginia Tech</t>
  </si>
  <si>
    <t>2019 Draft (#17 pick)</t>
  </si>
  <si>
    <r>
      <t xml:space="preserve">2% PG, 45% SG, </t>
    </r>
    <r>
      <rPr>
        <u/>
        <sz val="12"/>
        <color theme="1"/>
        <rFont val="Calibri (Body)"/>
      </rPr>
      <t>50% SF</t>
    </r>
    <r>
      <rPr>
        <sz val="12"/>
        <color theme="1"/>
        <rFont val="Calibri"/>
        <family val="2"/>
        <scheme val="minor"/>
      </rPr>
      <t>, 4% PF</t>
    </r>
  </si>
  <si>
    <t>Josh Hart</t>
  </si>
  <si>
    <t>Year 1/4 of 4 yr/$8M from 2017 offseason</t>
  </si>
  <si>
    <r>
      <t xml:space="preserve">5% SG, </t>
    </r>
    <r>
      <rPr>
        <u/>
        <sz val="12"/>
        <color theme="1"/>
        <rFont val="Calibri (Body)"/>
      </rPr>
      <t>77% SF</t>
    </r>
    <r>
      <rPr>
        <sz val="12"/>
        <color theme="1"/>
        <rFont val="Calibri"/>
        <family val="2"/>
        <scheme val="minor"/>
      </rPr>
      <t>, 17% PF</t>
    </r>
  </si>
  <si>
    <t>Signed on 8/9/18</t>
  </si>
  <si>
    <t>2017 Draft (#31 pick)</t>
  </si>
  <si>
    <t>TCU</t>
  </si>
  <si>
    <t>Signed on 7/24/18</t>
  </si>
  <si>
    <r>
      <t xml:space="preserve">4% SF, </t>
    </r>
    <r>
      <rPr>
        <u/>
        <sz val="12"/>
        <color theme="1"/>
        <rFont val="Calibri (Body)"/>
      </rPr>
      <t>91% PF</t>
    </r>
    <r>
      <rPr>
        <sz val="12"/>
        <color theme="1"/>
        <rFont val="Calibri"/>
        <family val="2"/>
        <scheme val="minor"/>
      </rPr>
      <t>, 6% C</t>
    </r>
  </si>
  <si>
    <t>Zylan Cheatham</t>
  </si>
  <si>
    <t>Josh Gray</t>
  </si>
  <si>
    <t>Changwon Sakers (South Korea)</t>
  </si>
  <si>
    <t>2020 2nd (39) - WSH</t>
  </si>
  <si>
    <t>2020 2nd (60) - MIL</t>
  </si>
  <si>
    <t>Alvin Gentry</t>
  </si>
  <si>
    <t>2021 1st from LA Lakers (protected 8-30, if not conveyed this becomes 2022 unprotected 1st)</t>
  </si>
  <si>
    <t>2021 2nd from Washington (unprotected)</t>
  </si>
  <si>
    <t>2023 1st from LA Lakers (right to swap picks, unprotected)</t>
  </si>
  <si>
    <t>2023 2nd from Washington (unprotected)</t>
  </si>
  <si>
    <t>2024 1st from LA Lakers (unprotected, NOP has right to defer unprotected pick to 2025)</t>
  </si>
  <si>
    <t>2021 2nd to Chicago (CHI has right to swap)</t>
  </si>
  <si>
    <t>2023 2nd to Atlanta (protected 31-45)</t>
  </si>
  <si>
    <t>Beat POR in first round (4-0), lost to GSW in second round (4-1)</t>
  </si>
  <si>
    <t>Monty Williams</t>
  </si>
  <si>
    <t>Lost to GSW in first round (4-0)</t>
  </si>
  <si>
    <t>Lost to LAL in first round (4-2)</t>
  </si>
  <si>
    <t>Year 1/3 of 3 yr/$62M from 2019 offseason</t>
  </si>
  <si>
    <t>$1,800,000 annual unlikely incentives ($900,000 for All-Star, other $900,000 unknown)</t>
  </si>
  <si>
    <r>
      <rPr>
        <u/>
        <sz val="12"/>
        <color theme="1"/>
        <rFont val="Calibri (Body)"/>
      </rPr>
      <t>95% PF</t>
    </r>
    <r>
      <rPr>
        <sz val="12"/>
        <color theme="1"/>
        <rFont val="Calibri"/>
        <family val="2"/>
        <scheme val="minor"/>
      </rPr>
      <t>, 5% C</t>
    </r>
  </si>
  <si>
    <t>Year 1/2 of 2 yr/$31M from 2019 offseason</t>
  </si>
  <si>
    <r>
      <t xml:space="preserve">43% PF, </t>
    </r>
    <r>
      <rPr>
        <u/>
        <sz val="12"/>
        <color theme="1"/>
        <rFont val="Calibri (Body)"/>
      </rPr>
      <t>57% C</t>
    </r>
  </si>
  <si>
    <t>Traded from LAC on 2/6/20</t>
  </si>
  <si>
    <r>
      <rPr>
        <u/>
        <sz val="12"/>
        <color theme="1"/>
        <rFont val="Calibri (Body)"/>
      </rPr>
      <t>94% SF</t>
    </r>
    <r>
      <rPr>
        <sz val="12"/>
        <color theme="1"/>
        <rFont val="Calibri"/>
        <family val="2"/>
        <scheme val="minor"/>
      </rPr>
      <t>, 7% PF</t>
    </r>
  </si>
  <si>
    <t>Year 1/2 of 2 yr/$18M from 2019 offseason</t>
  </si>
  <si>
    <r>
      <t xml:space="preserve">14% PF, </t>
    </r>
    <r>
      <rPr>
        <u/>
        <sz val="12"/>
        <color theme="1"/>
        <rFont val="Calibri (Body)"/>
      </rPr>
      <t>86% C</t>
    </r>
  </si>
  <si>
    <t>Year 1/2 of 2 yr/$16M from 2019 offseason</t>
  </si>
  <si>
    <r>
      <t xml:space="preserve">12% PG, </t>
    </r>
    <r>
      <rPr>
        <u/>
        <sz val="12"/>
        <color theme="1"/>
        <rFont val="Calibri (Body)"/>
      </rPr>
      <t>85% SG</t>
    </r>
    <r>
      <rPr>
        <sz val="12"/>
        <color theme="1"/>
        <rFont val="Calibri"/>
        <family val="2"/>
        <scheme val="minor"/>
      </rPr>
      <t>, 3% SF</t>
    </r>
  </si>
  <si>
    <t>Louisiana Lafayette</t>
  </si>
  <si>
    <t>R.J. Barrett</t>
  </si>
  <si>
    <t>2019 Draft (#3 pick)</t>
  </si>
  <si>
    <r>
      <rPr>
        <u/>
        <sz val="12"/>
        <color theme="1"/>
        <rFont val="Calibri (Body)"/>
      </rPr>
      <t>72% SG</t>
    </r>
    <r>
      <rPr>
        <sz val="12"/>
        <color theme="1"/>
        <rFont val="Calibri"/>
        <family val="2"/>
        <scheme val="minor"/>
      </rPr>
      <t>, 27% SF, 1% PF</t>
    </r>
  </si>
  <si>
    <t>Frank Ntilikina</t>
  </si>
  <si>
    <t>SIG Strasbourg (France)</t>
  </si>
  <si>
    <t>2017 Draft (#8 pick)</t>
  </si>
  <si>
    <t>Year 3/4 of 4 yr/$19M from 2017 offseason</t>
  </si>
  <si>
    <r>
      <rPr>
        <u/>
        <sz val="12"/>
        <color theme="1"/>
        <rFont val="Calibri (Body)"/>
      </rPr>
      <t>92% PG</t>
    </r>
    <r>
      <rPr>
        <sz val="12"/>
        <color theme="1"/>
        <rFont val="Calibri"/>
        <family val="2"/>
        <scheme val="minor"/>
      </rPr>
      <t>, 8% SG</t>
    </r>
  </si>
  <si>
    <t>Dennis Smith Jr.</t>
  </si>
  <si>
    <t>Traded from DAL on 1/31/19</t>
  </si>
  <si>
    <t>Rookie Scale (DAL)</t>
  </si>
  <si>
    <t>Year 3/4 of 4 yr/$17M from 2017 offseason</t>
  </si>
  <si>
    <t>Kevin Knox</t>
  </si>
  <si>
    <t>2018 Draft (#9 pick)</t>
  </si>
  <si>
    <t>Year 2/4 of 4 yr/$19M from 2018 offseason</t>
  </si>
  <si>
    <r>
      <t xml:space="preserve">3% SG, </t>
    </r>
    <r>
      <rPr>
        <u/>
        <sz val="12"/>
        <color theme="1"/>
        <rFont val="Calibri (Body)"/>
      </rPr>
      <t>77% SF</t>
    </r>
    <r>
      <rPr>
        <sz val="12"/>
        <color theme="1"/>
        <rFont val="Calibri"/>
        <family val="2"/>
        <scheme val="minor"/>
      </rPr>
      <t>, 19% PF</t>
    </r>
  </si>
  <si>
    <r>
      <t xml:space="preserve">2% PG, </t>
    </r>
    <r>
      <rPr>
        <u/>
        <sz val="12"/>
        <color theme="1"/>
        <rFont val="Calibri (Body)"/>
      </rPr>
      <t>72% SG</t>
    </r>
    <r>
      <rPr>
        <sz val="12"/>
        <color theme="1"/>
        <rFont val="Calibri"/>
        <family val="2"/>
        <scheme val="minor"/>
      </rPr>
      <t>, 26% SF</t>
    </r>
  </si>
  <si>
    <t>Houston</t>
  </si>
  <si>
    <t>2017 Draft (#44 pick)</t>
  </si>
  <si>
    <r>
      <t xml:space="preserve">3% PG, </t>
    </r>
    <r>
      <rPr>
        <u/>
        <sz val="12"/>
        <color theme="1"/>
        <rFont val="Calibri (Body)"/>
      </rPr>
      <t>81% SG</t>
    </r>
    <r>
      <rPr>
        <sz val="12"/>
        <color theme="1"/>
        <rFont val="Calibri"/>
        <family val="2"/>
        <scheme val="minor"/>
      </rPr>
      <t>, 16% SF</t>
    </r>
  </si>
  <si>
    <t>2018 Draft (#36 pick)</t>
  </si>
  <si>
    <t>Ignas Brazdeikis</t>
  </si>
  <si>
    <t>2019 Draft (#47 pick)</t>
  </si>
  <si>
    <r>
      <rPr>
        <u/>
        <sz val="12"/>
        <color theme="1"/>
        <rFont val="Calibri (Body)"/>
      </rPr>
      <t>92% SF</t>
    </r>
    <r>
      <rPr>
        <sz val="12"/>
        <color theme="1"/>
        <rFont val="Calibri"/>
        <family val="2"/>
        <scheme val="minor"/>
      </rPr>
      <t>, 8% PF</t>
    </r>
  </si>
  <si>
    <t>Kenny Wooten</t>
  </si>
  <si>
    <t>Signed on 1/14/20</t>
  </si>
  <si>
    <t>2020 1st (6)</t>
  </si>
  <si>
    <t>2020 1st (27) - LAC</t>
  </si>
  <si>
    <t>2020 2nd (38) - CHA</t>
  </si>
  <si>
    <t>2021 1st from Dallas (unprotected)</t>
  </si>
  <si>
    <t>2021 1st from LA Clippers (right to swap, protected 1-4, lol)</t>
  </si>
  <si>
    <t>2021 2nd from Detroit (unprotected)</t>
  </si>
  <si>
    <t>2021 2nd from Charlotte (unprotected)</t>
  </si>
  <si>
    <t>2023 1st from Dallas (protected 1-10 in 2023-2025, if not conveyed becomes 2025 2nd)</t>
  </si>
  <si>
    <t>David Fizdale / Mike Miller</t>
  </si>
  <si>
    <t>Jeff Hornacek</t>
  </si>
  <si>
    <t>Derek Fisher / Kurt Rambis</t>
  </si>
  <si>
    <t>Derek Fisher</t>
  </si>
  <si>
    <t>Mike Woodson</t>
  </si>
  <si>
    <t>Beat BOS in first round (4-2), lost to IND in second round (4-2)</t>
  </si>
  <si>
    <t>Mike D'Antoni / Mike Woodson</t>
  </si>
  <si>
    <t>Lost to MIA in first round (4-1)</t>
  </si>
  <si>
    <t>Chris Paul</t>
  </si>
  <si>
    <t>Traded from HOU on 7/16/19</t>
  </si>
  <si>
    <r>
      <rPr>
        <u/>
        <sz val="12"/>
        <color theme="1"/>
        <rFont val="Calibri (Body)"/>
      </rPr>
      <t>51% PG</t>
    </r>
    <r>
      <rPr>
        <sz val="12"/>
        <color theme="1"/>
        <rFont val="Calibri"/>
        <family val="2"/>
        <scheme val="minor"/>
      </rPr>
      <t>, 49% SG</t>
    </r>
  </si>
  <si>
    <t>Steven Adams</t>
  </si>
  <si>
    <t>Pittsburgh</t>
  </si>
  <si>
    <t>2013 Draft (#12 pick)</t>
  </si>
  <si>
    <t>7.5% trade kicker</t>
  </si>
  <si>
    <t>Olimpia Milano (Italy)</t>
  </si>
  <si>
    <t>Traded from LAC on 7/10/19</t>
  </si>
  <si>
    <t>Sign-and-Trade (LAC)</t>
  </si>
  <si>
    <r>
      <rPr>
        <u/>
        <sz val="12"/>
        <color theme="1"/>
        <rFont val="Calibri (Body)"/>
      </rPr>
      <t>98% PF</t>
    </r>
    <r>
      <rPr>
        <sz val="12"/>
        <color theme="1"/>
        <rFont val="Calibri"/>
        <family val="2"/>
        <scheme val="minor"/>
      </rPr>
      <t>, 2% C</t>
    </r>
  </si>
  <si>
    <t>Phantoms Braunschweig (Germany)</t>
  </si>
  <si>
    <t>Traded from ATL on 7/25/18</t>
  </si>
  <si>
    <t>Bird Rights (ATL)</t>
  </si>
  <si>
    <t>$2,000,000 annual unlikely incentives ($500,000 for 65+ games and All-Defense, other incentives unknown)</t>
  </si>
  <si>
    <t>2013 Draft (#26 pick)</t>
  </si>
  <si>
    <r>
      <rPr>
        <u/>
        <sz val="12"/>
        <color theme="1"/>
        <rFont val="Calibri (Body)"/>
      </rPr>
      <t>83% SG</t>
    </r>
    <r>
      <rPr>
        <sz val="12"/>
        <color theme="1"/>
        <rFont val="Calibri"/>
        <family val="2"/>
        <scheme val="minor"/>
      </rPr>
      <t>, 17% SF</t>
    </r>
  </si>
  <si>
    <t>Shai Gilgeous-Alexander</t>
  </si>
  <si>
    <t>Rookie Scale (LAC)</t>
  </si>
  <si>
    <r>
      <rPr>
        <sz val="12"/>
        <color theme="1"/>
        <rFont val="Calibri (Body)"/>
      </rPr>
      <t xml:space="preserve">3% PG, </t>
    </r>
    <r>
      <rPr>
        <u/>
        <sz val="12"/>
        <color theme="1"/>
        <rFont val="Calibri (Body)"/>
      </rPr>
      <t>79% SG</t>
    </r>
    <r>
      <rPr>
        <sz val="12"/>
        <color theme="1"/>
        <rFont val="Calibri (Body)"/>
      </rPr>
      <t>, 18% SF</t>
    </r>
  </si>
  <si>
    <t>Terrance Ferguson</t>
  </si>
  <si>
    <t>Adelaide 36ers (Australia)</t>
  </si>
  <si>
    <t>2017 Draft (#21 pick)</t>
  </si>
  <si>
    <r>
      <t xml:space="preserve">2% SG, </t>
    </r>
    <r>
      <rPr>
        <u/>
        <sz val="12"/>
        <color theme="1"/>
        <rFont val="Calibri (Body)"/>
      </rPr>
      <t>91% SF</t>
    </r>
    <r>
      <rPr>
        <sz val="12"/>
        <color theme="1"/>
        <rFont val="Calibri"/>
        <family val="2"/>
        <scheme val="minor"/>
      </rPr>
      <t>, 7% PF</t>
    </r>
  </si>
  <si>
    <t>Darius Bazley</t>
  </si>
  <si>
    <t>New Balance Internship</t>
  </si>
  <si>
    <t>2019 Draft (#23 pick)</t>
  </si>
  <si>
    <r>
      <rPr>
        <sz val="12"/>
        <color theme="1"/>
        <rFont val="Calibri (Body)"/>
      </rPr>
      <t xml:space="preserve">3% SF, </t>
    </r>
    <r>
      <rPr>
        <u/>
        <sz val="12"/>
        <color theme="1"/>
        <rFont val="Calibri (Body)"/>
      </rPr>
      <t>97% PF</t>
    </r>
    <r>
      <rPr>
        <sz val="12"/>
        <color theme="1"/>
        <rFont val="Calibri (Body)"/>
      </rPr>
      <t>, 1% C</t>
    </r>
  </si>
  <si>
    <t>Obradoiro CAB (Spain)</t>
  </si>
  <si>
    <t>1% PF, 99% C</t>
  </si>
  <si>
    <t>Traded from BOS on 7/23/18</t>
  </si>
  <si>
    <t>Cap Space (BOS)</t>
  </si>
  <si>
    <r>
      <t xml:space="preserve">2% SG, </t>
    </r>
    <r>
      <rPr>
        <u/>
        <sz val="12"/>
        <color theme="1"/>
        <rFont val="Calibri (Body)"/>
      </rPr>
      <t>58% SF</t>
    </r>
    <r>
      <rPr>
        <sz val="12"/>
        <color theme="1"/>
        <rFont val="Calibri"/>
        <family val="2"/>
        <scheme val="minor"/>
      </rPr>
      <t>, 40% PF</t>
    </r>
  </si>
  <si>
    <t>Isaiah Roby</t>
  </si>
  <si>
    <t>Nebraska</t>
  </si>
  <si>
    <t>Traded from DAL on 1/24/20</t>
  </si>
  <si>
    <t>MLE (DAL)</t>
  </si>
  <si>
    <t>100% PF</t>
  </si>
  <si>
    <t>2018 Draft (#45 pick)</t>
  </si>
  <si>
    <r>
      <t xml:space="preserve">15% SG, </t>
    </r>
    <r>
      <rPr>
        <u/>
        <sz val="12"/>
        <color theme="1"/>
        <rFont val="Calibri (Body)"/>
      </rPr>
      <t>76% SF</t>
    </r>
    <r>
      <rPr>
        <sz val="12"/>
        <color theme="1"/>
        <rFont val="Calibri"/>
        <family val="2"/>
        <scheme val="minor"/>
      </rPr>
      <t>, 8% PF</t>
    </r>
  </si>
  <si>
    <t>Wonju DB Promy (South Korea)</t>
  </si>
  <si>
    <t>Signed on 7/7/18</t>
  </si>
  <si>
    <r>
      <t xml:space="preserve">12% PG, 37% SG, </t>
    </r>
    <r>
      <rPr>
        <u/>
        <sz val="12"/>
        <color theme="1"/>
        <rFont val="Calibri (Body)"/>
      </rPr>
      <t>45% SF</t>
    </r>
    <r>
      <rPr>
        <sz val="12"/>
        <color theme="1"/>
        <rFont val="Calibri"/>
        <family val="2"/>
        <scheme val="minor"/>
      </rPr>
      <t>, 7% PF</t>
    </r>
  </si>
  <si>
    <t>Luguentz Dort</t>
  </si>
  <si>
    <r>
      <t xml:space="preserve">3% PG, 16% SG, </t>
    </r>
    <r>
      <rPr>
        <u/>
        <sz val="12"/>
        <color theme="1"/>
        <rFont val="Calibri (Body)"/>
      </rPr>
      <t>79% SF</t>
    </r>
    <r>
      <rPr>
        <sz val="12"/>
        <color theme="1"/>
        <rFont val="Calibri"/>
        <family val="2"/>
        <scheme val="minor"/>
      </rPr>
      <t>, 2% PF</t>
    </r>
  </si>
  <si>
    <t>Kevin Hervey</t>
  </si>
  <si>
    <t>UT-Arlington</t>
  </si>
  <si>
    <t>Signed on 12/12/19</t>
  </si>
  <si>
    <r>
      <t xml:space="preserve">49% PF, </t>
    </r>
    <r>
      <rPr>
        <u/>
        <sz val="12"/>
        <color theme="1"/>
        <rFont val="Calibri (Body)"/>
      </rPr>
      <t>51% C</t>
    </r>
  </si>
  <si>
    <t>2020 1st (25) - DEN</t>
  </si>
  <si>
    <t>Billy Donovan</t>
  </si>
  <si>
    <t>2021 1st from Miami and/or Houston (OKC receives two most favorable of own pick, MIA pick, and HOU pick protected 1-4)</t>
  </si>
  <si>
    <t>2022 1st from LA Clippers (unprotected)</t>
  </si>
  <si>
    <t>2023 1st from LA Clippers (right to swap, unprotected)</t>
  </si>
  <si>
    <t>2023 1st from Miami (protected 1-14 in 2023-2025, unprotected in 2026)</t>
  </si>
  <si>
    <t>2024 1st from Houston (protected 1-4, becomes 2024 and 2025 2nds)</t>
  </si>
  <si>
    <t>2024 1st from LA Clippers (unprotected)</t>
  </si>
  <si>
    <t>2024 2nd from Memphis (unprotected)</t>
  </si>
  <si>
    <t>2025 1st from Houston/LA Clippers (OKC has right to swap its pick with LAC or HOU pick protected 1-10)</t>
  </si>
  <si>
    <t>2026 1st from Houston (protected 1-4, becomes 2026 2nd)</t>
  </si>
  <si>
    <t>2026 1st from LA Clippers (unprotected)</t>
  </si>
  <si>
    <t>2022 1st to Atlanta (protected 1-14, becomes 2024 and 2025 2nds)</t>
  </si>
  <si>
    <t>Lost to POR in first round (4-1)</t>
  </si>
  <si>
    <t>Lost to UTA in first round (4-2)</t>
  </si>
  <si>
    <t>Beat DAL in first round (4-1), Beat SAS in second round (4-2), lost to GSW in WCF (4-3)</t>
  </si>
  <si>
    <t>Scott Brooks</t>
  </si>
  <si>
    <t>Beat MEM in first round (4-3), Beat OKC in second round (4-2), lost to SAS in WCF (4-2)</t>
  </si>
  <si>
    <t>Beat HOU in first round (4-2), lost to MEM in second round (4-1)</t>
  </si>
  <si>
    <t>Beat DAL in first round (4-0), Beat LAL in second round (4-1), Beat SAS in WCF (4-2), lost to MIA in NBA Finals (4-1)</t>
  </si>
  <si>
    <t>Beat DEN in first round (4-1), Beat MEM in second round (4-3), lost to DAL in WCF (4-1)</t>
  </si>
  <si>
    <t>Nikola Vucevic</t>
  </si>
  <si>
    <t>Traded from PHI on 8/10/12</t>
  </si>
  <si>
    <t>2014 Draft (#4 pick)</t>
  </si>
  <si>
    <t>$1,000,000 annual unlikely incentives (unknown)</t>
  </si>
  <si>
    <r>
      <t xml:space="preserve">15% SF, </t>
    </r>
    <r>
      <rPr>
        <u/>
        <sz val="12"/>
        <color theme="1"/>
        <rFont val="Calibri"/>
        <family val="2"/>
      </rPr>
      <t>83% PF</t>
    </r>
    <r>
      <rPr>
        <sz val="12"/>
        <color theme="1"/>
        <rFont val="Calibri"/>
        <family val="2"/>
      </rPr>
      <t>, 2% C</t>
    </r>
  </si>
  <si>
    <t>Poitiers Basket 86 (France)</t>
  </si>
  <si>
    <t>Traded from DEN on 6/26/14</t>
  </si>
  <si>
    <t>Year 4/5 of 5 yr/$85M from 2016 offseason</t>
  </si>
  <si>
    <t>$150,000 annual likely incentives (playoffs), $1,000,000 annual unlikely incentives ($500,000 for championship, $500,000 for All-Star)</t>
  </si>
  <si>
    <r>
      <rPr>
        <u/>
        <sz val="12"/>
        <color theme="1"/>
        <rFont val="Calibri"/>
        <family val="2"/>
      </rPr>
      <t>53% SG</t>
    </r>
    <r>
      <rPr>
        <sz val="12"/>
        <color theme="1"/>
        <rFont val="Calibri"/>
        <family val="2"/>
      </rPr>
      <t>, 47% SF</t>
    </r>
  </si>
  <si>
    <t>Traded from TOR on 2/14/17</t>
  </si>
  <si>
    <r>
      <t xml:space="preserve">2% PG, </t>
    </r>
    <r>
      <rPr>
        <u/>
        <sz val="12"/>
        <color theme="1"/>
        <rFont val="Calibri"/>
        <family val="2"/>
      </rPr>
      <t>71% SG</t>
    </r>
    <r>
      <rPr>
        <sz val="12"/>
        <color theme="1"/>
        <rFont val="Calibri"/>
        <family val="2"/>
      </rPr>
      <t>, 27% SF</t>
    </r>
  </si>
  <si>
    <t>Markelle Fultz</t>
  </si>
  <si>
    <t>Traded from PHI on 2/7/19</t>
  </si>
  <si>
    <r>
      <rPr>
        <u/>
        <sz val="12"/>
        <color theme="1"/>
        <rFont val="Calibri"/>
        <family val="2"/>
      </rPr>
      <t>87% PG</t>
    </r>
    <r>
      <rPr>
        <sz val="12"/>
        <color theme="1"/>
        <rFont val="Calibri"/>
        <family val="2"/>
      </rPr>
      <t>, 13% SG</t>
    </r>
  </si>
  <si>
    <t>Al-Farouq Aminu</t>
  </si>
  <si>
    <r>
      <rPr>
        <u/>
        <sz val="12"/>
        <color theme="1"/>
        <rFont val="Calibri"/>
        <family val="2"/>
      </rPr>
      <t>98% PF</t>
    </r>
    <r>
      <rPr>
        <sz val="12"/>
        <color theme="1"/>
        <rFont val="Calibri"/>
        <family val="2"/>
      </rPr>
      <t>, 2% C</t>
    </r>
  </si>
  <si>
    <t>Signed on 7/7/16</t>
  </si>
  <si>
    <t>Jonathan Isaac</t>
  </si>
  <si>
    <t>2017 Draft (#6 pick)</t>
  </si>
  <si>
    <r>
      <rPr>
        <u/>
        <sz val="12"/>
        <color theme="1"/>
        <rFont val="Calibri"/>
        <family val="2"/>
      </rPr>
      <t>56% SF</t>
    </r>
    <r>
      <rPr>
        <sz val="12"/>
        <color theme="1"/>
        <rFont val="Calibri"/>
        <family val="2"/>
      </rPr>
      <t>, 44% PF</t>
    </r>
  </si>
  <si>
    <t>Mo Bamba</t>
  </si>
  <si>
    <t>2018 Draft (#6 pick)</t>
  </si>
  <si>
    <t>Khem Birch</t>
  </si>
  <si>
    <t>Olympiacos (Greece)</t>
  </si>
  <si>
    <t>Signed on 7/27/17</t>
  </si>
  <si>
    <r>
      <t xml:space="preserve">43% PF, </t>
    </r>
    <r>
      <rPr>
        <u/>
        <sz val="12"/>
        <color theme="1"/>
        <rFont val="Calibri"/>
        <family val="2"/>
      </rPr>
      <t>58% C</t>
    </r>
  </si>
  <si>
    <t>Perth Wildcats (Australia)</t>
  </si>
  <si>
    <t>Traded from PHI on 2/6/20</t>
  </si>
  <si>
    <t>Minimum (PHI)</t>
  </si>
  <si>
    <r>
      <rPr>
        <u/>
        <sz val="12"/>
        <color theme="1"/>
        <rFont val="Calibri"/>
        <family val="2"/>
      </rPr>
      <t>67% SF</t>
    </r>
    <r>
      <rPr>
        <sz val="12"/>
        <color theme="1"/>
        <rFont val="Calibri"/>
        <family val="2"/>
      </rPr>
      <t>, 33% PF</t>
    </r>
  </si>
  <si>
    <t>Syracuase</t>
  </si>
  <si>
    <t>Signed on 3/15/19</t>
  </si>
  <si>
    <r>
      <t xml:space="preserve">33% PG, </t>
    </r>
    <r>
      <rPr>
        <u/>
        <sz val="12"/>
        <color theme="1"/>
        <rFont val="Calibri"/>
        <family val="2"/>
      </rPr>
      <t>66% SG</t>
    </r>
    <r>
      <rPr>
        <sz val="12"/>
        <color theme="1"/>
        <rFont val="Calibri"/>
        <family val="2"/>
      </rPr>
      <t>, 1% SF</t>
    </r>
  </si>
  <si>
    <t>2017 Draft (#33 pick)</t>
  </si>
  <si>
    <r>
      <t xml:space="preserve">1% PG, 9% SG, </t>
    </r>
    <r>
      <rPr>
        <u/>
        <sz val="12"/>
        <color theme="1"/>
        <rFont val="Calibri"/>
        <family val="2"/>
      </rPr>
      <t>82% SF</t>
    </r>
    <r>
      <rPr>
        <sz val="12"/>
        <color theme="1"/>
        <rFont val="Calibri"/>
        <family val="2"/>
      </rPr>
      <t>, 8% PF</t>
    </r>
  </si>
  <si>
    <t>2018 Draft (#35 pick)</t>
  </si>
  <si>
    <r>
      <rPr>
        <u/>
        <sz val="12"/>
        <color theme="1"/>
        <rFont val="Calibri"/>
        <family val="2"/>
      </rPr>
      <t>91% SG</t>
    </r>
    <r>
      <rPr>
        <sz val="12"/>
        <color theme="1"/>
        <rFont val="Calibri"/>
        <family val="2"/>
      </rPr>
      <t>, 10% SF</t>
    </r>
  </si>
  <si>
    <t>Gary Clark</t>
  </si>
  <si>
    <r>
      <t xml:space="preserve">12% SF, </t>
    </r>
    <r>
      <rPr>
        <u/>
        <sz val="12"/>
        <color theme="1"/>
        <rFont val="Calibri"/>
        <family val="2"/>
      </rPr>
      <t>87% PF</t>
    </r>
    <r>
      <rPr>
        <sz val="12"/>
        <color theme="1"/>
        <rFont val="Calibri"/>
        <family val="2"/>
      </rPr>
      <t>, 1% C</t>
    </r>
  </si>
  <si>
    <t>B.J. Johnson</t>
  </si>
  <si>
    <t>La Salle</t>
  </si>
  <si>
    <t>Signed on 11/4/19</t>
  </si>
  <si>
    <r>
      <t>34% SG,</t>
    </r>
    <r>
      <rPr>
        <u/>
        <sz val="12"/>
        <color theme="1"/>
        <rFont val="Calibri"/>
        <family val="2"/>
      </rPr>
      <t xml:space="preserve"> 64% SF</t>
    </r>
    <r>
      <rPr>
        <sz val="12"/>
        <color theme="1"/>
        <rFont val="Calibri"/>
        <family val="2"/>
      </rPr>
      <t>, 2% PF</t>
    </r>
  </si>
  <si>
    <t>Vic Law</t>
  </si>
  <si>
    <t>Northwestern</t>
  </si>
  <si>
    <t>Signed on 1/11/20</t>
  </si>
  <si>
    <t>Chuma Okeke</t>
  </si>
  <si>
    <t>2019 Draft (#16 pick)</t>
  </si>
  <si>
    <t>2020 1st (15)</t>
  </si>
  <si>
    <t>2020 2nd (45)</t>
  </si>
  <si>
    <t>Lost to TOR in first round (4-1)</t>
  </si>
  <si>
    <t>Jacque Vaughn / James Borrego</t>
  </si>
  <si>
    <t>Lost to IND in first round (4-1)</t>
  </si>
  <si>
    <t>Tobias Harris</t>
  </si>
  <si>
    <t>Traded from LAC on 2/6/19</t>
  </si>
  <si>
    <t>Trade kicker (lesser value of 5% or $5,000,000)</t>
  </si>
  <si>
    <r>
      <t xml:space="preserve">23% SF, </t>
    </r>
    <r>
      <rPr>
        <u/>
        <sz val="12"/>
        <color theme="1"/>
        <rFont val="Calibri"/>
        <family val="2"/>
      </rPr>
      <t>74% PF</t>
    </r>
    <r>
      <rPr>
        <sz val="12"/>
        <color theme="1"/>
        <rFont val="Calibri"/>
        <family val="2"/>
      </rPr>
      <t>, 3% C</t>
    </r>
  </si>
  <si>
    <t>Al Horford</t>
  </si>
  <si>
    <r>
      <t xml:space="preserve">30% PF, </t>
    </r>
    <r>
      <rPr>
        <u/>
        <sz val="12"/>
        <color theme="1"/>
        <rFont val="Calibri"/>
        <family val="2"/>
      </rPr>
      <t>70% C</t>
    </r>
  </si>
  <si>
    <t>Joel Embiid</t>
  </si>
  <si>
    <t>2014 Draft (#3 pick)</t>
  </si>
  <si>
    <t>Josh Richardson</t>
  </si>
  <si>
    <t>Traded from MIA on 7/6/19</t>
  </si>
  <si>
    <r>
      <t xml:space="preserve">15% PG, </t>
    </r>
    <r>
      <rPr>
        <u/>
        <sz val="12"/>
        <color theme="1"/>
        <rFont val="Calibri"/>
        <family val="2"/>
      </rPr>
      <t>68% SG</t>
    </r>
    <r>
      <rPr>
        <sz val="12"/>
        <color theme="1"/>
        <rFont val="Calibri"/>
        <family val="2"/>
      </rPr>
      <t>, 17% SF</t>
    </r>
  </si>
  <si>
    <t>2016 Draft (#1 pick)</t>
  </si>
  <si>
    <t>15% trade kicker, 25% of cap max extension: becomes 28% w/ All-NBA 3rd, 29% w/ All-NBA 2nd, 30% w/ All-NBA 1st</t>
  </si>
  <si>
    <r>
      <rPr>
        <u/>
        <sz val="12"/>
        <color theme="1"/>
        <rFont val="Calibri"/>
        <family val="2"/>
      </rPr>
      <t>93% PG</t>
    </r>
    <r>
      <rPr>
        <sz val="12"/>
        <color theme="1"/>
        <rFont val="Calibri"/>
        <family val="2"/>
      </rPr>
      <t>, 7% SG</t>
    </r>
  </si>
  <si>
    <t>Mike Scott</t>
  </si>
  <si>
    <r>
      <t xml:space="preserve">29% SF, </t>
    </r>
    <r>
      <rPr>
        <u/>
        <sz val="12"/>
        <color theme="1"/>
        <rFont val="Calibri"/>
        <family val="2"/>
      </rPr>
      <t>68% PF</t>
    </r>
    <r>
      <rPr>
        <sz val="12"/>
        <color theme="1"/>
        <rFont val="Calibri"/>
        <family val="2"/>
      </rPr>
      <t>, 3% C</t>
    </r>
  </si>
  <si>
    <t>Zhaire Smith</t>
  </si>
  <si>
    <t>2018 Draft (#16 pick)</t>
  </si>
  <si>
    <r>
      <t xml:space="preserve">44% SG, </t>
    </r>
    <r>
      <rPr>
        <u/>
        <sz val="12"/>
        <color theme="1"/>
        <rFont val="Calibri"/>
        <family val="2"/>
      </rPr>
      <t>57% SF</t>
    </r>
  </si>
  <si>
    <t>Matisse Thybulle</t>
  </si>
  <si>
    <t>2019 Draft (#20 pick)</t>
  </si>
  <si>
    <r>
      <t xml:space="preserve">16% PG, </t>
    </r>
    <r>
      <rPr>
        <u/>
        <sz val="12"/>
        <color theme="1"/>
        <rFont val="Calibri"/>
        <family val="2"/>
      </rPr>
      <t>81% SG</t>
    </r>
    <r>
      <rPr>
        <sz val="12"/>
        <color theme="1"/>
        <rFont val="Calibri"/>
        <family val="2"/>
      </rPr>
      <t>, 3% SF, 1% PF</t>
    </r>
  </si>
  <si>
    <r>
      <t xml:space="preserve">4% SG, </t>
    </r>
    <r>
      <rPr>
        <u/>
        <sz val="12"/>
        <color theme="1"/>
        <rFont val="Calibri"/>
        <family val="2"/>
      </rPr>
      <t>80% SF</t>
    </r>
    <r>
      <rPr>
        <sz val="12"/>
        <color theme="1"/>
        <rFont val="Calibri"/>
        <family val="2"/>
      </rPr>
      <t>, 17% PF</t>
    </r>
  </si>
  <si>
    <r>
      <t xml:space="preserve">1% PG, 19% SG, </t>
    </r>
    <r>
      <rPr>
        <u/>
        <sz val="12"/>
        <color theme="1"/>
        <rFont val="Calibri"/>
        <family val="2"/>
      </rPr>
      <t>79% SF</t>
    </r>
    <r>
      <rPr>
        <sz val="12"/>
        <color theme="1"/>
        <rFont val="Calibri"/>
        <family val="2"/>
      </rPr>
      <t>, 1% PF</t>
    </r>
  </si>
  <si>
    <t>Bandirma BIK (Turkey)</t>
  </si>
  <si>
    <t>2016 Draft (#26 pick) - signed on 7/4/17</t>
  </si>
  <si>
    <r>
      <t xml:space="preserve">1% PG, 41% SG, </t>
    </r>
    <r>
      <rPr>
        <u/>
        <sz val="12"/>
        <color theme="1"/>
        <rFont val="Calibri"/>
        <family val="2"/>
      </rPr>
      <t>55% SF</t>
    </r>
    <r>
      <rPr>
        <sz val="12"/>
        <color theme="1"/>
        <rFont val="Calibri"/>
        <family val="2"/>
      </rPr>
      <t>, 2% PF</t>
    </r>
  </si>
  <si>
    <t>UCAM Murcia CB (Spain)</t>
  </si>
  <si>
    <t>Signed on 7/12/19</t>
  </si>
  <si>
    <r>
      <rPr>
        <u/>
        <sz val="12"/>
        <color theme="1"/>
        <rFont val="Calibri"/>
        <family val="2"/>
      </rPr>
      <t>91% PG</t>
    </r>
    <r>
      <rPr>
        <sz val="12"/>
        <color theme="1"/>
        <rFont val="Calibri"/>
        <family val="2"/>
      </rPr>
      <t>, 9% SG</t>
    </r>
  </si>
  <si>
    <t>Norfolk State</t>
  </si>
  <si>
    <t>Shake Milton</t>
  </si>
  <si>
    <t>2018 Draft (#54 pick)</t>
  </si>
  <si>
    <r>
      <t xml:space="preserve">12% PG, </t>
    </r>
    <r>
      <rPr>
        <u/>
        <sz val="12"/>
        <color theme="1"/>
        <rFont val="Calibri"/>
        <family val="2"/>
      </rPr>
      <t>61% SG</t>
    </r>
    <r>
      <rPr>
        <sz val="12"/>
        <color theme="1"/>
        <rFont val="Calibri"/>
        <family val="2"/>
      </rPr>
      <t>, 25% SF, 2% PF</t>
    </r>
  </si>
  <si>
    <t>Homenetmen Beirut (Lebanon)</t>
  </si>
  <si>
    <r>
      <t xml:space="preserve">14% PF, </t>
    </r>
    <r>
      <rPr>
        <u/>
        <sz val="12"/>
        <color theme="1"/>
        <rFont val="Calibri"/>
        <family val="2"/>
      </rPr>
      <t>86% C</t>
    </r>
  </si>
  <si>
    <t>Marial Shayok</t>
  </si>
  <si>
    <t>2019 Draft (#54 pick)</t>
  </si>
  <si>
    <r>
      <rPr>
        <u/>
        <sz val="12"/>
        <color theme="1"/>
        <rFont val="Calibri"/>
        <family val="2"/>
      </rPr>
      <t>69% SG</t>
    </r>
    <r>
      <rPr>
        <sz val="12"/>
        <color theme="1"/>
        <rFont val="Calibri"/>
        <family val="2"/>
      </rPr>
      <t>, 27% SF, 4% PF</t>
    </r>
  </si>
  <si>
    <t>2020 2nd (34) - ATL</t>
  </si>
  <si>
    <t>2020 2nd (36) - NYK</t>
  </si>
  <si>
    <t>2020 2nd (49)</t>
  </si>
  <si>
    <t>Brett Brown</t>
  </si>
  <si>
    <t>2021 2nd from New York</t>
  </si>
  <si>
    <t>2023 2nd from Atlanta / Charlotte / Brooklyn (most favorable)</t>
  </si>
  <si>
    <t>2024 2nd from Miami (protected 31-55)</t>
  </si>
  <si>
    <t>2021 2nd to Houston (Houston has the right to swap picks)</t>
  </si>
  <si>
    <t>2022 2nd to Minnesota / Miami</t>
  </si>
  <si>
    <t>Beat BKN in first round (4-1), lost to TOR in second round (4-3)</t>
  </si>
  <si>
    <t>Beat MIA in first round (4-1), lost to BOS in second round (4-1)</t>
  </si>
  <si>
    <t>Doug Collins</t>
  </si>
  <si>
    <t>Beat CHI in first round (4-2), lost to BOS in second round (4-3)</t>
  </si>
  <si>
    <t>Devin Booker</t>
  </si>
  <si>
    <t>2015 Draft (#13 pick)</t>
  </si>
  <si>
    <r>
      <t xml:space="preserve">1% PG, </t>
    </r>
    <r>
      <rPr>
        <u/>
        <sz val="12"/>
        <color theme="1"/>
        <rFont val="Calibri (Body)"/>
      </rPr>
      <t>88% SG</t>
    </r>
    <r>
      <rPr>
        <sz val="12"/>
        <color theme="1"/>
        <rFont val="Calibri"/>
        <family val="2"/>
        <scheme val="minor"/>
      </rPr>
      <t>, 11% SF, 1% PF</t>
    </r>
  </si>
  <si>
    <t>Ricky Rubio</t>
  </si>
  <si>
    <t>Signed from UTA on 7/8/19</t>
  </si>
  <si>
    <r>
      <rPr>
        <u/>
        <sz val="12"/>
        <color theme="1"/>
        <rFont val="Calibri (Body)"/>
      </rPr>
      <t>90% PG</t>
    </r>
    <r>
      <rPr>
        <sz val="12"/>
        <color theme="1"/>
        <rFont val="Calibri"/>
        <family val="2"/>
        <scheme val="minor"/>
      </rPr>
      <t>, 10% SG</t>
    </r>
  </si>
  <si>
    <t>Kelly Oubre Jr.</t>
  </si>
  <si>
    <t>Traded from WSH on 12/17/18</t>
  </si>
  <si>
    <r>
      <t xml:space="preserve">2% SG, </t>
    </r>
    <r>
      <rPr>
        <u/>
        <sz val="12"/>
        <color theme="1"/>
        <rFont val="Calibri (Body)"/>
      </rPr>
      <t>61% SF</t>
    </r>
    <r>
      <rPr>
        <sz val="12"/>
        <color theme="1"/>
        <rFont val="Calibri"/>
        <family val="2"/>
        <scheme val="minor"/>
      </rPr>
      <t>, 37% PF</t>
    </r>
  </si>
  <si>
    <t>DeAndre Ayton</t>
  </si>
  <si>
    <t>2018 Draft (#1 pick)</t>
  </si>
  <si>
    <t>Traded from BOS on 7/6/19</t>
  </si>
  <si>
    <t>Frank Kaminksy</t>
  </si>
  <si>
    <t>Wisconsin</t>
  </si>
  <si>
    <t>Signed from CHA on 7/17/19</t>
  </si>
  <si>
    <t>Mikal Bridges</t>
  </si>
  <si>
    <t>2018 Draft (#10 pick)</t>
  </si>
  <si>
    <r>
      <t xml:space="preserve">14% SG, </t>
    </r>
    <r>
      <rPr>
        <u/>
        <sz val="12"/>
        <color theme="1"/>
        <rFont val="Calibri (Body)"/>
      </rPr>
      <t>78% SF</t>
    </r>
    <r>
      <rPr>
        <sz val="12"/>
        <color theme="1"/>
        <rFont val="Calibri"/>
        <family val="2"/>
        <scheme val="minor"/>
      </rPr>
      <t>, 8% PF</t>
    </r>
  </si>
  <si>
    <t>Cam Johnson</t>
  </si>
  <si>
    <t>2019 Draft (#11 pick)</t>
  </si>
  <si>
    <r>
      <t xml:space="preserve">21% SF, </t>
    </r>
    <r>
      <rPr>
        <u/>
        <sz val="12"/>
        <color theme="1"/>
        <rFont val="Calibri (Body)"/>
      </rPr>
      <t>78% PF</t>
    </r>
    <r>
      <rPr>
        <sz val="12"/>
        <color theme="1"/>
        <rFont val="Calibri"/>
        <family val="2"/>
        <scheme val="minor"/>
      </rPr>
      <t>, 1% C</t>
    </r>
  </si>
  <si>
    <t>Traded from MIN on 7/6/19</t>
  </si>
  <si>
    <t>Ty Jerome</t>
  </si>
  <si>
    <t>2019 Draft (#24 pick)</t>
  </si>
  <si>
    <r>
      <t xml:space="preserve">36% PG, </t>
    </r>
    <r>
      <rPr>
        <u/>
        <sz val="12"/>
        <color theme="1"/>
        <rFont val="Calibri (Body)"/>
      </rPr>
      <t>36% SG</t>
    </r>
    <r>
      <rPr>
        <sz val="12"/>
        <color theme="1"/>
        <rFont val="Calibri"/>
        <family val="2"/>
        <scheme val="minor"/>
      </rPr>
      <t>, 26% SF, 2% PF</t>
    </r>
  </si>
  <si>
    <t>Signed from NOP on 7/23/19</t>
  </si>
  <si>
    <r>
      <t xml:space="preserve">18% PF, </t>
    </r>
    <r>
      <rPr>
        <u/>
        <sz val="12"/>
        <color theme="1"/>
        <rFont val="Calibri (Body)"/>
      </rPr>
      <t>82% C</t>
    </r>
  </si>
  <si>
    <t>West Virginia</t>
  </si>
  <si>
    <t>Traded from MEM on 7/7/19</t>
  </si>
  <si>
    <t>Elan Bearnais (France)</t>
  </si>
  <si>
    <t>2018 Draft (#31 pick)</t>
  </si>
  <si>
    <r>
      <rPr>
        <u/>
        <sz val="12"/>
        <color theme="1"/>
        <rFont val="Calibri (Body)"/>
      </rPr>
      <t>60% PG</t>
    </r>
    <r>
      <rPr>
        <sz val="12"/>
        <color theme="1"/>
        <rFont val="Calibri"/>
        <family val="2"/>
        <scheme val="minor"/>
      </rPr>
      <t>, 36% SG, 4% SF</t>
    </r>
  </si>
  <si>
    <t>Jalen Lecque</t>
  </si>
  <si>
    <t>Brewster Academy HS</t>
  </si>
  <si>
    <t>Tariq Owens</t>
  </si>
  <si>
    <r>
      <t>69% PF</t>
    </r>
    <r>
      <rPr>
        <sz val="12"/>
        <color theme="1"/>
        <rFont val="Calibri (Body)"/>
      </rPr>
      <t>, 31% C</t>
    </r>
  </si>
  <si>
    <t>2020 1st (10)</t>
  </si>
  <si>
    <t>2021 2nd to Memphis or Brooklyn</t>
  </si>
  <si>
    <t>Igor Kokoskov</t>
  </si>
  <si>
    <t>Earl Watson / Jay Triano</t>
  </si>
  <si>
    <t>Earl Watson</t>
  </si>
  <si>
    <t>Jeff Hornacek / Earl Watson</t>
  </si>
  <si>
    <t>Alvin Gentry / Lindsey Hunter</t>
  </si>
  <si>
    <t>Damian Lillard</t>
  </si>
  <si>
    <t>Weber State</t>
  </si>
  <si>
    <t>2012 Draft (#6 pick)</t>
  </si>
  <si>
    <t>Bird Rights / Bird Rights</t>
  </si>
  <si>
    <t>CJ McCollum</t>
  </si>
  <si>
    <t>Lehigh</t>
  </si>
  <si>
    <t>2013 Draft (#10 pick)</t>
  </si>
  <si>
    <r>
      <t xml:space="preserve">13% PG, </t>
    </r>
    <r>
      <rPr>
        <u/>
        <sz val="12"/>
        <color theme="1"/>
        <rFont val="Calibri (Body)"/>
      </rPr>
      <t>80% SG</t>
    </r>
    <r>
      <rPr>
        <sz val="12"/>
        <color theme="1"/>
        <rFont val="Calibri (Body)"/>
      </rPr>
      <t>, 7% SF</t>
    </r>
  </si>
  <si>
    <t>Marshall</t>
  </si>
  <si>
    <t>Traded from DEN on 2/13/17</t>
  </si>
  <si>
    <t>Traded from SAC on 1/21/20</t>
  </si>
  <si>
    <t>Year 1/2 of 2 yr/$25M from 2019 offseason</t>
  </si>
  <si>
    <r>
      <t xml:space="preserve">4% SG, </t>
    </r>
    <r>
      <rPr>
        <u/>
        <sz val="12"/>
        <color theme="1"/>
        <rFont val="Calibri (Body)"/>
      </rPr>
      <t>88% SF</t>
    </r>
    <r>
      <rPr>
        <sz val="12"/>
        <color theme="1"/>
        <rFont val="Calibri (Body)"/>
      </rPr>
      <t>, 9% PF</t>
    </r>
  </si>
  <si>
    <t>Traded from CLE on 2/4/19</t>
  </si>
  <si>
    <t>Year 1/2 of 2 yr/$12M from 2019 offseason</t>
  </si>
  <si>
    <r>
      <t xml:space="preserve">1% SG, </t>
    </r>
    <r>
      <rPr>
        <u/>
        <sz val="12"/>
        <color theme="1"/>
        <rFont val="Calibri (Body)"/>
      </rPr>
      <t>85% SF</t>
    </r>
    <r>
      <rPr>
        <sz val="12"/>
        <color theme="1"/>
        <rFont val="Calibri (Body)"/>
      </rPr>
      <t>, 13% SF</t>
    </r>
  </si>
  <si>
    <t>Zach Collins</t>
  </si>
  <si>
    <t>2017 Draft (#10 pick)</t>
  </si>
  <si>
    <r>
      <rPr>
        <u/>
        <sz val="12"/>
        <color theme="1"/>
        <rFont val="Calibri (Body)"/>
      </rPr>
      <t>57% PF</t>
    </r>
    <r>
      <rPr>
        <sz val="12"/>
        <color theme="1"/>
        <rFont val="Calibri (Body)"/>
      </rPr>
      <t>, 43% C</t>
    </r>
  </si>
  <si>
    <t>Anfernee Simons</t>
  </si>
  <si>
    <t>IMG Academy</t>
  </si>
  <si>
    <t>2018 Draft (#24 pick)</t>
  </si>
  <si>
    <r>
      <rPr>
        <u/>
        <sz val="12"/>
        <color theme="1"/>
        <rFont val="Calibri (Body)"/>
      </rPr>
      <t>53% PG</t>
    </r>
    <r>
      <rPr>
        <sz val="12"/>
        <color theme="1"/>
        <rFont val="Calibri (Body)"/>
      </rPr>
      <t>, 47% SG</t>
    </r>
  </si>
  <si>
    <t>Nassir Little</t>
  </si>
  <si>
    <t>2019 Draft (#25 pick)</t>
  </si>
  <si>
    <r>
      <t xml:space="preserve">5% SG, 27% SF, </t>
    </r>
    <r>
      <rPr>
        <u/>
        <sz val="12"/>
        <color theme="1"/>
        <rFont val="Calibri (Body)"/>
      </rPr>
      <t>67% PF</t>
    </r>
    <r>
      <rPr>
        <sz val="12"/>
        <color theme="1"/>
        <rFont val="Calibri (Body)"/>
      </rPr>
      <t>, 1% C</t>
    </r>
  </si>
  <si>
    <t>Caleb Swanigan</t>
  </si>
  <si>
    <t>Signed from NYK on 7/3/19</t>
  </si>
  <si>
    <r>
      <t xml:space="preserve">23% SF, </t>
    </r>
    <r>
      <rPr>
        <u/>
        <sz val="12"/>
        <color theme="1"/>
        <rFont val="Calibri (Body)"/>
      </rPr>
      <t>74% PF</t>
    </r>
    <r>
      <rPr>
        <sz val="12"/>
        <color theme="1"/>
        <rFont val="Calibri (Body)"/>
      </rPr>
      <t>, 3% C</t>
    </r>
  </si>
  <si>
    <r>
      <t xml:space="preserve">6% SF, </t>
    </r>
    <r>
      <rPr>
        <u/>
        <sz val="12"/>
        <color theme="1"/>
        <rFont val="Calibri (Body)"/>
      </rPr>
      <t>55% PF</t>
    </r>
    <r>
      <rPr>
        <sz val="12"/>
        <color theme="1"/>
        <rFont val="Calibri (Body)"/>
      </rPr>
      <t>, 39% C</t>
    </r>
  </si>
  <si>
    <t>Gary Trent Jr.</t>
  </si>
  <si>
    <t>2018 Draft (#37 pick)</t>
  </si>
  <si>
    <r>
      <t xml:space="preserve">2% PG, 48% SG, </t>
    </r>
    <r>
      <rPr>
        <u/>
        <sz val="12"/>
        <color theme="1"/>
        <rFont val="Calibri (Body)"/>
      </rPr>
      <t>50% SF</t>
    </r>
    <r>
      <rPr>
        <sz val="12"/>
        <color theme="1"/>
        <rFont val="Calibri (Body)"/>
      </rPr>
      <t>, 1% PF</t>
    </r>
  </si>
  <si>
    <t>Signed on 11/15/19</t>
  </si>
  <si>
    <r>
      <rPr>
        <u/>
        <sz val="12"/>
        <color theme="1"/>
        <rFont val="Calibri (Body)"/>
      </rPr>
      <t>86% PF</t>
    </r>
    <r>
      <rPr>
        <sz val="12"/>
        <color theme="1"/>
        <rFont val="Calibri (Body)"/>
      </rPr>
      <t>, 14% C</t>
    </r>
  </si>
  <si>
    <t>Moses Brown</t>
  </si>
  <si>
    <t>Signed on 10/17/19</t>
  </si>
  <si>
    <t>Jaylen Hoard</t>
  </si>
  <si>
    <r>
      <t xml:space="preserve">26% SG, </t>
    </r>
    <r>
      <rPr>
        <u/>
        <sz val="12"/>
        <color theme="1"/>
        <rFont val="Calibri (Body)"/>
      </rPr>
      <t>38% SF</t>
    </r>
    <r>
      <rPr>
        <sz val="12"/>
        <color theme="1"/>
        <rFont val="Calibri (Body)"/>
      </rPr>
      <t>, 36% PF</t>
    </r>
  </si>
  <si>
    <t>Terry Stotts</t>
  </si>
  <si>
    <t>2024 2nd from Atlanta (protected 31-55)</t>
  </si>
  <si>
    <t>2021 2nd to Memphis</t>
  </si>
  <si>
    <t>2023 2nd to Detroit</t>
  </si>
  <si>
    <t>2024 2nd to Sacramento</t>
  </si>
  <si>
    <t>2025 2nd to Sacramento</t>
  </si>
  <si>
    <t>Beat OKC in first round (4-1), beat DEN in second round (4-3), lost to GSW in WCF (4-0)</t>
  </si>
  <si>
    <t>Lost to NOP in first round (4-0)</t>
  </si>
  <si>
    <t>Beat LAC in first round (4-2), lost to GSW in second round (4-1)</t>
  </si>
  <si>
    <t>Lost to MEM in first round (4-1)</t>
  </si>
  <si>
    <t>Beat HOU in first round (4-2), lost to SAS in second round (4-1)</t>
  </si>
  <si>
    <t>Nate McMillan / Kaleb Canales</t>
  </si>
  <si>
    <t>Lost to DAL in first round (4-2)</t>
  </si>
  <si>
    <t>Harrison Barnes</t>
  </si>
  <si>
    <t>Traded from DAL on 2/7/19</t>
  </si>
  <si>
    <r>
      <t xml:space="preserve">43% SF, </t>
    </r>
    <r>
      <rPr>
        <u/>
        <sz val="12"/>
        <color theme="1"/>
        <rFont val="Calibri"/>
        <family val="2"/>
      </rPr>
      <t>54% PF</t>
    </r>
    <r>
      <rPr>
        <sz val="12"/>
        <color theme="1"/>
        <rFont val="Calibri"/>
        <family val="2"/>
      </rPr>
      <t>, 3% C</t>
    </r>
  </si>
  <si>
    <t>Old Dominion</t>
  </si>
  <si>
    <t>Traded from POR on 1/21/20</t>
  </si>
  <si>
    <t>Cap Space (ATL)</t>
  </si>
  <si>
    <r>
      <rPr>
        <u/>
        <sz val="12"/>
        <color theme="1"/>
        <rFont val="Calibri"/>
        <family val="2"/>
      </rPr>
      <t>88% SG</t>
    </r>
    <r>
      <rPr>
        <sz val="12"/>
        <color theme="1"/>
        <rFont val="Calibri"/>
        <family val="2"/>
      </rPr>
      <t>, 12% SF</t>
    </r>
  </si>
  <si>
    <t>Cory Joseph</t>
  </si>
  <si>
    <t>Signed from IND on 7/6/19</t>
  </si>
  <si>
    <r>
      <rPr>
        <u/>
        <sz val="12"/>
        <color theme="1"/>
        <rFont val="Calibri"/>
        <family val="2"/>
      </rPr>
      <t>75% PG</t>
    </r>
    <r>
      <rPr>
        <sz val="12"/>
        <color theme="1"/>
        <rFont val="Calibri"/>
        <family val="2"/>
      </rPr>
      <t>, 25% SG</t>
    </r>
  </si>
  <si>
    <t>Marvin Bagley III</t>
  </si>
  <si>
    <t>2018 Draft (#2 pick)</t>
  </si>
  <si>
    <r>
      <t xml:space="preserve">12% PF, </t>
    </r>
    <r>
      <rPr>
        <u/>
        <sz val="12"/>
        <color theme="1"/>
        <rFont val="Calibri"/>
        <family val="2"/>
      </rPr>
      <t>88% C</t>
    </r>
  </si>
  <si>
    <r>
      <t xml:space="preserve">40% SG, </t>
    </r>
    <r>
      <rPr>
        <u/>
        <sz val="12"/>
        <color theme="1"/>
        <rFont val="Calibri"/>
        <family val="2"/>
      </rPr>
      <t>55% SF</t>
    </r>
    <r>
      <rPr>
        <sz val="12"/>
        <color theme="1"/>
        <rFont val="Calibri"/>
        <family val="2"/>
      </rPr>
      <t>, 5% PF</t>
    </r>
  </si>
  <si>
    <t>Signed from MIN on 7/21/18</t>
  </si>
  <si>
    <t>Year 2/3 of 3 yr/$20M from 2018 offseason</t>
  </si>
  <si>
    <r>
      <rPr>
        <u/>
        <sz val="12"/>
        <color theme="1"/>
        <rFont val="Calibri"/>
        <family val="2"/>
      </rPr>
      <t>83% PF</t>
    </r>
    <r>
      <rPr>
        <sz val="12"/>
        <color theme="1"/>
        <rFont val="Calibri"/>
        <family val="2"/>
      </rPr>
      <t>, 17% C</t>
    </r>
  </si>
  <si>
    <t>Traded from ATL on 2/6/20</t>
  </si>
  <si>
    <t>Year 1/2 of 2 yr/$13M from 2019 offseason</t>
  </si>
  <si>
    <t>De'Aaron Fox</t>
  </si>
  <si>
    <t>2017 Draft (#5 pick)</t>
  </si>
  <si>
    <r>
      <rPr>
        <u/>
        <sz val="12"/>
        <color theme="1"/>
        <rFont val="Calibri"/>
        <family val="2"/>
      </rPr>
      <t>98% PG</t>
    </r>
    <r>
      <rPr>
        <sz val="12"/>
        <color theme="1"/>
        <rFont val="Calibri"/>
        <family val="2"/>
      </rPr>
      <t>, 2% SG</t>
    </r>
  </si>
  <si>
    <t>Traded from NOP on 2/20/17</t>
  </si>
  <si>
    <t>$2,000,000 annual likely incentives (reachable shooting stuff), $3,000,000 annual unlikely incentives ($500,000 for All-Star, $500,00 for playoffs, $250,000 for second round, $500,000 for WCF, $1,000,00 for NBA Finals, more stuff for 70+ G and FT, TOV, 3PT, DRTG)</t>
  </si>
  <si>
    <r>
      <t xml:space="preserve">3% PG, </t>
    </r>
    <r>
      <rPr>
        <u/>
        <sz val="12"/>
        <color theme="1"/>
        <rFont val="Calibri"/>
        <family val="2"/>
      </rPr>
      <t>74% SG</t>
    </r>
    <r>
      <rPr>
        <sz val="12"/>
        <color theme="1"/>
        <rFont val="Calibri"/>
        <family val="2"/>
      </rPr>
      <t>, 21% SF, 2% PF</t>
    </r>
  </si>
  <si>
    <t>Richaun Holmes</t>
  </si>
  <si>
    <t>Bowling Green</t>
  </si>
  <si>
    <t>Signed from PHX on 7/16/19</t>
  </si>
  <si>
    <t>Room Exception (ATL)</t>
  </si>
  <si>
    <t>Signed from DAL on 7/20/18</t>
  </si>
  <si>
    <t>2017 Draft (#20 pick)</t>
  </si>
  <si>
    <t>Justin James</t>
  </si>
  <si>
    <t>2019 Draft (#40 pick)</t>
  </si>
  <si>
    <r>
      <t xml:space="preserve">1% PG, </t>
    </r>
    <r>
      <rPr>
        <u/>
        <sz val="12"/>
        <color theme="1"/>
        <rFont val="Calibri"/>
        <family val="2"/>
      </rPr>
      <t>50% SG</t>
    </r>
    <r>
      <rPr>
        <sz val="12"/>
        <color theme="1"/>
        <rFont val="Calibri"/>
        <family val="2"/>
      </rPr>
      <t>, 45% SF, 4% PF, 1% C</t>
    </r>
  </si>
  <si>
    <t>DaQuan Jeffries</t>
  </si>
  <si>
    <t>Kyle Guy</t>
  </si>
  <si>
    <t>2019 Draft (#55 pick)</t>
  </si>
  <si>
    <t>2020 2nd (35) - DET</t>
  </si>
  <si>
    <t>2021 2nd from Memphis</t>
  </si>
  <si>
    <t>2024 2nd from Portland</t>
  </si>
  <si>
    <t>2025 2nd from Portland</t>
  </si>
  <si>
    <t>Mike Malone / Ty Corbin / George Karl</t>
  </si>
  <si>
    <t>Paul Westphal / Keith Smart</t>
  </si>
  <si>
    <t>Paul Westphal</t>
  </si>
  <si>
    <t>Traded from TOR on 7/25/18</t>
  </si>
  <si>
    <t>Bird Rights (TOR)</t>
  </si>
  <si>
    <t>Year 4/5 of 5 yr/$138M from 2016 offseason</t>
  </si>
  <si>
    <t>Unknown incentives ($375,000 annually?)</t>
  </si>
  <si>
    <r>
      <rPr>
        <u/>
        <sz val="12"/>
        <color theme="1"/>
        <rFont val="Calibri (Body)"/>
      </rPr>
      <t>77% SF</t>
    </r>
    <r>
      <rPr>
        <sz val="12"/>
        <color theme="1"/>
        <rFont val="Calibri"/>
        <family val="2"/>
        <scheme val="minor"/>
      </rPr>
      <t>, 23% PF</t>
    </r>
  </si>
  <si>
    <t>LaMarcus Aldridge</t>
  </si>
  <si>
    <t>Signed on 7/9/15</t>
  </si>
  <si>
    <r>
      <t xml:space="preserve">6% PF, </t>
    </r>
    <r>
      <rPr>
        <u/>
        <sz val="12"/>
        <color theme="1"/>
        <rFont val="Calibri (Body)"/>
      </rPr>
      <t>94% C</t>
    </r>
  </si>
  <si>
    <t>$500,000 annual likely incentives, $1,500,000 annual unlikely incentives</t>
  </si>
  <si>
    <r>
      <t>1% SF,</t>
    </r>
    <r>
      <rPr>
        <u/>
        <sz val="12"/>
        <color theme="1"/>
        <rFont val="Calibri (Body)"/>
      </rPr>
      <t xml:space="preserve"> 93% PF</t>
    </r>
    <r>
      <rPr>
        <sz val="12"/>
        <color theme="1"/>
        <rFont val="Calibri"/>
        <family val="2"/>
        <scheme val="minor"/>
      </rPr>
      <t>, 6% C</t>
    </r>
  </si>
  <si>
    <t>Signed on 3/20/12</t>
  </si>
  <si>
    <t>Unknown statistical bonuses</t>
  </si>
  <si>
    <t>Fortitudo Bologna (Italy)</t>
  </si>
  <si>
    <r>
      <t xml:space="preserve">19% SG, </t>
    </r>
    <r>
      <rPr>
        <u/>
        <sz val="12"/>
        <color theme="1"/>
        <rFont val="Calibri (Body)"/>
      </rPr>
      <t>71% SF</t>
    </r>
    <r>
      <rPr>
        <sz val="12"/>
        <color theme="1"/>
        <rFont val="Calibri"/>
        <family val="2"/>
        <scheme val="minor"/>
      </rPr>
      <t>, 10% PF</t>
    </r>
  </si>
  <si>
    <t>Year 1/2 of 2 yr/$11M from 2019 offseason</t>
  </si>
  <si>
    <r>
      <rPr>
        <u/>
        <sz val="12"/>
        <color theme="1"/>
        <rFont val="Calibri (Body)"/>
      </rPr>
      <t>84% PF</t>
    </r>
    <r>
      <rPr>
        <sz val="12"/>
        <color theme="1"/>
        <rFont val="Calibri"/>
        <family val="2"/>
        <scheme val="minor"/>
      </rPr>
      <t>, 16% C</t>
    </r>
  </si>
  <si>
    <t>Signed on 7/14/16</t>
  </si>
  <si>
    <r>
      <t xml:space="preserve">26% PG, </t>
    </r>
    <r>
      <rPr>
        <u/>
        <sz val="12"/>
        <color theme="1"/>
        <rFont val="Calibri (Body)"/>
      </rPr>
      <t>74% SG</t>
    </r>
    <r>
      <rPr>
        <sz val="12"/>
        <color theme="1"/>
        <rFont val="Calibri"/>
        <family val="2"/>
        <scheme val="minor"/>
      </rPr>
      <t>, 1% SF</t>
    </r>
  </si>
  <si>
    <t>Lonnie Walker IV</t>
  </si>
  <si>
    <t>2018 Draft (#18 pick)</t>
  </si>
  <si>
    <r>
      <t>1% PG, 20% SG,</t>
    </r>
    <r>
      <rPr>
        <u/>
        <sz val="12"/>
        <color theme="1"/>
        <rFont val="Calibri (Body)"/>
      </rPr>
      <t xml:space="preserve"> 80% SF</t>
    </r>
  </si>
  <si>
    <t>Luka Samanic</t>
  </si>
  <si>
    <t>2019 Draft (#19 pick)</t>
  </si>
  <si>
    <t>Dejounte Murray</t>
  </si>
  <si>
    <t>2016 Draft (#29 pick)</t>
  </si>
  <si>
    <r>
      <rPr>
        <u/>
        <sz val="12"/>
        <color theme="1"/>
        <rFont val="Calibri (Body)"/>
      </rPr>
      <t>77% PG</t>
    </r>
    <r>
      <rPr>
        <sz val="12"/>
        <color theme="1"/>
        <rFont val="Calibri"/>
        <family val="2"/>
        <scheme val="minor"/>
      </rPr>
      <t>, 23% SG</t>
    </r>
  </si>
  <si>
    <t>Keldon Johnson</t>
  </si>
  <si>
    <t>2019 Draft (#29 pick)</t>
  </si>
  <si>
    <r>
      <t xml:space="preserve">1% SG, </t>
    </r>
    <r>
      <rPr>
        <u/>
        <sz val="12"/>
        <color theme="1"/>
        <rFont val="Calibri (Body)"/>
      </rPr>
      <t>64% SF</t>
    </r>
    <r>
      <rPr>
        <sz val="12"/>
        <color theme="1"/>
        <rFont val="Calibri"/>
        <family val="2"/>
        <scheme val="minor"/>
      </rPr>
      <t>, 35% PF</t>
    </r>
  </si>
  <si>
    <t>Derrick White</t>
  </si>
  <si>
    <t>2017 Draft (#29 pick)</t>
  </si>
  <si>
    <r>
      <t xml:space="preserve">7% PG, </t>
    </r>
    <r>
      <rPr>
        <u/>
        <sz val="12"/>
        <color theme="1"/>
        <rFont val="Calibri (Body)"/>
      </rPr>
      <t>86% SG</t>
    </r>
    <r>
      <rPr>
        <sz val="12"/>
        <color theme="1"/>
        <rFont val="Calibri"/>
        <family val="2"/>
        <scheme val="minor"/>
      </rPr>
      <t>, 8% SF</t>
    </r>
  </si>
  <si>
    <t>Chimezie Metu</t>
  </si>
  <si>
    <t>2018 Draft (#49 pick)</t>
  </si>
  <si>
    <r>
      <t xml:space="preserve">2% SF, 41% PF, </t>
    </r>
    <r>
      <rPr>
        <u/>
        <sz val="12"/>
        <color theme="1"/>
        <rFont val="Calibri (Body)"/>
      </rPr>
      <t>58% C</t>
    </r>
  </si>
  <si>
    <t>Mississippi State</t>
  </si>
  <si>
    <t>2019 Draft (#49 pick)</t>
  </si>
  <si>
    <r>
      <t xml:space="preserve">24% PG, </t>
    </r>
    <r>
      <rPr>
        <u/>
        <sz val="12"/>
        <color theme="1"/>
        <rFont val="Calibri (Body)"/>
      </rPr>
      <t>76% SG</t>
    </r>
  </si>
  <si>
    <t>Drew Eubanks</t>
  </si>
  <si>
    <t>Oregon State</t>
  </si>
  <si>
    <t>Signed on 9/20/18</t>
  </si>
  <si>
    <t>2020 1st (11)</t>
  </si>
  <si>
    <t>2020 2nd (41)</t>
  </si>
  <si>
    <t>Gregg Popovich</t>
  </si>
  <si>
    <t>11th</t>
  </si>
  <si>
    <t>25th</t>
  </si>
  <si>
    <t>2022 2nd to Cleveland</t>
  </si>
  <si>
    <t>Lost to DEN in first round (4-3)</t>
  </si>
  <si>
    <t>Beat MEM in first round (4-2), beat HOU in second round (4-2), lost to GSW in WCF (4-0)</t>
  </si>
  <si>
    <t>Beat MEM in first round (4-0), lost to OKC in second round (4-2)</t>
  </si>
  <si>
    <t>Beat DAL in first round (4-3), beat POR in second round (4-1), beat OKC in WCF (4-2), beat MIA in NBA Finals (4-1)</t>
  </si>
  <si>
    <t>Beat LAL in first round (4-0), beat GSW in second round (4-2), beat MEM in WCF (4-0), lost to MIA in NBA Finals (4-3)</t>
  </si>
  <si>
    <t>Beat UTA in first round (4-0), beat LAC in second round (4-0), lost to OKC in WCF (4-2)</t>
  </si>
  <si>
    <t>Lost to MEM in first round (4-2)</t>
  </si>
  <si>
    <t>Traded from HOU on 7/11/12</t>
  </si>
  <si>
    <t>CB Girona (Spain)</t>
  </si>
  <si>
    <t>Bird Rights (MEM)</t>
  </si>
  <si>
    <r>
      <t xml:space="preserve">9% PF, </t>
    </r>
    <r>
      <rPr>
        <u/>
        <sz val="12"/>
        <color theme="1"/>
        <rFont val="Calibri"/>
        <family val="2"/>
      </rPr>
      <t>91% C</t>
    </r>
  </si>
  <si>
    <t>Basquet Manresa (Spain)</t>
  </si>
  <si>
    <t>Traded from ORL on 2/14/17</t>
  </si>
  <si>
    <t>Normal Powell</t>
  </si>
  <si>
    <t>2015 Draft (#46 pick)</t>
  </si>
  <si>
    <r>
      <t xml:space="preserve">14% PG, </t>
    </r>
    <r>
      <rPr>
        <u/>
        <sz val="12"/>
        <color theme="1"/>
        <rFont val="Calibri"/>
        <family val="2"/>
      </rPr>
      <t>76% SG</t>
    </r>
    <r>
      <rPr>
        <sz val="12"/>
        <color theme="1"/>
        <rFont val="Calibri"/>
        <family val="2"/>
      </rPr>
      <t>, 10% SF</t>
    </r>
  </si>
  <si>
    <t>Signed on 7/18/16</t>
  </si>
  <si>
    <r>
      <t xml:space="preserve">46% PG, </t>
    </r>
    <r>
      <rPr>
        <u/>
        <sz val="12"/>
        <color theme="1"/>
        <rFont val="Calibri"/>
        <family val="2"/>
      </rPr>
      <t>54% SG</t>
    </r>
  </si>
  <si>
    <t>Patrick McCaw</t>
  </si>
  <si>
    <t>Signed on 1/9/19</t>
  </si>
  <si>
    <r>
      <t xml:space="preserve">24% SG, </t>
    </r>
    <r>
      <rPr>
        <u/>
        <sz val="12"/>
        <color theme="1"/>
        <rFont val="Calibri"/>
        <family val="2"/>
      </rPr>
      <t>70% SF</t>
    </r>
    <r>
      <rPr>
        <sz val="12"/>
        <color theme="1"/>
        <rFont val="Calibri"/>
        <family val="2"/>
      </rPr>
      <t>, 6% PF</t>
    </r>
  </si>
  <si>
    <r>
      <rPr>
        <u/>
        <sz val="12"/>
        <color theme="1"/>
        <rFont val="Calibri"/>
        <family val="2"/>
      </rPr>
      <t>93% PF</t>
    </r>
    <r>
      <rPr>
        <sz val="12"/>
        <color theme="1"/>
        <rFont val="Calibri"/>
        <family val="2"/>
      </rPr>
      <t>, 7% C</t>
    </r>
  </si>
  <si>
    <r>
      <t xml:space="preserve">5% SG, </t>
    </r>
    <r>
      <rPr>
        <u/>
        <sz val="12"/>
        <color theme="1"/>
        <rFont val="Calibri"/>
        <family val="2"/>
      </rPr>
      <t>63% SF</t>
    </r>
    <r>
      <rPr>
        <sz val="12"/>
        <color theme="1"/>
        <rFont val="Calibri"/>
        <family val="2"/>
      </rPr>
      <t>, 32% PF, 1% C</t>
    </r>
  </si>
  <si>
    <t>Pascal Siakam</t>
  </si>
  <si>
    <t>New Mexico State</t>
  </si>
  <si>
    <t>2016 Draft (#27 pick)</t>
  </si>
  <si>
    <r>
      <t xml:space="preserve">3% SF, </t>
    </r>
    <r>
      <rPr>
        <u/>
        <sz val="12"/>
        <color theme="1"/>
        <rFont val="Calibri"/>
        <family val="2"/>
      </rPr>
      <t>77% PF</t>
    </r>
    <r>
      <rPr>
        <sz val="12"/>
        <color theme="1"/>
        <rFont val="Calibri"/>
        <family val="2"/>
      </rPr>
      <t>, 20% C</t>
    </r>
  </si>
  <si>
    <t>OG Anunoby</t>
  </si>
  <si>
    <t>2017 Draft (#23 pick)</t>
  </si>
  <si>
    <r>
      <t xml:space="preserve">2% SG, </t>
    </r>
    <r>
      <rPr>
        <u/>
        <sz val="12"/>
        <color theme="1"/>
        <rFont val="Calibri"/>
        <family val="2"/>
      </rPr>
      <t>60% SF</t>
    </r>
    <r>
      <rPr>
        <sz val="12"/>
        <color theme="1"/>
        <rFont val="Calibri"/>
        <family val="2"/>
      </rPr>
      <t>, 36% PF, 1% C</t>
    </r>
  </si>
  <si>
    <r>
      <t xml:space="preserve">5% SF, 42% PF, </t>
    </r>
    <r>
      <rPr>
        <u/>
        <sz val="12"/>
        <color theme="1"/>
        <rFont val="Calibri"/>
        <family val="2"/>
      </rPr>
      <t>52% C</t>
    </r>
  </si>
  <si>
    <t>Alba Berlin (Germany)</t>
  </si>
  <si>
    <r>
      <t xml:space="preserve">23% SG, 36% SF, </t>
    </r>
    <r>
      <rPr>
        <u/>
        <sz val="12"/>
        <color theme="1"/>
        <rFont val="Calibri"/>
        <family val="2"/>
      </rPr>
      <t>41% PF</t>
    </r>
  </si>
  <si>
    <t>Valencia (Spain)</t>
  </si>
  <si>
    <r>
      <t xml:space="preserve">46% PG, </t>
    </r>
    <r>
      <rPr>
        <u/>
        <sz val="12"/>
        <color theme="1"/>
        <rFont val="Calibri"/>
        <family val="2"/>
      </rPr>
      <t>49% SG</t>
    </r>
    <r>
      <rPr>
        <sz val="12"/>
        <color theme="1"/>
        <rFont val="Calibri"/>
        <family val="2"/>
      </rPr>
      <t>, 5% SF</t>
    </r>
  </si>
  <si>
    <t>Terence Davis</t>
  </si>
  <si>
    <t>Ole Miss</t>
  </si>
  <si>
    <r>
      <t xml:space="preserve">6% PG, </t>
    </r>
    <r>
      <rPr>
        <u/>
        <sz val="12"/>
        <color theme="1"/>
        <rFont val="Calibri"/>
        <family val="2"/>
      </rPr>
      <t>65% SG</t>
    </r>
    <r>
      <rPr>
        <sz val="12"/>
        <color theme="1"/>
        <rFont val="Calibri"/>
        <family val="2"/>
      </rPr>
      <t>, 29% SF</t>
    </r>
  </si>
  <si>
    <t>Miami</t>
  </si>
  <si>
    <t>2019 Draft (#59 pick)</t>
  </si>
  <si>
    <t>OShae Brissett</t>
  </si>
  <si>
    <t>Signed on 7/20/19</t>
  </si>
  <si>
    <r>
      <t xml:space="preserve">2% SG, </t>
    </r>
    <r>
      <rPr>
        <u/>
        <sz val="12"/>
        <color theme="1"/>
        <rFont val="Calibri"/>
        <family val="2"/>
      </rPr>
      <t>55% SF</t>
    </r>
    <r>
      <rPr>
        <sz val="12"/>
        <color theme="1"/>
        <rFont val="Calibri"/>
        <family val="2"/>
      </rPr>
      <t>, 40% PF, 3% C</t>
    </r>
  </si>
  <si>
    <t>Paul Watson</t>
  </si>
  <si>
    <t>BG Gottingen (Germany)</t>
  </si>
  <si>
    <r>
      <t xml:space="preserve">38% SF, </t>
    </r>
    <r>
      <rPr>
        <u/>
        <sz val="12"/>
        <color theme="1"/>
        <rFont val="Calibri"/>
        <family val="2"/>
      </rPr>
      <t>62% PF</t>
    </r>
  </si>
  <si>
    <t>2020 1st (28)</t>
  </si>
  <si>
    <t>Nick Nurse</t>
  </si>
  <si>
    <t>2021 2nd to Brooklyn</t>
  </si>
  <si>
    <t>2024 2nd to Memphis</t>
  </si>
  <si>
    <t>Beat ORL in first round (4-1), beat PHI in second round (4-3), beat MIL in ECF (4-2), beat GSW in NBA Finals (4-2)</t>
  </si>
  <si>
    <t>Beat WSH in first round (4-2), lost to CLE in second round (4-0)</t>
  </si>
  <si>
    <t>Beat MIL in first round (4-2), lost to CLE in second round (4-0)</t>
  </si>
  <si>
    <t>Beat IND in first round (4-3), beat MIA in second round (4-3), lost to CLE in ECF (4-2)</t>
  </si>
  <si>
    <t>Lost to WSH in first round (4-0)</t>
  </si>
  <si>
    <t>Lost to BKN in first round (4-3)</t>
  </si>
  <si>
    <t>Jay Triano</t>
  </si>
  <si>
    <t>Traded from MEM on 7/6/19</t>
  </si>
  <si>
    <t>Year 4/5 of 5 yr/$153M from 2016 offseason</t>
  </si>
  <si>
    <t>Cholet Basket (France)</t>
  </si>
  <si>
    <t>2013 Draft (#27 pick)</t>
  </si>
  <si>
    <t>Bojan Bogdanovic</t>
  </si>
  <si>
    <r>
      <t xml:space="preserve">5% SG, </t>
    </r>
    <r>
      <rPr>
        <u/>
        <sz val="12"/>
        <color theme="1"/>
        <rFont val="Calibri (Body)"/>
      </rPr>
      <t>78% SF</t>
    </r>
    <r>
      <rPr>
        <sz val="12"/>
        <color theme="1"/>
        <rFont val="Calibri"/>
        <family val="2"/>
        <scheme val="minor"/>
      </rPr>
      <t>, 16% PF</t>
    </r>
  </si>
  <si>
    <t>Traded from CLE on 12/24/19</t>
  </si>
  <si>
    <r>
      <t xml:space="preserve">7% PG, </t>
    </r>
    <r>
      <rPr>
        <u/>
        <sz val="12"/>
        <color theme="1"/>
        <rFont val="Calibri (Body)"/>
      </rPr>
      <t>80% SG</t>
    </r>
    <r>
      <rPr>
        <sz val="12"/>
        <color theme="1"/>
        <rFont val="Calibri"/>
        <family val="2"/>
        <scheme val="minor"/>
      </rPr>
      <t>, 13% SF</t>
    </r>
  </si>
  <si>
    <t>Claimed off waivers on 10/27/14</t>
  </si>
  <si>
    <t>$250,000 for DRTG &lt; 100 + 65 games, other incentives unknown ($500,000 annual unlikely)</t>
  </si>
  <si>
    <r>
      <rPr>
        <u/>
        <sz val="12"/>
        <color theme="1"/>
        <rFont val="Calibri (Body)"/>
      </rPr>
      <t>56% SG</t>
    </r>
    <r>
      <rPr>
        <sz val="12"/>
        <color theme="1"/>
        <rFont val="Calibri"/>
        <family val="2"/>
        <scheme val="minor"/>
      </rPr>
      <t>, 42% SF, 2% PF</t>
    </r>
  </si>
  <si>
    <t>Ed Davis</t>
  </si>
  <si>
    <t>Donovan Mitchell</t>
  </si>
  <si>
    <t>2017 Draft (#13 pick)</t>
  </si>
  <si>
    <r>
      <t>49% PG,</t>
    </r>
    <r>
      <rPr>
        <u/>
        <sz val="12"/>
        <color theme="1"/>
        <rFont val="Calibri (Body)"/>
      </rPr>
      <t xml:space="preserve"> 51% SG</t>
    </r>
  </si>
  <si>
    <t>Tony Bradley</t>
  </si>
  <si>
    <t>2017 Draft (#28 pick)</t>
  </si>
  <si>
    <t>Signed on 1/14/18</t>
  </si>
  <si>
    <r>
      <t xml:space="preserve">20% SF, </t>
    </r>
    <r>
      <rPr>
        <u/>
        <sz val="12"/>
        <color theme="1"/>
        <rFont val="Calibri (Body)"/>
      </rPr>
      <t>79% PF</t>
    </r>
    <r>
      <rPr>
        <sz val="12"/>
        <color theme="1"/>
        <rFont val="Calibri"/>
        <family val="2"/>
        <scheme val="minor"/>
      </rPr>
      <t>, 1% C</t>
    </r>
  </si>
  <si>
    <t>Royce O'Neale</t>
  </si>
  <si>
    <t>CB Gran Canaria (Spain)</t>
  </si>
  <si>
    <r>
      <t xml:space="preserve">15% SF, </t>
    </r>
    <r>
      <rPr>
        <u/>
        <sz val="12"/>
        <color theme="1"/>
        <rFont val="Calibri (Body)"/>
      </rPr>
      <t>85% PF</t>
    </r>
  </si>
  <si>
    <t>Yale</t>
  </si>
  <si>
    <t>2019 Draft (#58 pick)</t>
  </si>
  <si>
    <r>
      <t xml:space="preserve">6% PG, </t>
    </r>
    <r>
      <rPr>
        <u/>
        <sz val="12"/>
        <color theme="1"/>
        <rFont val="Calibri (Body)"/>
      </rPr>
      <t>72% SG</t>
    </r>
    <r>
      <rPr>
        <sz val="12"/>
        <color theme="1"/>
        <rFont val="Calibri"/>
        <family val="2"/>
        <scheme val="minor"/>
      </rPr>
      <t>, 21% SF</t>
    </r>
  </si>
  <si>
    <t>Signed on 11/21/19</t>
  </si>
  <si>
    <r>
      <rPr>
        <u/>
        <sz val="12"/>
        <color theme="1"/>
        <rFont val="Calibri (Body)"/>
      </rPr>
      <t>62% PF</t>
    </r>
    <r>
      <rPr>
        <sz val="12"/>
        <color theme="1"/>
        <rFont val="Calibri"/>
        <family val="2"/>
        <scheme val="minor"/>
      </rPr>
      <t>, 39% C</t>
    </r>
  </si>
  <si>
    <t>Arkansas-Little Rock</t>
  </si>
  <si>
    <t>Signed on 12/26/19</t>
  </si>
  <si>
    <t>Jarrell Brantley</t>
  </si>
  <si>
    <t>Charleston - SC</t>
  </si>
  <si>
    <t>2019 Draft (#50 pick)</t>
  </si>
  <si>
    <r>
      <rPr>
        <u/>
        <sz val="12"/>
        <color theme="1"/>
        <rFont val="Calibri (Body)"/>
      </rPr>
      <t>71% SF</t>
    </r>
    <r>
      <rPr>
        <sz val="12"/>
        <color theme="1"/>
        <rFont val="Calibri"/>
        <family val="2"/>
        <scheme val="minor"/>
      </rPr>
      <t>, 29% PF</t>
    </r>
  </si>
  <si>
    <t>Justin Wright-Foreman</t>
  </si>
  <si>
    <t>Hofstra</t>
  </si>
  <si>
    <t>2019 Draft (#53 pick)</t>
  </si>
  <si>
    <t>Quinn Snyder</t>
  </si>
  <si>
    <t>2021 2nd from Golden State</t>
  </si>
  <si>
    <t>2024 2nd from Cleveland (right to swap)</t>
  </si>
  <si>
    <t>2021 2nd to Indiana</t>
  </si>
  <si>
    <t>Beat OKC in first round (4-2), lost to HOU in second round (4-1)</t>
  </si>
  <si>
    <t>Beat LAC in first round (4-3), lost to GSW in second round (4-0)</t>
  </si>
  <si>
    <t>Tyrone Corbin</t>
  </si>
  <si>
    <t>Jerry Sloan / Tyrone Corbin</t>
  </si>
  <si>
    <t>John Wall</t>
  </si>
  <si>
    <t>2010 Draft (#1 pick)</t>
  </si>
  <si>
    <t>2012 Draft (#3 pick)</t>
  </si>
  <si>
    <t>15% trade kicker, 50% advance on 21-22 / 22-23 salary if opt in early</t>
  </si>
  <si>
    <r>
      <t xml:space="preserve">2% PG, </t>
    </r>
    <r>
      <rPr>
        <u/>
        <sz val="12"/>
        <color theme="1"/>
        <rFont val="Calibri"/>
        <family val="2"/>
      </rPr>
      <t>82% SG</t>
    </r>
    <r>
      <rPr>
        <sz val="12"/>
        <color theme="1"/>
        <rFont val="Calibri"/>
        <family val="2"/>
      </rPr>
      <t>, 16% SF</t>
    </r>
  </si>
  <si>
    <t>Thomas Bryant</t>
  </si>
  <si>
    <t>Claimed off waivers on 7/2/18</t>
  </si>
  <si>
    <r>
      <t xml:space="preserve">7% PF, </t>
    </r>
    <r>
      <rPr>
        <u/>
        <sz val="12"/>
        <color theme="1"/>
        <rFont val="Calibri"/>
        <family val="2"/>
      </rPr>
      <t>93% C</t>
    </r>
  </si>
  <si>
    <t>Traded from SAS on 7/6/19</t>
  </si>
  <si>
    <r>
      <rPr>
        <u/>
        <sz val="12"/>
        <color theme="1"/>
        <rFont val="Calibri"/>
        <family val="2"/>
      </rPr>
      <t>84% PF</t>
    </r>
    <r>
      <rPr>
        <sz val="12"/>
        <color theme="1"/>
        <rFont val="Calibri"/>
        <family val="2"/>
      </rPr>
      <t>, 16% C</t>
    </r>
  </si>
  <si>
    <t>Ish Smith</t>
  </si>
  <si>
    <r>
      <rPr>
        <u/>
        <sz val="12"/>
        <color theme="1"/>
        <rFont val="Calibri"/>
        <family val="2"/>
      </rPr>
      <t>94% PG</t>
    </r>
    <r>
      <rPr>
        <sz val="12"/>
        <color theme="1"/>
        <rFont val="Calibri"/>
        <family val="2"/>
      </rPr>
      <t>, 6% SG</t>
    </r>
  </si>
  <si>
    <t>Rui Hachimura</t>
  </si>
  <si>
    <t>2019 Draft (#9 pick)</t>
  </si>
  <si>
    <r>
      <t xml:space="preserve">25% SF, </t>
    </r>
    <r>
      <rPr>
        <u/>
        <sz val="12"/>
        <color theme="1"/>
        <rFont val="Calibri"/>
        <family val="2"/>
      </rPr>
      <t>73% PF</t>
    </r>
    <r>
      <rPr>
        <sz val="12"/>
        <color theme="1"/>
        <rFont val="Calibri"/>
        <family val="2"/>
      </rPr>
      <t>, 2% C</t>
    </r>
  </si>
  <si>
    <t>Jerome Robinson</t>
  </si>
  <si>
    <r>
      <t xml:space="preserve">10% PG, </t>
    </r>
    <r>
      <rPr>
        <u/>
        <sz val="12"/>
        <color theme="1"/>
        <rFont val="Calibri"/>
        <family val="2"/>
      </rPr>
      <t>90% SG</t>
    </r>
    <r>
      <rPr>
        <sz val="12"/>
        <color theme="1"/>
        <rFont val="Calibri"/>
        <family val="2"/>
      </rPr>
      <t>, 1% SF</t>
    </r>
  </si>
  <si>
    <t>Troy Brown Jr.</t>
  </si>
  <si>
    <t>2018 Draft (#15 pick)</t>
  </si>
  <si>
    <r>
      <t xml:space="preserve">14% SG, </t>
    </r>
    <r>
      <rPr>
        <u/>
        <sz val="12"/>
        <color theme="1"/>
        <rFont val="Calibri"/>
        <family val="2"/>
      </rPr>
      <t>74% SF</t>
    </r>
    <r>
      <rPr>
        <sz val="12"/>
        <color theme="1"/>
        <rFont val="Calibri"/>
        <family val="2"/>
      </rPr>
      <t>, 12% PF</t>
    </r>
  </si>
  <si>
    <t>Moritz Wagner</t>
  </si>
  <si>
    <t>Traded from DEN on 2/6/20</t>
  </si>
  <si>
    <t>Skyliners Frankfurt (Germany)</t>
  </si>
  <si>
    <r>
      <t xml:space="preserve">1% SG, </t>
    </r>
    <r>
      <rPr>
        <u/>
        <sz val="12"/>
        <color theme="1"/>
        <rFont val="Calibri"/>
        <family val="2"/>
      </rPr>
      <t>69% SF</t>
    </r>
    <r>
      <rPr>
        <sz val="12"/>
        <color theme="1"/>
        <rFont val="Calibri"/>
        <family val="2"/>
      </rPr>
      <t>, 29% PF, 1% C</t>
    </r>
  </si>
  <si>
    <t>Signed on 12/23/19</t>
  </si>
  <si>
    <r>
      <t xml:space="preserve">14% PG, </t>
    </r>
    <r>
      <rPr>
        <u/>
        <sz val="12"/>
        <color theme="1"/>
        <rFont val="Calibri"/>
        <family val="2"/>
      </rPr>
      <t>86% SG</t>
    </r>
    <r>
      <rPr>
        <sz val="12"/>
        <color theme="1"/>
        <rFont val="Calibri"/>
        <family val="2"/>
      </rPr>
      <t>, 1% SF</t>
    </r>
  </si>
  <si>
    <t>Admiral Schofield</t>
  </si>
  <si>
    <t>2019 Draft (#42 pick)</t>
  </si>
  <si>
    <r>
      <t xml:space="preserve">1% SG, 23% SF, </t>
    </r>
    <r>
      <rPr>
        <u/>
        <sz val="12"/>
        <color theme="1"/>
        <rFont val="Calibri"/>
        <family val="2"/>
      </rPr>
      <t>68% PF</t>
    </r>
    <r>
      <rPr>
        <sz val="12"/>
        <color theme="1"/>
        <rFont val="Calibri"/>
        <family val="2"/>
      </rPr>
      <t>, 9% C</t>
    </r>
  </si>
  <si>
    <t>Signed on 10/16/19</t>
  </si>
  <si>
    <t>Garrison Mathews</t>
  </si>
  <si>
    <t>Lipscomb</t>
  </si>
  <si>
    <r>
      <t xml:space="preserve">6% PG, 43% SG, </t>
    </r>
    <r>
      <rPr>
        <u/>
        <sz val="12"/>
        <color theme="1"/>
        <rFont val="Calibri"/>
        <family val="2"/>
      </rPr>
      <t>48% SF</t>
    </r>
    <r>
      <rPr>
        <sz val="12"/>
        <color theme="1"/>
        <rFont val="Calibri"/>
        <family val="2"/>
      </rPr>
      <t>, 3% PF</t>
    </r>
  </si>
  <si>
    <t>Johnathan Williams</t>
  </si>
  <si>
    <t>2020 1st (9)</t>
  </si>
  <si>
    <t>2020 2nd (37) - CHI</t>
  </si>
  <si>
    <t>2022 2nd from LA Lakers / Chicago / Detroit (most favorable)</t>
  </si>
  <si>
    <t>2023 2nd from Chicago</t>
  </si>
  <si>
    <t>2021 2nd to New Orleans</t>
  </si>
  <si>
    <t>2023 2nd to New Orleans</t>
  </si>
  <si>
    <t>Beat ATL in first round (4-2), lost to BOS in second round (4-3)</t>
  </si>
  <si>
    <t>Randy Whittman</t>
  </si>
  <si>
    <t>Beat TOR in first round (4-0), lost to ATL in second round (4-2)</t>
  </si>
  <si>
    <t>Beat CHI in first round (4-1), lost to IND in second round (4-2)</t>
  </si>
  <si>
    <t>Flip Saunders / Randy Whittman</t>
  </si>
  <si>
    <t>15% trade kicker, $250k annual likely incentives ($125k for 88.5% FT, $125k for 2.8 3PM), $750k annual unlikely ($125k for 70 G, $125k for 60 G+2.4- TO/G, $125k for 60 G+4.6+ FT/G, $125k for 2.1- F/G, $125k for 114+ ORTG, $125k for 106- DRTG), $1.05M for 20-21, $1.10M for 21-22, $1.15M for 22-23</t>
  </si>
  <si>
    <t>$500k annual likely incentives (body fat weigh-in, under 225 pounds?)</t>
  </si>
  <si>
    <t>$2.00M annual unlikely incentives ($1M Conference Finals+2k min, $500k 30% DREB%+2k min, $500k 65% FT)</t>
  </si>
  <si>
    <t>Extension: $3.00M annual unlikely incentives ($1.00M for 65 games + 49 wins + 2nd round of playoffs, $2.00M for MVP, DPOY, or All-NBA)</t>
  </si>
  <si>
    <t>15% trade kicker, $1.00M annual likely incentives (for any of make playoffs, win 43 games, 50+ games, All-Star), $1.05M for 20-21, $1.10M for 21-22, $1.15M for 22-23</t>
  </si>
  <si>
    <t>$669k annual unlikely incentives ($334k for 105- DRTG, $334k for 7.6 3PA/36 MIN + 41.5% 3PT), probably other unknown incentives</t>
  </si>
  <si>
    <t>Year 2/5 of 5 yr/$80M from 2018 offseason (HOU)</t>
  </si>
  <si>
    <t>50% advance in salary by 10/1</t>
  </si>
  <si>
    <t>$1.00M annual unlikely incentives ($150k for playoffs, $150k for 48 wins, also MVP / MIP / All-Defense)</t>
  </si>
  <si>
    <t>$300k annual unlikely incentives ($150k for 70 games+48 wins, $150k for second round playoffs)</t>
  </si>
  <si>
    <t>Year 3/4 of 4 yr/$71M from 2017 offseason</t>
  </si>
  <si>
    <t>$1,050,000 annual unlikely incentives ($305k for All-Star, $305k for All-Defense, $305k for MIP)</t>
  </si>
  <si>
    <t>$300,000 annual unlikely incentives ($150k for All-Defense, $150k for 40% 3PT), $175k annual likely incentives ($100k for MIN/REB &gt; 4, $75k for 80%+ FT)</t>
  </si>
  <si>
    <t>Anthony Tolliver</t>
  </si>
  <si>
    <t>Corey Brewer</t>
  </si>
  <si>
    <t>David Nwaba</t>
  </si>
  <si>
    <t>Cal Poly</t>
  </si>
  <si>
    <t>Signed on 6/23/20</t>
  </si>
  <si>
    <t>Tyler Johnson</t>
  </si>
  <si>
    <r>
      <t xml:space="preserve">37% PG, </t>
    </r>
    <r>
      <rPr>
        <u/>
        <sz val="12"/>
        <color theme="1"/>
        <rFont val="Calibri"/>
        <family val="2"/>
      </rPr>
      <t>58% SG</t>
    </r>
    <r>
      <rPr>
        <sz val="12"/>
        <color theme="1"/>
        <rFont val="Calibri"/>
        <family val="2"/>
      </rPr>
      <t>, 5% SF</t>
    </r>
  </si>
  <si>
    <t>2014 Draft (#41 pick)</t>
  </si>
  <si>
    <t>$931k annual likely incentives ($466k for playoff berth, $466k for 2nd round playoffs), $1.00M in 20-21, $1.07M in 21-22, $1.14M in 22-23</t>
  </si>
  <si>
    <t>25% of salary cap (30% for All-NBA 1st, 27.5% for All-NBA 2nd, 26% for All-NBA 3rd)</t>
  </si>
  <si>
    <t>Tyler Zeller</t>
  </si>
  <si>
    <t>Justin Patton</t>
  </si>
  <si>
    <t>Signed on 6/24/20</t>
  </si>
  <si>
    <r>
      <rPr>
        <sz val="12"/>
        <color theme="1"/>
        <rFont val="Calibri (Body)"/>
      </rPr>
      <t xml:space="preserve">22% SG, </t>
    </r>
    <r>
      <rPr>
        <u/>
        <sz val="12"/>
        <color theme="1"/>
        <rFont val="Calibri (Body)"/>
      </rPr>
      <t>53% SF</t>
    </r>
    <r>
      <rPr>
        <sz val="12"/>
        <color theme="1"/>
        <rFont val="Calibri (Body)"/>
      </rPr>
      <t>, 26% PF</t>
    </r>
  </si>
  <si>
    <t>Jared Harper</t>
  </si>
  <si>
    <t>$1.10M annual unlikely incentives ($500k for DPOY, $250k for All-Defense 1st, $150k for All-Defense 2nd, $100k for 50 wins, $100k for conference finals+playing in 75% of second round games)</t>
  </si>
  <si>
    <t>Devon Hall</t>
  </si>
  <si>
    <t>Cairns Taipans (Australia)</t>
  </si>
  <si>
    <t>2018 Draft (#53 pick)</t>
  </si>
  <si>
    <t>Ryan Broekhoff</t>
  </si>
  <si>
    <t>Lokomotiv Kuban (Russia)</t>
  </si>
  <si>
    <r>
      <t xml:space="preserve">4% SG, </t>
    </r>
    <r>
      <rPr>
        <u/>
        <sz val="12"/>
        <color theme="1"/>
        <rFont val="Calibri"/>
        <family val="2"/>
      </rPr>
      <t>76% SF</t>
    </r>
    <r>
      <rPr>
        <sz val="12"/>
        <color theme="1"/>
        <rFont val="Calibri"/>
        <family val="2"/>
      </rPr>
      <t>, 21% PF</t>
    </r>
  </si>
  <si>
    <t>Trey Burke</t>
  </si>
  <si>
    <t>Tyler Cook</t>
  </si>
  <si>
    <t>Iowa</t>
  </si>
  <si>
    <t>Signed on 6/26/20</t>
  </si>
  <si>
    <t>Claimed off waivers on 6/26/20</t>
  </si>
  <si>
    <t>Justin Anderson</t>
  </si>
  <si>
    <r>
      <t xml:space="preserve">35% SG, </t>
    </r>
    <r>
      <rPr>
        <u/>
        <sz val="12"/>
        <color theme="1"/>
        <rFont val="Calibri"/>
        <family val="2"/>
      </rPr>
      <t>65% SF</t>
    </r>
  </si>
  <si>
    <t>Year 1/2 of 2 yr/$3M from 19-20 season</t>
  </si>
  <si>
    <t>Signed on 6/27/20</t>
  </si>
  <si>
    <t>JR Smith</t>
  </si>
  <si>
    <t>St. Benedict's Prep HS</t>
  </si>
  <si>
    <t>Jordan Bell</t>
  </si>
  <si>
    <t>Year 1/4 of 4 yr/$6M from 19-20 season</t>
  </si>
  <si>
    <t>Cameron Payne</t>
  </si>
  <si>
    <t>Signed on 6/30/20</t>
  </si>
  <si>
    <t>Signed on 6/29/20</t>
  </si>
  <si>
    <t>Sindarius Thornwell</t>
  </si>
  <si>
    <t>Jaylen Adams</t>
  </si>
  <si>
    <t>St. Bonaventure</t>
  </si>
  <si>
    <t>Jerian Grant</t>
  </si>
  <si>
    <t>19-20 Info</t>
  </si>
  <si>
    <t>Guaranteed Contracts</t>
  </si>
  <si>
    <t>Draft Picks</t>
  </si>
  <si>
    <t>GT Contracts</t>
  </si>
  <si>
    <t>NG Contracts / PO's</t>
  </si>
  <si>
    <t>Year 2/4 of 4 yr/$85M from 2019 offseason</t>
  </si>
  <si>
    <t>Year 1/4 of 4 yr/$94M from 2019 offseason (extension)</t>
  </si>
  <si>
    <t>Year 2/3 of 3 yr/$37M from 2019 offseason</t>
  </si>
  <si>
    <t>Year 3/4 of 4 yr/$36M from 2018 offseason</t>
  </si>
  <si>
    <t>Year 4/4 of 4 yr/$25M from 2017 offseason</t>
  </si>
  <si>
    <t>Year 2/2 of 2 yr/$10M from 2019 offseason</t>
  </si>
  <si>
    <t>Year 3/4 of 4 yr/$160M from 2018 offseason</t>
  </si>
  <si>
    <t>Year 4/4 of 4 yr/$100M from 2016 offseason (extension)</t>
  </si>
  <si>
    <t>Year 4/4 of 4 yr/$62M from 2016 offseason (extension)</t>
  </si>
  <si>
    <t>Year 3/4 of 4 yr/$17M from 2018 offseason</t>
  </si>
  <si>
    <t>Year 4/4 of 4 yr/$10M from 2017 offseason</t>
  </si>
  <si>
    <t>Year 2/4 of 4 yr/$11M from 2019 offseason</t>
  </si>
  <si>
    <t>Year 2/4 of 4 yr/$5M from 19-20 season</t>
  </si>
  <si>
    <t>Year 2/4 of 4 yr/$7M from 2019 offseason</t>
  </si>
  <si>
    <t>Year 1/4 of 4 yr/$100M from 2019 offseason (extension)</t>
  </si>
  <si>
    <t>Year 4/5 of 5 yr/$201M from 2017 offseason</t>
  </si>
  <si>
    <t>Year 2/5 of 5 yr/$190M from 2019 offseason</t>
  </si>
  <si>
    <t>Year 3/5 of 5 yr/$148M from 2017 offseason</t>
  </si>
  <si>
    <t>Year 2/3 of 3 yr/$14M from 2019 offseason</t>
  </si>
  <si>
    <t>Year 2/4 of 4 yr/$10M from 2019 offseason</t>
  </si>
  <si>
    <t>Year 2/4 of 4 yr/$6M from 2019 offseason</t>
  </si>
  <si>
    <t>Year 1/4 of 4 yr/$103M from 2019 offseason (extension)</t>
  </si>
  <si>
    <t>Year 2/4 of 4 yr/$141M from 2019 offseason</t>
  </si>
  <si>
    <t>Year 3/4 of 4 yr/$52M from 2018 offseason</t>
  </si>
  <si>
    <t>Year 4/4 of 4 yr/$30M from 2017 offseason</t>
  </si>
  <si>
    <t>Year 2/4 of 4 yr/$17M from 2019 offseason</t>
  </si>
  <si>
    <t>Year 2/2 of 2 yr/$5M from 2019 offseason</t>
  </si>
  <si>
    <t>Year 2/4 of 4 yr/$12M from 2019 offseason</t>
  </si>
  <si>
    <t>Year 3/4 of 4 yr/$9M from 2018 offseason</t>
  </si>
  <si>
    <t>Donta Hall</t>
  </si>
  <si>
    <t>Lance Thomas</t>
  </si>
  <si>
    <t>Jamal Crawford</t>
  </si>
  <si>
    <t>Signed on 7/18/20</t>
  </si>
  <si>
    <t>Signed on 7/14/20</t>
  </si>
  <si>
    <t>Signed on 7/10/20</t>
  </si>
  <si>
    <t>Signed on 7/9/20</t>
  </si>
  <si>
    <t>Year 1/2 of 2 yr/$25M from 2019 offseason (extension)</t>
  </si>
  <si>
    <t>Year 1/3 of 3 yr/$53M from 2019 offseason (extension)</t>
  </si>
  <si>
    <t>Year 2/4 of 4 yr/$164M from 2019 offseason</t>
  </si>
  <si>
    <t>Year 2/4 of 4 yr/$137M from 2019 offseason</t>
  </si>
  <si>
    <t>Year 2/3 of 3 yr/$34M from 18-19 season (extension)</t>
  </si>
  <si>
    <t>Year 2/4 of 4 yr/$40M from 2019 offseason</t>
  </si>
  <si>
    <t>Year 3/4 of 4 yr/$7M from 2018 offseason</t>
  </si>
  <si>
    <t>Year 2/3 of 3 yr/$57M from 2019 offseason</t>
  </si>
  <si>
    <t>Year 4/4 of 4 yr/$56M from 2016 offseason (extension)</t>
  </si>
  <si>
    <t>Year 4/4 of 4 yr/$16M from 2017 offseason</t>
  </si>
  <si>
    <t>Year 2/4 of 4 yr/$18M from 2019 offseason</t>
  </si>
  <si>
    <t>Year 3/4 of 4 yr/$16M from 2018 offseason</t>
  </si>
  <si>
    <t>Year 3/4 of 4 yr/$78M from 2018 offseason (CHI matched SAC offer sheet)</t>
  </si>
  <si>
    <t>Year 2/3 of 3 yr/$41M from 2019 offseason</t>
  </si>
  <si>
    <t>Year 2/3 of 3 yr/$30M from 2019 offseason</t>
  </si>
  <si>
    <t>Year 4/4 of 4 yr/$32M from 2017 offseason</t>
  </si>
  <si>
    <t>Year 4/4 of 4 yr/$20M from 2017 offseason</t>
  </si>
  <si>
    <t>Year 2/4 of 4 yr/$24M from 2019 offseason</t>
  </si>
  <si>
    <t>Year 3/4 of 4 yr/$22M from 2018 offseason</t>
  </si>
  <si>
    <t>Year 2/3 of 3 yr/$9M from 2019 offseason</t>
  </si>
  <si>
    <t>Year 3/4 of 4 yr/$11M from 2018 offseason</t>
  </si>
  <si>
    <t>Year 2/2 of 2 yr/$4.5M from 2019 offseason</t>
  </si>
  <si>
    <t>Jared Uthoff</t>
  </si>
  <si>
    <t>Signed on 7/17/20</t>
  </si>
  <si>
    <t>Signed on 7/1/20</t>
  </si>
  <si>
    <t>Year 5/5 of 5 yr/$127M from 2016 offseason, Year 0/2 of 2 yr/$72M from 2019 offseason (extension)</t>
  </si>
  <si>
    <t>Year 2/4 of 4 yr/$171M from 2017 offseason (extension)</t>
  </si>
  <si>
    <t>Year 2/3 of 3 yr/$25M from 2019 offseason</t>
  </si>
  <si>
    <t>Year 2/2 of 2 yr/$12M from 2019 offseason</t>
  </si>
  <si>
    <t>Year 2/4 of 4 yr/$20M from 2019 offseason</t>
  </si>
  <si>
    <t>Year 3/4 of 4 yr/$15M from 2018 offseason</t>
  </si>
  <si>
    <t>Year 3/4 of 4 yr/$10M from 2018 offseason</t>
  </si>
  <si>
    <t>Year 2/2 of 2 yr/$50M from 2017 offseason (extension)</t>
  </si>
  <si>
    <t>Year 2/2 of 2 yr/$29M from 2019 offseason</t>
  </si>
  <si>
    <t>Year 1/4 of 4 yr/$64M from 2019 offseason (extension)</t>
  </si>
  <si>
    <t>Year 4/4 of 4 yr/$48M from 2017 offseason</t>
  </si>
  <si>
    <t>Year 4/4 of 4 yr/$9M from 2017 offseason</t>
  </si>
  <si>
    <t>Year 3/4 of 4 yr/$12M from 2018 offseason</t>
  </si>
  <si>
    <t>Year 2/4 of 4 yr/$13M from 2019 offseason</t>
  </si>
  <si>
    <t>(pick #21)</t>
  </si>
  <si>
    <t>2020 2nd (59)</t>
  </si>
  <si>
    <t>2020 2nd (50) - MIA</t>
  </si>
  <si>
    <t>2020 2nd (58) - LAL</t>
  </si>
  <si>
    <t>2020 1st (17) - BKN</t>
  </si>
  <si>
    <t>2020 1st (24) - IND</t>
  </si>
  <si>
    <t>2023 1st to New York (protected 1-10 in 2023-2025, if not conveyed becomes 2025 2nd)</t>
  </si>
  <si>
    <t>28th</t>
  </si>
  <si>
    <t>4th</t>
  </si>
  <si>
    <t>2020 1st (16)</t>
  </si>
  <si>
    <t>2020 2nd (46)</t>
  </si>
  <si>
    <t>Year 5/5 of 5 yr/$140M from 2015 offseason (extension), Year 0/4 of 4 yr/$196M from 2019 offseason (extension)</t>
  </si>
  <si>
    <t>Year 3/4 of 4 yr/$53M from 2018 offseason</t>
  </si>
  <si>
    <t>Year 3/3 of 3 yr/$4M from 2018 offseason</t>
  </si>
  <si>
    <t>3rd</t>
  </si>
  <si>
    <t>27th</t>
  </si>
  <si>
    <t>18th</t>
  </si>
  <si>
    <t>13th</t>
  </si>
  <si>
    <t>2020 1st (14) - MEM</t>
  </si>
  <si>
    <t>2020 2nd (47) - BKN</t>
  </si>
  <si>
    <t>2020 1st (19) - PHI</t>
  </si>
  <si>
    <t>2020 2nd (44) - MEM</t>
  </si>
  <si>
    <t>2020 2nd (54)</t>
  </si>
  <si>
    <t>2020 1st (20)</t>
  </si>
  <si>
    <t>Year 3/5 of 5 yr/$148M from 2018 offseason</t>
  </si>
  <si>
    <t>Year 3/4 of 4 yr/84M from 2017 offseason (extension)</t>
  </si>
  <si>
    <t>Year 2/3 of 3 yr/$4M from 19-20 season</t>
  </si>
  <si>
    <t>Year 1/5 of 5 yr/$158M from 2019 offseason (extension)</t>
  </si>
  <si>
    <t>5th</t>
  </si>
  <si>
    <t>16th</t>
  </si>
  <si>
    <t>29th</t>
  </si>
  <si>
    <t>2020 1st (22) - HOU</t>
  </si>
  <si>
    <t>2020 2nd (52) - HOU</t>
  </si>
  <si>
    <t>2020 2nd (51) - UTA</t>
  </si>
  <si>
    <t>2020 1st (13)</t>
  </si>
  <si>
    <t>2020 2nd (42)</t>
  </si>
  <si>
    <t>2020 2nd (53)</t>
  </si>
  <si>
    <t>2020 1st (21) - OKC</t>
  </si>
  <si>
    <t>2020 1st (12)</t>
  </si>
  <si>
    <t>2020 2nd (43)</t>
  </si>
  <si>
    <t>2020 1st (23)</t>
  </si>
  <si>
    <t>Year 2/5 of 5 yr/$158M from 2019 offseason</t>
  </si>
  <si>
    <t>Year 1/3 of 3 yr/$33M from 2019 offseason (extension)</t>
  </si>
  <si>
    <t>Year 2/3 of 3 yr/$28M from 2019 offseason</t>
  </si>
  <si>
    <t>Year 2/4 of 4 yr/$36M from 2019 offseason</t>
  </si>
  <si>
    <t>Year 3/4 of 4 yr/$32M from 2018 offseason</t>
  </si>
  <si>
    <t>Year 2/4 of 4 yr/$32M from 2019 offseason</t>
  </si>
  <si>
    <t>Year 4/4 of 4 yr/$11M from 2017 offseason</t>
  </si>
  <si>
    <t>Year 2/3 of 4 yr/$12M from 2019 offseason</t>
  </si>
  <si>
    <t>Year 2/2 of 2 yr/$7M from 2019 offseason</t>
  </si>
  <si>
    <t>Year 3/4 of 4 yr/$6M from 2018 offseason</t>
  </si>
  <si>
    <t>1st</t>
  </si>
  <si>
    <t>6th</t>
  </si>
  <si>
    <t>Exceptions</t>
  </si>
  <si>
    <t>7th</t>
  </si>
  <si>
    <t>Projected Exceptions</t>
  </si>
  <si>
    <t>Year 2/3 of 3 yr/$40M from 2019 offseason (SAC)</t>
  </si>
  <si>
    <t>Year 3/4 of 4 yr/$27M from 2018 offseason</t>
  </si>
  <si>
    <t>Year 2/4 of 4 yr/$19M from 2019 offseason</t>
  </si>
  <si>
    <t>Year 2/3 of 3 yr/$5M from 2019 offseason</t>
  </si>
  <si>
    <t>Roster Info</t>
  </si>
  <si>
    <t>17th</t>
  </si>
  <si>
    <t>2025 2nd from Golden State (unprotected)</t>
  </si>
  <si>
    <t>2021 2nd from Indiana (protected 45-60 in 2021 and 2022, unprotected in 2023)</t>
  </si>
  <si>
    <t>Historical Info</t>
  </si>
  <si>
    <t>2021 2nd to Charlotte (unprotected)</t>
  </si>
  <si>
    <t>22nd</t>
  </si>
  <si>
    <t>10th</t>
  </si>
  <si>
    <t>15th</t>
  </si>
  <si>
    <t>30th</t>
  </si>
  <si>
    <t>11st in East</t>
  </si>
  <si>
    <t>9th</t>
  </si>
  <si>
    <t>2022 2nd to New Orleans</t>
  </si>
  <si>
    <t>Year 1/4 of 4 yr/$31M from 19-20 season (extension)</t>
  </si>
  <si>
    <t>Year 2/4 of 4 yr/$120M from 2018 offseason (extension)</t>
  </si>
  <si>
    <t>Year 2/4 of 4 yr/$45M from 2018 offseason (extension)</t>
  </si>
  <si>
    <t>Year 3/3 of 3 yr/$33M from 2018 offseason</t>
  </si>
  <si>
    <t>Year 2/4 of 4 yr/$29M from 2019 offseason</t>
  </si>
  <si>
    <t>Year 3/4 of 4 yr/$20M from 2018 offseason</t>
  </si>
  <si>
    <t>Year 2/4 of 4 yr/$8M from 2019 offseason</t>
  </si>
  <si>
    <t>26th</t>
  </si>
  <si>
    <t>23rd</t>
  </si>
  <si>
    <t>2022 1st from Milwaukee (protected 1-10 in 2022, 1-10 and 25-30 in 2023, 1-8 in 2024, if not conveyed becomes 2024 and 2025 2nds)</t>
  </si>
  <si>
    <t>2023 2nd from Miami (DAL has right to swap)</t>
  </si>
  <si>
    <t>2022 2nd to Minnesota or Miami</t>
  </si>
  <si>
    <t>2021 2nd to Philadelphia</t>
  </si>
  <si>
    <t>20th</t>
  </si>
  <si>
    <t>2021 2nd to New York</t>
  </si>
  <si>
    <t>2022 2nd to Memphis / Chicago / Washington</t>
  </si>
  <si>
    <t>2023 2nd to LA Clippers</t>
  </si>
  <si>
    <t>2021 2nd from LA Lakers</t>
  </si>
  <si>
    <t>2023 2nd from Golden State / Cleveland</t>
  </si>
  <si>
    <t>2023 2nd from Portland</t>
  </si>
  <si>
    <t>Year 4/5 of 5 yr/$171M from 2017 offseason</t>
  </si>
  <si>
    <t>Year 2/2 of 2 yr/$15M from 2019 offseason</t>
  </si>
  <si>
    <t>Year 4/4 of 4 yr/$15M from 2017 offseason</t>
  </si>
  <si>
    <t>Year 2/4 of 4 yr/$16M from 2019 offseason</t>
  </si>
  <si>
    <t>Signed on 7/6/20</t>
  </si>
  <si>
    <t>Year 3/5 of 5 yr/$207M from 2017 offseason (extension)</t>
  </si>
  <si>
    <t>Year 1/4 of 4 yr/$76M from 2019 offseason (extension)</t>
  </si>
  <si>
    <t>Year 3/4 of 4 yr/$47M from 17-18 season (extension)</t>
  </si>
  <si>
    <t>Year 4/4 of 4 yr/$43M from 2017 offseason</t>
  </si>
  <si>
    <t>Year 2/3 of 3 yr/$11M from 2019 offseason</t>
  </si>
  <si>
    <t>OKC…</t>
  </si>
  <si>
    <t>8th</t>
  </si>
  <si>
    <t>2nd</t>
  </si>
  <si>
    <t>Luc Richard Mbah a Moute</t>
  </si>
  <si>
    <t>Full MLE ($9,258,000), BAE ($3,623,000)</t>
  </si>
  <si>
    <t>19th</t>
  </si>
  <si>
    <t>2021 2nd from Milwaukee</t>
  </si>
  <si>
    <t>2021 2nd from Utah</t>
  </si>
  <si>
    <t>2022 2nd from Miami</t>
  </si>
  <si>
    <t>2025 2nd from Miami</t>
  </si>
  <si>
    <t>2026 2nd from Miami</t>
  </si>
  <si>
    <t>2021 2nd to Brooklyn (protected 45-60 in 2021 and 2022, unprotected in 2023)</t>
  </si>
  <si>
    <t>2021 2nd to Milwaukee (conveyes one year after 2nd to Brooklyn, could be anywhere from 2022-2024)</t>
  </si>
  <si>
    <t>Year 4/4 of 4 yr/$85M from 2016 offseason</t>
  </si>
  <si>
    <t>Year 1/4 of 4 yr/$80M from 2019 offseason (extension)</t>
  </si>
  <si>
    <t>Year 2/4 of 4 yr/$72M from 2018 offseason</t>
  </si>
  <si>
    <t>Year 3/4 of 4 yr/$47M from 2017 offseason</t>
  </si>
  <si>
    <t>Year 2/3 of 3 yr/$32M from 2019 offseason</t>
  </si>
  <si>
    <t>Year 3/3 of 3 yr/$22M from 2018 offseason</t>
  </si>
  <si>
    <t>Year 4/4 of 4 yr/$12M from 2017 offseason</t>
  </si>
  <si>
    <t>Year 2/4 of 4 yr/$14M from 2019 offseason</t>
  </si>
  <si>
    <t>Year 2/3 of 3 yr/$6M from 2019 offseason</t>
  </si>
  <si>
    <t>Year 3/4 of 4 yr/$137M from 2018 offseason</t>
  </si>
  <si>
    <t>Year 2/3 of 3 yr/$103M from 2019 offseason</t>
  </si>
  <si>
    <t>Year 2/3 of 3 yr/$40M from 2019 offseason</t>
  </si>
  <si>
    <t>Year 3/3 of 3 yr/$24M from 17-18 season (extension)</t>
  </si>
  <si>
    <t>Year 2/4 of 4 yr/$28M from 2019 offseason</t>
  </si>
  <si>
    <t>Year 2/3 of 3 yr/$15M from 2019 offseason</t>
  </si>
  <si>
    <t>Year 2/5 of 5 yr/$180M from 2019 offseason</t>
  </si>
  <si>
    <t>Year 3/5 of 5 yr/$148M from 2017 offseason (extension)</t>
  </si>
  <si>
    <t>Year 2/4 of 4 yr/$109M from 2019 offseason</t>
  </si>
  <si>
    <t>Year 1/5 of 5 yr/$170M from 2019 offseason (extension)</t>
  </si>
  <si>
    <t>Year 3/4 of 4 yr/$42M from 2017 offseason (extension)</t>
  </si>
  <si>
    <t>Year 3/4 of 4 yr/$14M from 2018 offseason</t>
  </si>
  <si>
    <t>Tax MLE ($5,718,000)</t>
  </si>
  <si>
    <t>Tax MLE ($5,718,000), one TPE &lt; $2,000,000</t>
  </si>
  <si>
    <t>14th</t>
  </si>
  <si>
    <t>2021 1st from Utah (protected 1-7 and 15-30 in 2021, protected 1-6 in 2022, protected 1-3 in 2023, protected 1 in 2024, if not conveyed turns into 2025 2nd)</t>
  </si>
  <si>
    <t>Full MLE ($9,258,000), Wright TPE ($4,736,842, 7/8/20), Iguodala TPE ($4,185,185, 2/6/21), Korver TPE ($3,440,000, 7/6/20,), Miles TPE ($3,126,309, 7/6/20), three TPEs &lt; $2,000,000</t>
  </si>
  <si>
    <t>21st</t>
  </si>
  <si>
    <t>Year 4/4 of 4 yr/$63M from 2016 offseason (extension)</t>
  </si>
  <si>
    <t>Year 2/3 of 3 yr/$45M from 2019 offseason</t>
  </si>
  <si>
    <t>Year 2/3 of 3 yr/$39M from 2018 offseason (extension)</t>
  </si>
  <si>
    <t>Year 1/3 of 3 yr/$35M from 19-20 season (extension)</t>
  </si>
  <si>
    <t>Year 3/4 of 4 yr/$37M from 2018 offseason</t>
  </si>
  <si>
    <t>Year 2/3 of 3 yr/$26M from 2019 offseason</t>
  </si>
  <si>
    <t>Year 3/4 of 4 yr/$29M from 2018 offseason</t>
  </si>
  <si>
    <t>Room Exception ($4,767,000) OR Full MLE ($9,258,000), Johnson TPE ($7,533,867, 2/6/21), BAE ($3,623,000)</t>
  </si>
  <si>
    <t>12th</t>
  </si>
  <si>
    <t>Year 1/2 of 2 yr/$30M from 19-20 season (extension)</t>
  </si>
  <si>
    <t>Year 4/4 of 4 yr/$14M from 2017 offseason</t>
  </si>
  <si>
    <t>Year 2/5 of 5 yr/$158M from 2018 offseason (extension)</t>
  </si>
  <si>
    <t>Year 2/4 of 4 yr/$117M from 2019 offseason</t>
  </si>
  <si>
    <t>Year 2/4 of 4 yr/$26M from 2019 offseason</t>
  </si>
  <si>
    <t>Year 4/4 of 4 yr/$98M from 2016 offseason (extension)</t>
  </si>
  <si>
    <t>Year 2/4 of 4 yr/$73M from 2019 offseason</t>
  </si>
  <si>
    <t>Year 4/4 of 4 yr/$50M from 2017 offseason, Year 0/1 of 1 yr/$13M from 2019 offseason (extension)</t>
  </si>
  <si>
    <t>Year 1/4 of 4 yr/$36M from 19-20 season (extension)</t>
  </si>
  <si>
    <t>2021 1st to Memphis (protected 1-7 and 15-30 in 2021, 1-6 in 2022, 1-3 in 2023, 1 in 2024, becomes 2025 2nd)</t>
  </si>
  <si>
    <t>24th</t>
  </si>
  <si>
    <r>
      <t xml:space="preserve">$1,750,000 annual likely incentives ($1,000,000 for All-Star, $500,000 for All-Defense 1st, $250,000 for REB target), </t>
    </r>
    <r>
      <rPr>
        <strike/>
        <sz val="12"/>
        <color theme="1"/>
        <rFont val="Calibri"/>
        <family val="2"/>
      </rPr>
      <t>$250,000 annual unlikely incentives (DRTG &lt; 100)</t>
    </r>
  </si>
  <si>
    <t>Guangdong Tigers (China)</t>
  </si>
  <si>
    <t>Full MLE ($9,258,000), BAE ($3,623,000), Dedmon TPE ($2,673,334, 2/6/21)</t>
  </si>
  <si>
    <t>Iguodala TPE ($17,185,185, 7/7/20), Tax MLE ($5,718,000), Cauley-Stein TPE ($2,177,473, 1/25/21), eight TPEs &lt; $2,000,000</t>
  </si>
  <si>
    <t>Year 2/4 of 4 yr/$100M from 2019 offseason</t>
  </si>
  <si>
    <t>Year 3/4 of 4 yr/$76M from 2018 offseason</t>
  </si>
  <si>
    <t>Year 2/4 of 4 yr/$50M from 2019 offseason</t>
  </si>
  <si>
    <t>Year 4/4 of 4 yr/$37M from 2017 offseason</t>
  </si>
  <si>
    <t>Year 2/3 of 3 yr/$29M from 2019 offseason</t>
  </si>
  <si>
    <t>Year 4/4 of 4 yr/$22M from 2017 offseason</t>
  </si>
  <si>
    <t>Year 3/4 of 4 yr/$24M from 2018 offseason</t>
  </si>
  <si>
    <t>Year 2/2 of 2 yr/$6M from 2019 offseason</t>
  </si>
  <si>
    <t>Historical Record</t>
  </si>
  <si>
    <t>2022 1st to Cleveland (protected 1-10 in 2022, 1-10 and 25-30 in 2023, 1-8 in 2024, if not conveyed becomes 2024 and 2025 2nds)</t>
  </si>
  <si>
    <t>Year 2/5 of 5 yr/$178M from 2019 offseason</t>
  </si>
  <si>
    <t>Year 2/4 of 4 yr/$70M from 18-19 season (extension)</t>
  </si>
  <si>
    <t>Year 2/4 of 4 yr/$52M from 2019 offseason</t>
  </si>
  <si>
    <t>Year 3/4 of 4 yr/$13M from 2018 offseason</t>
  </si>
  <si>
    <t>Year 2/2 of 2 yr/$3M from 2019 offseason</t>
  </si>
  <si>
    <t>Lost to TOR in first round (4-0)</t>
  </si>
  <si>
    <t>Full MLE ($9,258,000), BAE ($3,623,000), three TPEs &lt; $2,000,000</t>
  </si>
  <si>
    <t>5% trade kicker</t>
  </si>
  <si>
    <t>2021 2nd from Cleveland (unprotected)</t>
  </si>
  <si>
    <t>2022 2nd from Cleveland (unprotected)</t>
  </si>
  <si>
    <t>Room ($4,767,000) / Full MLE ($9,258,000), BAE ($3,623,000)</t>
  </si>
  <si>
    <t>Claimed off waivers on 6/25/20</t>
  </si>
  <si>
    <t>Room ($4,767,000) OR Full MLE ($9,258,000), Morris TPE ($3,988,766, 2/6/21), BAE ($3,623,000)</t>
  </si>
  <si>
    <t>George TPE ($10,389,997, 7/10/20), Grant TPE ($9,346,153, 7/8/20), Full MLE ($9,258,000), BAE ($3,623,000), one TPE &lt; $2,000,000</t>
  </si>
  <si>
    <t xml:space="preserve">Year 2/3 of 3 yr/$51M from 2019 offseason </t>
  </si>
  <si>
    <t>Year 2/2 of 2 yr/$30M from 2019 offseason</t>
  </si>
  <si>
    <t>Year 3/4 of 4 yr/$40M from 2018 offseason</t>
  </si>
  <si>
    <t>Year 3/4 of 4 yr/$18M from 2018 offseason</t>
  </si>
  <si>
    <t>Room ($4,767,000) OR Full MLE ($9,258,000), BAE ($3,623,000)</t>
  </si>
  <si>
    <t>Year 1/1 of 1 yr/$31M from 2019 offseason (extension)</t>
  </si>
  <si>
    <t>Year 1/4 of 4 yr/$117M from 2019 offseason (extension)</t>
  </si>
  <si>
    <t>Year 2/2 of 2 yr/$8M from 2019 offseason</t>
  </si>
  <si>
    <t>$500,000 likely incentives (All-Star)</t>
  </si>
  <si>
    <t>Full MLE ($9,258,000) / Room ($4,767,000)</t>
  </si>
  <si>
    <t>Beat BKN in first round (4-0), BOS…</t>
  </si>
  <si>
    <t>Greg Monroe</t>
  </si>
  <si>
    <t>2022 2nd to Golden State</t>
  </si>
  <si>
    <t>Malachi Richardson --&gt; Alec Burks</t>
  </si>
  <si>
    <t>Full MLE ($9,258,000), Bazemore TPE ($7,069,662, 1/21/21), BAE ($3,623,000), Labissiere TPE ($2,338,847, 2/6/21), one TPE &lt; $2,000,000</t>
  </si>
  <si>
    <t>Lost to LAL in first round (4-1)</t>
  </si>
  <si>
    <t>$1,250,000 annual unlikely incentives (70 GP + POR wins 50 games)</t>
  </si>
  <si>
    <t>Year 4/4 of 4 yr/$107M from 2016 offseason (extension), Year 0/3 of 3 yr/$100M from 2019 offseason (extension)</t>
  </si>
  <si>
    <t>Lost to MIL in first round (4-1)</t>
  </si>
  <si>
    <t>Beat ORL in first round (4-1), MIA…</t>
  </si>
  <si>
    <t>Beat IND in first round (4-0), MIL…</t>
  </si>
  <si>
    <t>Room ($4,767,000)</t>
  </si>
  <si>
    <t>Full MLE, Clarkson TPE ($3,837,500, 12/23/20), BAE ($3,623,000)</t>
  </si>
  <si>
    <t>Lost to LAC in first round (4-2)</t>
  </si>
  <si>
    <t>Full MLE ($9,258,000)</t>
  </si>
  <si>
    <t>Lost to UTA in first round (4-3)</t>
  </si>
  <si>
    <t>Beat SAS in first round (4-3), lost to HOU in second round (4-3)</t>
  </si>
  <si>
    <t>Beat GSW in first round (4-3), lost to OKC in second round (4-2)</t>
  </si>
  <si>
    <t>Beat MEM in first round (4-3), lost to SAS in second round (4-0)</t>
  </si>
  <si>
    <t>Full MLE ($9,258,000), BAE ($3,623,000), Robinson TPE ($3,567,720, 2/6/21), one TPE &lt; $2,000,000</t>
  </si>
  <si>
    <t>Room Exception ($4,767,000)</t>
  </si>
  <si>
    <t>Full MLE ($9,258,000), BAE ($3,623,000), Hernangomez TPE ($3,321,030, 2/5/21), Napier TPE ($1,845,301, 2/6/21)</t>
  </si>
  <si>
    <t>Tax MLE ($5,718,000), Capela TPE ($3,595,333, 2/5/21), Nene TPE ($2,464,753, 2/5/21), two TPEs &lt; $2,000,000</t>
  </si>
  <si>
    <t>Five Year Record</t>
  </si>
  <si>
    <r>
      <t>$350k annual likely incentives (2nd round playoffs+60 games), $625k annual unlikely incentives (</t>
    </r>
    <r>
      <rPr>
        <strike/>
        <sz val="12"/>
        <color theme="1"/>
        <rFont val="Calibri"/>
        <family val="2"/>
      </rPr>
      <t>$225k for 57 wins+60 games</t>
    </r>
    <r>
      <rPr>
        <sz val="12"/>
        <color theme="1"/>
        <rFont val="Calibri"/>
        <family val="2"/>
      </rPr>
      <t>, $100k for CF+60 games, $100k for NBA Finals+60 games, $200k for Championships+60 games)</t>
    </r>
  </si>
  <si>
    <t>Beat DAL in first round (4-2), DEN…</t>
  </si>
  <si>
    <t>Lost to HOU in first round (4-3)</t>
  </si>
  <si>
    <t>Beat PHI in first round (4-0), beat TOR in semifinals (4-3), lost to MIA in ECF (4-2)</t>
  </si>
  <si>
    <t>Beat UTA in first round (4-3), Beat LAC in semifinals (4-3), Lost to LAL in WCF (4-1)</t>
  </si>
  <si>
    <t>num</t>
  </si>
  <si>
    <t>name</t>
  </si>
  <si>
    <t>position</t>
  </si>
  <si>
    <t>height</t>
  </si>
  <si>
    <t>wingspan</t>
  </si>
  <si>
    <t>weight</t>
  </si>
  <si>
    <t>dob</t>
  </si>
  <si>
    <t>age</t>
  </si>
  <si>
    <t>beforenba</t>
  </si>
  <si>
    <t>experience</t>
  </si>
  <si>
    <t>draftyear</t>
  </si>
  <si>
    <t>pick</t>
  </si>
  <si>
    <t>acquired</t>
  </si>
  <si>
    <t>signedusing</t>
  </si>
  <si>
    <t>currentcontract</t>
  </si>
  <si>
    <t>salary2021</t>
  </si>
  <si>
    <t>salary2122</t>
  </si>
  <si>
    <t>salary2223</t>
  </si>
  <si>
    <t>salary2324</t>
  </si>
  <si>
    <t>salary2425</t>
  </si>
  <si>
    <t>salary2526</t>
  </si>
  <si>
    <t>contractdetails</t>
  </si>
  <si>
    <t>positionbreakdown</t>
  </si>
  <si>
    <t>gp</t>
  </si>
  <si>
    <t>winpct</t>
  </si>
  <si>
    <t>ortg</t>
  </si>
  <si>
    <t>drtg</t>
  </si>
  <si>
    <t>nrtg</t>
  </si>
  <si>
    <t>mpg</t>
  </si>
  <si>
    <t>per</t>
  </si>
  <si>
    <t>tspct</t>
  </si>
  <si>
    <t>usgpct</t>
  </si>
  <si>
    <t>ows</t>
  </si>
  <si>
    <t>dws</t>
  </si>
  <si>
    <t>wsper48</t>
  </si>
  <si>
    <t>obpm</t>
  </si>
  <si>
    <t>dbpm</t>
  </si>
  <si>
    <t>vorp</t>
  </si>
  <si>
    <t>pie</t>
  </si>
  <si>
    <t>position_num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</si>
</sst>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5" formatCode="&quot;$&quot;#,##0_);\(&quot;$&quot;#,##0\)"/>
    <numFmt numFmtId="6" formatCode="&quot;$&quot;#,##0_);[Red]\(&quot;$&quot;#,##0\)"/>
    <numFmt numFmtId="8" formatCode="&quot;$&quot;#,##0.00_);[Red]\(&quot;$&quot;#,##0.00\)"/>
    <numFmt numFmtId="164" formatCode="&quot;$&quot;#,##0"/>
    <numFmt numFmtId="165" formatCode="&quot;$&quot;#,##0.0_);[Red]\(&quot;$&quot;#,##0.0\)"/>
    <numFmt numFmtId="166" formatCode="0.000"/>
    <numFmt numFmtId="167" formatCode="[$$-409]#,##0_);\([$$-409]#,##0\)"/>
    <numFmt numFmtId="168" formatCode="#,##0.000"/>
    <numFmt numFmtId="169" formatCode="[&lt;100]#\'\ #\'\';#\'\ ##\&quot;"/>
    <numFmt numFmtId="170" formatCode="0\ &quot;lbs.&quot;"/>
    <numFmt numFmtId="171" formatCode="0.0"/>
    <numFmt numFmtId="173" formatCode="0\ &quot;days&quot;"/>
  </numFmts>
  <fonts count="37" x14ac:knownFonts="1">
    <font>
      <sz val="12"/>
      <color theme="1"/>
      <name val="Calibri"/>
      <family val="2"/>
      <scheme val="minor"/>
    </font>
    <font>
      <b/>
      <sz val="12"/>
      <color theme="1"/>
      <name val="Calibri"/>
      <family val="2"/>
      <scheme val="minor"/>
    </font>
    <font>
      <sz val="12"/>
      <color theme="1"/>
      <name val="Times New Roman"/>
      <family val="1"/>
    </font>
    <font>
      <sz val="12"/>
      <color theme="1"/>
      <name val="Calibri"/>
      <family val="2"/>
    </font>
    <font>
      <u/>
      <sz val="12"/>
      <color theme="1"/>
      <name val="Calibri"/>
      <family val="2"/>
    </font>
    <font>
      <b/>
      <sz val="12"/>
      <color theme="1"/>
      <name val="Calibri"/>
      <family val="2"/>
    </font>
    <font>
      <sz val="10"/>
      <color theme="1"/>
      <name val="Arial"/>
      <family val="2"/>
    </font>
    <font>
      <sz val="10"/>
      <color theme="1"/>
      <name val="Calibri"/>
      <family val="2"/>
    </font>
    <font>
      <sz val="12"/>
      <color rgb="FF00B0F0"/>
      <name val="Calibri"/>
      <family val="2"/>
    </font>
    <font>
      <sz val="12"/>
      <name val="Calibri"/>
      <family val="2"/>
    </font>
    <font>
      <sz val="12"/>
      <color rgb="FF002060"/>
      <name val="Calibri"/>
      <family val="2"/>
    </font>
    <font>
      <sz val="12"/>
      <color rgb="FF000000"/>
      <name val="Calibri"/>
      <family val="2"/>
    </font>
    <font>
      <strike/>
      <sz val="12"/>
      <color theme="1"/>
      <name val="Calibri"/>
      <family val="2"/>
    </font>
    <font>
      <sz val="13"/>
      <color rgb="FF009900"/>
      <name val="Arial"/>
      <family val="2"/>
    </font>
    <font>
      <u/>
      <sz val="12"/>
      <color theme="10"/>
      <name val="Calibri"/>
      <family val="2"/>
      <scheme val="minor"/>
    </font>
    <font>
      <u/>
      <sz val="12"/>
      <color theme="10"/>
      <name val="Calibri"/>
      <family val="2"/>
    </font>
    <font>
      <sz val="13"/>
      <color rgb="FFFF3300"/>
      <name val="Arial"/>
      <family val="2"/>
    </font>
    <font>
      <sz val="12"/>
      <color rgb="FF000000"/>
      <name val="Calibri"/>
      <family val="2"/>
      <scheme val="minor"/>
    </font>
    <font>
      <u/>
      <sz val="12"/>
      <color theme="1"/>
      <name val="Calibri"/>
      <family val="2"/>
      <scheme val="minor"/>
    </font>
    <font>
      <sz val="12"/>
      <color theme="1"/>
      <name val="Calibri (Body)"/>
    </font>
    <font>
      <b/>
      <sz val="12"/>
      <color theme="1"/>
      <name val="Calibri (Body)"/>
    </font>
    <font>
      <sz val="12"/>
      <color rgb="FF000000"/>
      <name val="Calibri (Body)"/>
    </font>
    <font>
      <u/>
      <sz val="12"/>
      <color theme="10"/>
      <name val="Calibri (Body)"/>
    </font>
    <font>
      <u/>
      <sz val="12"/>
      <color theme="1"/>
      <name val="Calibri (Body)"/>
    </font>
    <font>
      <sz val="8"/>
      <name val="Calibri"/>
      <family val="2"/>
      <scheme val="minor"/>
    </font>
    <font>
      <sz val="12"/>
      <color theme="1"/>
      <name val="Arial"/>
      <family val="2"/>
    </font>
    <font>
      <i/>
      <sz val="12"/>
      <color theme="1"/>
      <name val="Calibri"/>
      <family val="2"/>
    </font>
    <font>
      <sz val="12"/>
      <name val="Calibri (Body)"/>
    </font>
    <font>
      <i/>
      <sz val="12"/>
      <color theme="1"/>
      <name val="Calibri"/>
      <family val="2"/>
      <scheme val="minor"/>
    </font>
    <font>
      <i/>
      <sz val="12"/>
      <color theme="1"/>
      <name val="Calibri (Body)"/>
    </font>
    <font>
      <sz val="12"/>
      <color rgb="FF000000"/>
      <name val="Arial"/>
      <family val="2"/>
    </font>
    <font>
      <b/>
      <sz val="12"/>
      <name val="Calibri"/>
      <family val="2"/>
    </font>
    <font>
      <sz val="12"/>
      <color rgb="FF3F3F3F"/>
      <name val="Helvetica"/>
      <family val="2"/>
    </font>
    <font>
      <i/>
      <sz val="12"/>
      <name val="Calibri"/>
      <family val="2"/>
    </font>
    <font>
      <sz val="12"/>
      <color rgb="FF009900"/>
      <name val="Calibri"/>
      <family val="2"/>
    </font>
    <font>
      <b/>
      <sz val="12"/>
      <color rgb="FF000000"/>
      <name val="Calibri"/>
      <family val="2"/>
    </font>
    <font>
      <sz val="10"/>
      <color rgb="FF000000"/>
      <name val="Tahoma"/>
      <family val="2"/>
    </font>
  </fonts>
  <fills count="9">
    <fill>
      <patternFill patternType="none"/>
    </fill>
    <fill>
      <patternFill patternType="gray125"/>
    </fill>
    <fill>
      <patternFill patternType="solid">
        <fgColor rgb="FF00B0F0"/>
        <bgColor indexed="64"/>
      </patternFill>
    </fill>
    <fill>
      <patternFill patternType="solid">
        <fgColor rgb="FF7030A0"/>
        <bgColor indexed="64"/>
      </patternFill>
    </fill>
    <fill>
      <patternFill patternType="solid">
        <fgColor rgb="FFFFC000"/>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0070C0"/>
        <bgColor indexed="64"/>
      </patternFill>
    </fill>
  </fills>
  <borders count="1">
    <border>
      <left/>
      <right/>
      <top/>
      <bottom/>
      <diagonal/>
    </border>
  </borders>
  <cellStyleXfs count="2">
    <xf numFmtId="0" fontId="0" fillId="0" borderId="0"/>
    <xf numFmtId="0" fontId="14" fillId="0" borderId="0" applyNumberFormat="0" applyFill="0" applyBorder="0" applyAlignment="0" applyProtection="0"/>
  </cellStyleXfs>
  <cellXfs count="232">
    <xf numFmtId="0" fontId="0" fillId="0" borderId="0" xfId="0"/>
    <xf numFmtId="0" fontId="2" fillId="0" borderId="0" xfId="0" applyFont="1"/>
    <xf numFmtId="0" fontId="3" fillId="0" borderId="0" xfId="0" applyFont="1"/>
    <xf numFmtId="0" fontId="3" fillId="0" borderId="0" xfId="0" applyFont="1" applyAlignment="1">
      <alignment horizontal="left"/>
    </xf>
    <xf numFmtId="14" fontId="3" fillId="0" borderId="0" xfId="0" applyNumberFormat="1" applyFont="1" applyAlignment="1">
      <alignment horizontal="left"/>
    </xf>
    <xf numFmtId="0" fontId="4" fillId="0" borderId="0" xfId="0" applyFont="1" applyAlignment="1">
      <alignment horizontal="left"/>
    </xf>
    <xf numFmtId="0" fontId="5" fillId="0" borderId="0" xfId="0" applyFont="1" applyAlignment="1">
      <alignment horizontal="left"/>
    </xf>
    <xf numFmtId="6" fontId="0" fillId="0" borderId="0" xfId="0" applyNumberFormat="1"/>
    <xf numFmtId="0" fontId="6" fillId="0" borderId="0" xfId="0" applyFont="1"/>
    <xf numFmtId="6" fontId="3" fillId="0" borderId="0" xfId="0" applyNumberFormat="1" applyFont="1"/>
    <xf numFmtId="0" fontId="7" fillId="0" borderId="0" xfId="0" applyFont="1"/>
    <xf numFmtId="6" fontId="3" fillId="0" borderId="0" xfId="0" applyNumberFormat="1" applyFont="1" applyAlignment="1">
      <alignment horizontal="left"/>
    </xf>
    <xf numFmtId="0" fontId="7" fillId="0" borderId="0" xfId="0" applyFont="1" applyAlignment="1">
      <alignment horizontal="left"/>
    </xf>
    <xf numFmtId="6" fontId="8" fillId="0" borderId="0" xfId="0" applyNumberFormat="1" applyFont="1" applyAlignment="1">
      <alignment horizontal="left"/>
    </xf>
    <xf numFmtId="6" fontId="3" fillId="2" borderId="0" xfId="0" applyNumberFormat="1" applyFont="1" applyFill="1" applyAlignment="1">
      <alignment horizontal="left"/>
    </xf>
    <xf numFmtId="6" fontId="3" fillId="3" borderId="0" xfId="0" applyNumberFormat="1" applyFont="1" applyFill="1" applyAlignment="1">
      <alignment horizontal="left"/>
    </xf>
    <xf numFmtId="6" fontId="3" fillId="0" borderId="0" xfId="0" applyNumberFormat="1" applyFont="1" applyFill="1" applyAlignment="1">
      <alignment horizontal="left"/>
    </xf>
    <xf numFmtId="6" fontId="8" fillId="0" borderId="0" xfId="0" applyNumberFormat="1" applyFont="1" applyFill="1" applyAlignment="1">
      <alignment horizontal="left"/>
    </xf>
    <xf numFmtId="6" fontId="9" fillId="2" borderId="0" xfId="0" applyNumberFormat="1" applyFont="1" applyFill="1" applyAlignment="1">
      <alignment horizontal="left"/>
    </xf>
    <xf numFmtId="6" fontId="9" fillId="0" borderId="0" xfId="0" applyNumberFormat="1" applyFont="1" applyFill="1" applyAlignment="1">
      <alignment horizontal="left"/>
    </xf>
    <xf numFmtId="49" fontId="3" fillId="0" borderId="0" xfId="0" applyNumberFormat="1" applyFont="1" applyAlignment="1">
      <alignment horizontal="left"/>
    </xf>
    <xf numFmtId="6" fontId="10" fillId="0" borderId="0" xfId="0" applyNumberFormat="1" applyFont="1" applyAlignment="1">
      <alignment horizontal="left"/>
    </xf>
    <xf numFmtId="164" fontId="3" fillId="0" borderId="0" xfId="0" applyNumberFormat="1" applyFont="1" applyAlignment="1">
      <alignment horizontal="left"/>
    </xf>
    <xf numFmtId="49" fontId="11" fillId="0" borderId="0" xfId="0" applyNumberFormat="1" applyFont="1" applyAlignment="1">
      <alignment horizontal="left"/>
    </xf>
    <xf numFmtId="0" fontId="11" fillId="0" borderId="0" xfId="0" applyFont="1" applyAlignment="1">
      <alignment horizontal="left"/>
    </xf>
    <xf numFmtId="0" fontId="2" fillId="0" borderId="0" xfId="0" applyFont="1" applyAlignment="1">
      <alignment horizontal="left"/>
    </xf>
    <xf numFmtId="165" fontId="3" fillId="0" borderId="0" xfId="0" applyNumberFormat="1" applyFont="1" applyAlignment="1">
      <alignment horizontal="left"/>
    </xf>
    <xf numFmtId="8" fontId="3" fillId="0" borderId="0" xfId="0" applyNumberFormat="1" applyFont="1" applyAlignment="1">
      <alignment horizontal="left"/>
    </xf>
    <xf numFmtId="0" fontId="6" fillId="0" borderId="0" xfId="0" applyFont="1" applyAlignment="1">
      <alignment horizontal="left"/>
    </xf>
    <xf numFmtId="6" fontId="5" fillId="0" borderId="0" xfId="0" applyNumberFormat="1" applyFont="1" applyAlignment="1">
      <alignment horizontal="left"/>
    </xf>
    <xf numFmtId="6" fontId="9" fillId="3" borderId="0" xfId="0" applyNumberFormat="1" applyFont="1" applyFill="1" applyAlignment="1">
      <alignment horizontal="left"/>
    </xf>
    <xf numFmtId="6" fontId="9" fillId="4" borderId="0" xfId="0" applyNumberFormat="1" applyFont="1" applyFill="1" applyAlignment="1">
      <alignment horizontal="left"/>
    </xf>
    <xf numFmtId="6" fontId="9" fillId="5" borderId="0" xfId="0" applyNumberFormat="1" applyFont="1" applyFill="1" applyAlignment="1">
      <alignment horizontal="left"/>
    </xf>
    <xf numFmtId="6" fontId="10" fillId="5" borderId="0" xfId="0" applyNumberFormat="1" applyFont="1" applyFill="1" applyAlignment="1">
      <alignment horizontal="left"/>
    </xf>
    <xf numFmtId="0" fontId="3" fillId="5" borderId="0" xfId="0" applyFont="1" applyFill="1" applyAlignment="1">
      <alignment horizontal="left"/>
    </xf>
    <xf numFmtId="6" fontId="13" fillId="0" borderId="0" xfId="0" applyNumberFormat="1" applyFont="1"/>
    <xf numFmtId="2" fontId="3" fillId="0" borderId="0" xfId="0" applyNumberFormat="1" applyFont="1" applyAlignment="1">
      <alignment horizontal="left"/>
    </xf>
    <xf numFmtId="0" fontId="14" fillId="0" borderId="0" xfId="1"/>
    <xf numFmtId="0" fontId="3" fillId="0" borderId="0" xfId="0" quotePrefix="1" applyFont="1" applyAlignment="1">
      <alignment horizontal="left"/>
    </xf>
    <xf numFmtId="0" fontId="14" fillId="0" borderId="0" xfId="1" applyAlignment="1">
      <alignment horizontal="left"/>
    </xf>
    <xf numFmtId="0" fontId="15" fillId="0" borderId="0" xfId="1" applyFont="1" applyAlignment="1">
      <alignment horizontal="left"/>
    </xf>
    <xf numFmtId="166" fontId="3" fillId="0" borderId="0" xfId="0" applyNumberFormat="1" applyFont="1" applyAlignment="1">
      <alignment horizontal="left"/>
    </xf>
    <xf numFmtId="6" fontId="9" fillId="6" borderId="0" xfId="0" applyNumberFormat="1" applyFont="1" applyFill="1" applyAlignment="1">
      <alignment horizontal="left"/>
    </xf>
    <xf numFmtId="6" fontId="9" fillId="7" borderId="0" xfId="0" applyNumberFormat="1" applyFont="1" applyFill="1" applyAlignment="1">
      <alignment horizontal="left"/>
    </xf>
    <xf numFmtId="164" fontId="9" fillId="2" borderId="0" xfId="0" applyNumberFormat="1" applyFont="1" applyFill="1" applyAlignment="1">
      <alignment horizontal="left"/>
    </xf>
    <xf numFmtId="164" fontId="9" fillId="5" borderId="0" xfId="0" applyNumberFormat="1" applyFont="1" applyFill="1" applyAlignment="1">
      <alignment horizontal="left"/>
    </xf>
    <xf numFmtId="0" fontId="12" fillId="0" borderId="0" xfId="0" applyFont="1" applyAlignment="1">
      <alignment horizontal="left"/>
    </xf>
    <xf numFmtId="5" fontId="3" fillId="0" borderId="0" xfId="0" applyNumberFormat="1" applyFont="1" applyAlignment="1">
      <alignment horizontal="left"/>
    </xf>
    <xf numFmtId="6" fontId="3" fillId="6" borderId="0" xfId="0" applyNumberFormat="1" applyFont="1" applyFill="1" applyAlignment="1">
      <alignment horizontal="left"/>
    </xf>
    <xf numFmtId="6" fontId="3" fillId="7" borderId="0" xfId="0" applyNumberFormat="1" applyFont="1" applyFill="1" applyAlignment="1">
      <alignment horizontal="left"/>
    </xf>
    <xf numFmtId="6" fontId="3" fillId="5" borderId="0" xfId="0" applyNumberFormat="1" applyFont="1" applyFill="1" applyAlignment="1">
      <alignment horizontal="left"/>
    </xf>
    <xf numFmtId="6" fontId="3" fillId="4" borderId="0" xfId="0" applyNumberFormat="1" applyFont="1" applyFill="1" applyAlignment="1">
      <alignment horizontal="left"/>
    </xf>
    <xf numFmtId="164" fontId="3" fillId="2" borderId="0" xfId="0" applyNumberFormat="1" applyFont="1" applyFill="1" applyAlignment="1">
      <alignment horizontal="left"/>
    </xf>
    <xf numFmtId="0" fontId="7" fillId="5" borderId="0" xfId="0" applyFont="1" applyFill="1" applyAlignment="1">
      <alignment horizontal="left"/>
    </xf>
    <xf numFmtId="0" fontId="7" fillId="0" borderId="0" xfId="0" applyFont="1" applyFill="1" applyAlignment="1">
      <alignment horizontal="left"/>
    </xf>
    <xf numFmtId="0" fontId="3" fillId="0" borderId="0" xfId="0" applyFont="1" applyFill="1" applyAlignment="1">
      <alignment horizontal="left"/>
    </xf>
    <xf numFmtId="164" fontId="3" fillId="6" borderId="0" xfId="0" applyNumberFormat="1" applyFont="1" applyFill="1" applyAlignment="1">
      <alignment horizontal="left"/>
    </xf>
    <xf numFmtId="164" fontId="3" fillId="3" borderId="0" xfId="0" applyNumberFormat="1" applyFont="1" applyFill="1" applyAlignment="1">
      <alignment horizontal="left"/>
    </xf>
    <xf numFmtId="164" fontId="3" fillId="0" borderId="0" xfId="0" applyNumberFormat="1" applyFont="1" applyFill="1" applyAlignment="1">
      <alignment horizontal="left"/>
    </xf>
    <xf numFmtId="164" fontId="3" fillId="7" borderId="0" xfId="0" applyNumberFormat="1" applyFont="1" applyFill="1" applyAlignment="1">
      <alignment horizontal="left"/>
    </xf>
    <xf numFmtId="0" fontId="0" fillId="0" borderId="0" xfId="0" applyAlignment="1">
      <alignment horizontal="left"/>
    </xf>
    <xf numFmtId="164" fontId="0" fillId="0" borderId="0" xfId="0" applyNumberFormat="1" applyAlignment="1">
      <alignment horizontal="left"/>
    </xf>
    <xf numFmtId="14" fontId="0" fillId="0" borderId="0" xfId="0" applyNumberFormat="1" applyAlignment="1">
      <alignment horizontal="left"/>
    </xf>
    <xf numFmtId="2" fontId="0" fillId="0" borderId="0" xfId="0" applyNumberFormat="1" applyAlignment="1">
      <alignment horizontal="left"/>
    </xf>
    <xf numFmtId="6" fontId="0" fillId="0" borderId="0" xfId="0" applyNumberFormat="1" applyAlignment="1">
      <alignment horizontal="left"/>
    </xf>
    <xf numFmtId="166" fontId="0" fillId="0" borderId="0" xfId="0" applyNumberFormat="1" applyAlignment="1">
      <alignment horizontal="left"/>
    </xf>
    <xf numFmtId="2" fontId="0" fillId="0" borderId="0" xfId="0" applyNumberFormat="1"/>
    <xf numFmtId="167" fontId="0" fillId="0" borderId="0" xfId="0" applyNumberFormat="1" applyAlignment="1">
      <alignment horizontal="left"/>
    </xf>
    <xf numFmtId="164" fontId="3" fillId="5" borderId="0" xfId="0" applyNumberFormat="1" applyFont="1" applyFill="1" applyAlignment="1">
      <alignment horizontal="left"/>
    </xf>
    <xf numFmtId="1" fontId="0" fillId="0" borderId="0" xfId="0" applyNumberFormat="1" applyAlignment="1">
      <alignment horizontal="left"/>
    </xf>
    <xf numFmtId="0" fontId="0" fillId="0" borderId="0" xfId="0" applyFont="1" applyAlignment="1">
      <alignment horizontal="left"/>
    </xf>
    <xf numFmtId="0" fontId="18" fillId="0" borderId="0" xfId="0" applyFont="1" applyAlignment="1">
      <alignment horizontal="left"/>
    </xf>
    <xf numFmtId="6" fontId="11" fillId="0" borderId="0" xfId="0" applyNumberFormat="1" applyFont="1" applyAlignment="1">
      <alignment horizontal="left"/>
    </xf>
    <xf numFmtId="165" fontId="0" fillId="0" borderId="0" xfId="0" applyNumberFormat="1"/>
    <xf numFmtId="168" fontId="3" fillId="0" borderId="0" xfId="0" applyNumberFormat="1" applyFont="1" applyAlignment="1">
      <alignment horizontal="left"/>
    </xf>
    <xf numFmtId="0" fontId="0" fillId="0" borderId="0" xfId="0" applyFill="1"/>
    <xf numFmtId="6" fontId="0" fillId="0" borderId="0" xfId="0" applyNumberFormat="1" applyFill="1"/>
    <xf numFmtId="16" fontId="0" fillId="0" borderId="0" xfId="0" applyNumberFormat="1" applyAlignment="1">
      <alignment horizontal="left"/>
    </xf>
    <xf numFmtId="0" fontId="0" fillId="0" borderId="0" xfId="0" applyFill="1" applyAlignment="1">
      <alignment horizontal="left"/>
    </xf>
    <xf numFmtId="5" fontId="0" fillId="0" borderId="0" xfId="0" applyNumberFormat="1" applyAlignment="1">
      <alignment horizontal="left"/>
    </xf>
    <xf numFmtId="6" fontId="7" fillId="0" borderId="0" xfId="0" applyNumberFormat="1" applyFont="1" applyAlignment="1">
      <alignment horizontal="left"/>
    </xf>
    <xf numFmtId="6" fontId="9" fillId="0" borderId="0" xfId="0" applyNumberFormat="1" applyFont="1" applyAlignment="1">
      <alignment horizontal="left"/>
    </xf>
    <xf numFmtId="0" fontId="19" fillId="0" borderId="0" xfId="0" applyFont="1" applyAlignment="1">
      <alignment horizontal="left"/>
    </xf>
    <xf numFmtId="169" fontId="19" fillId="0" borderId="0" xfId="0" applyNumberFormat="1" applyFont="1" applyAlignment="1">
      <alignment horizontal="left"/>
    </xf>
    <xf numFmtId="170" fontId="19" fillId="0" borderId="0" xfId="0" applyNumberFormat="1" applyFont="1" applyAlignment="1">
      <alignment horizontal="left"/>
    </xf>
    <xf numFmtId="14" fontId="19" fillId="0" borderId="0" xfId="0" applyNumberFormat="1" applyFont="1" applyAlignment="1">
      <alignment horizontal="left"/>
    </xf>
    <xf numFmtId="171" fontId="19" fillId="0" borderId="0" xfId="0" applyNumberFormat="1" applyFont="1" applyAlignment="1">
      <alignment horizontal="left"/>
    </xf>
    <xf numFmtId="6" fontId="19" fillId="0" borderId="0" xfId="0" applyNumberFormat="1" applyFont="1" applyAlignment="1">
      <alignment horizontal="left"/>
    </xf>
    <xf numFmtId="6" fontId="19" fillId="2" borderId="0" xfId="0" applyNumberFormat="1" applyFont="1" applyFill="1" applyAlignment="1">
      <alignment horizontal="left"/>
    </xf>
    <xf numFmtId="6" fontId="19" fillId="7" borderId="0" xfId="0" applyNumberFormat="1" applyFont="1" applyFill="1" applyAlignment="1">
      <alignment horizontal="left"/>
    </xf>
    <xf numFmtId="6" fontId="19" fillId="4" borderId="0" xfId="0" applyNumberFormat="1" applyFont="1" applyFill="1" applyAlignment="1">
      <alignment horizontal="left"/>
    </xf>
    <xf numFmtId="6" fontId="19" fillId="5" borderId="0" xfId="0" applyNumberFormat="1" applyFont="1" applyFill="1" applyAlignment="1">
      <alignment horizontal="left"/>
    </xf>
    <xf numFmtId="0" fontId="19" fillId="0" borderId="0" xfId="0" applyNumberFormat="1" applyFont="1" applyAlignment="1">
      <alignment horizontal="left"/>
    </xf>
    <xf numFmtId="164" fontId="21" fillId="0" borderId="0" xfId="0" applyNumberFormat="1" applyFont="1" applyAlignment="1">
      <alignment horizontal="left"/>
    </xf>
    <xf numFmtId="164" fontId="19" fillId="0" borderId="0" xfId="0" applyNumberFormat="1" applyFont="1" applyAlignment="1">
      <alignment horizontal="left"/>
    </xf>
    <xf numFmtId="2" fontId="19" fillId="0" borderId="0" xfId="0" applyNumberFormat="1" applyFont="1" applyAlignment="1">
      <alignment horizontal="left"/>
    </xf>
    <xf numFmtId="166" fontId="19" fillId="0" borderId="0" xfId="0" applyNumberFormat="1" applyFont="1" applyAlignment="1">
      <alignment horizontal="left"/>
    </xf>
    <xf numFmtId="1" fontId="19" fillId="0" borderId="0" xfId="0" applyNumberFormat="1" applyFont="1" applyAlignment="1">
      <alignment horizontal="left"/>
    </xf>
    <xf numFmtId="0" fontId="23" fillId="0" borderId="0" xfId="0" applyFont="1" applyAlignment="1">
      <alignment horizontal="left"/>
    </xf>
    <xf numFmtId="164" fontId="19" fillId="5" borderId="0" xfId="0" applyNumberFormat="1" applyFont="1" applyFill="1" applyAlignment="1">
      <alignment horizontal="left"/>
    </xf>
    <xf numFmtId="49" fontId="19" fillId="0" borderId="0" xfId="0" applyNumberFormat="1" applyFont="1" applyAlignment="1">
      <alignment horizontal="left"/>
    </xf>
    <xf numFmtId="49" fontId="19" fillId="0" borderId="0" xfId="0" applyNumberFormat="1" applyFont="1"/>
    <xf numFmtId="49" fontId="22" fillId="0" borderId="0" xfId="1" applyNumberFormat="1" applyFont="1" applyAlignment="1">
      <alignment horizontal="left"/>
    </xf>
    <xf numFmtId="49" fontId="23" fillId="0" borderId="0" xfId="0" applyNumberFormat="1" applyFont="1" applyAlignment="1">
      <alignment horizontal="left"/>
    </xf>
    <xf numFmtId="1" fontId="0" fillId="0" borderId="0" xfId="0" applyNumberFormat="1" applyFont="1" applyAlignment="1">
      <alignment horizontal="left"/>
    </xf>
    <xf numFmtId="5" fontId="3" fillId="0" borderId="0" xfId="0" applyNumberFormat="1" applyFont="1" applyFill="1" applyAlignment="1">
      <alignment horizontal="left"/>
    </xf>
    <xf numFmtId="6" fontId="5" fillId="0" borderId="0" xfId="0" applyNumberFormat="1" applyFont="1" applyFill="1" applyAlignment="1">
      <alignment horizontal="left"/>
    </xf>
    <xf numFmtId="0" fontId="4" fillId="0" borderId="0" xfId="0" applyFont="1" applyFill="1" applyAlignment="1">
      <alignment horizontal="left"/>
    </xf>
    <xf numFmtId="169" fontId="3" fillId="0" borderId="0" xfId="0" applyNumberFormat="1" applyFont="1" applyAlignment="1">
      <alignment horizontal="left"/>
    </xf>
    <xf numFmtId="170" fontId="3" fillId="0" borderId="0" xfId="0" applyNumberFormat="1" applyFont="1" applyAlignment="1">
      <alignment horizontal="left"/>
    </xf>
    <xf numFmtId="1" fontId="3" fillId="0" borderId="0" xfId="0" applyNumberFormat="1" applyFont="1" applyAlignment="1">
      <alignment horizontal="left"/>
    </xf>
    <xf numFmtId="1" fontId="9" fillId="0" borderId="0" xfId="0" applyNumberFormat="1" applyFont="1" applyFill="1" applyAlignment="1">
      <alignment horizontal="left"/>
    </xf>
    <xf numFmtId="1" fontId="3" fillId="0" borderId="0" xfId="0" applyNumberFormat="1" applyFont="1" applyFill="1" applyAlignment="1">
      <alignment horizontal="left"/>
    </xf>
    <xf numFmtId="171" fontId="3" fillId="0" borderId="0" xfId="0" applyNumberFormat="1" applyFont="1" applyAlignment="1">
      <alignment horizontal="left"/>
    </xf>
    <xf numFmtId="0" fontId="19" fillId="0" borderId="0" xfId="0" quotePrefix="1" applyFont="1" applyAlignment="1">
      <alignment horizontal="left"/>
    </xf>
    <xf numFmtId="165" fontId="3" fillId="0" borderId="0" xfId="0" applyNumberFormat="1" applyFont="1" applyFill="1" applyAlignment="1">
      <alignment horizontal="left"/>
    </xf>
    <xf numFmtId="6" fontId="13" fillId="0" borderId="0" xfId="0" applyNumberFormat="1" applyFont="1" applyFill="1"/>
    <xf numFmtId="164" fontId="16" fillId="0" borderId="0" xfId="0" applyNumberFormat="1" applyFont="1" applyFill="1"/>
    <xf numFmtId="1" fontId="7" fillId="0" borderId="0" xfId="0" applyNumberFormat="1" applyFont="1" applyFill="1" applyAlignment="1">
      <alignment horizontal="left"/>
    </xf>
    <xf numFmtId="0" fontId="25" fillId="0" borderId="0" xfId="0" applyFont="1"/>
    <xf numFmtId="164" fontId="0" fillId="0" borderId="0" xfId="0" applyNumberFormat="1" applyFill="1" applyAlignment="1">
      <alignment horizontal="left"/>
    </xf>
    <xf numFmtId="6" fontId="0" fillId="0" borderId="0" xfId="0" applyNumberFormat="1" applyFill="1" applyAlignment="1">
      <alignment horizontal="left"/>
    </xf>
    <xf numFmtId="171" fontId="0" fillId="0" borderId="0" xfId="0" applyNumberFormat="1" applyAlignment="1">
      <alignment horizontal="left"/>
    </xf>
    <xf numFmtId="164" fontId="1" fillId="0" borderId="0" xfId="0" applyNumberFormat="1" applyFont="1" applyAlignment="1">
      <alignment horizontal="left"/>
    </xf>
    <xf numFmtId="6" fontId="1" fillId="0" borderId="0" xfId="0" applyNumberFormat="1" applyFont="1" applyAlignment="1">
      <alignment horizontal="left"/>
    </xf>
    <xf numFmtId="49" fontId="0" fillId="0" borderId="0" xfId="0" applyNumberFormat="1" applyAlignment="1">
      <alignment horizontal="left"/>
    </xf>
    <xf numFmtId="171" fontId="0" fillId="0" borderId="0" xfId="0" applyNumberFormat="1"/>
    <xf numFmtId="166" fontId="0" fillId="0" borderId="0" xfId="0" applyNumberFormat="1"/>
    <xf numFmtId="6" fontId="13" fillId="0" borderId="0" xfId="0" applyNumberFormat="1" applyFont="1" applyAlignment="1">
      <alignment horizontal="left"/>
    </xf>
    <xf numFmtId="6" fontId="2" fillId="0" borderId="0" xfId="0" applyNumberFormat="1" applyFont="1" applyFill="1" applyAlignment="1">
      <alignment horizontal="left"/>
    </xf>
    <xf numFmtId="6" fontId="2" fillId="0" borderId="0" xfId="0" applyNumberFormat="1" applyFont="1" applyAlignment="1">
      <alignment horizontal="left"/>
    </xf>
    <xf numFmtId="4" fontId="19" fillId="0" borderId="0" xfId="0" applyNumberFormat="1" applyFont="1" applyAlignment="1">
      <alignment horizontal="left"/>
    </xf>
    <xf numFmtId="38" fontId="3" fillId="0" borderId="0" xfId="0" applyNumberFormat="1" applyFont="1" applyAlignment="1">
      <alignment horizontal="left"/>
    </xf>
    <xf numFmtId="40" fontId="3" fillId="0" borderId="0" xfId="0" applyNumberFormat="1" applyFont="1" applyAlignment="1">
      <alignment horizontal="left"/>
    </xf>
    <xf numFmtId="1" fontId="11" fillId="0" borderId="0" xfId="0" applyNumberFormat="1" applyFont="1" applyFill="1" applyAlignment="1">
      <alignment horizontal="left"/>
    </xf>
    <xf numFmtId="0" fontId="23" fillId="0" borderId="0" xfId="0" applyFont="1"/>
    <xf numFmtId="1" fontId="0" fillId="0" borderId="0" xfId="0" applyNumberFormat="1" applyFill="1"/>
    <xf numFmtId="1" fontId="0" fillId="0" borderId="0" xfId="0" applyNumberFormat="1"/>
    <xf numFmtId="49" fontId="0" fillId="0" borderId="0" xfId="0" applyNumberFormat="1"/>
    <xf numFmtId="49" fontId="23" fillId="0" borderId="0" xfId="0" applyNumberFormat="1" applyFont="1"/>
    <xf numFmtId="6" fontId="20" fillId="0" borderId="0" xfId="0" applyNumberFormat="1" applyFont="1" applyAlignment="1">
      <alignment horizontal="left"/>
    </xf>
    <xf numFmtId="1" fontId="3" fillId="0" borderId="0" xfId="0" applyNumberFormat="1" applyFont="1"/>
    <xf numFmtId="6" fontId="1" fillId="0" borderId="0" xfId="0" applyNumberFormat="1" applyFont="1"/>
    <xf numFmtId="8" fontId="0" fillId="0" borderId="0" xfId="0" applyNumberFormat="1"/>
    <xf numFmtId="0" fontId="0" fillId="0" borderId="0" xfId="0" quotePrefix="1"/>
    <xf numFmtId="169" fontId="0" fillId="0" borderId="0" xfId="0" applyNumberFormat="1" applyAlignment="1">
      <alignment horizontal="left"/>
    </xf>
    <xf numFmtId="170" fontId="0" fillId="0" borderId="0" xfId="0" applyNumberFormat="1" applyAlignment="1">
      <alignment horizontal="left"/>
    </xf>
    <xf numFmtId="165" fontId="7" fillId="0" borderId="0" xfId="0" applyNumberFormat="1" applyFont="1" applyAlignment="1">
      <alignment horizontal="left"/>
    </xf>
    <xf numFmtId="0" fontId="0" fillId="0" borderId="0" xfId="0" quotePrefix="1" applyAlignment="1">
      <alignment horizontal="left"/>
    </xf>
    <xf numFmtId="165" fontId="0" fillId="0" borderId="0" xfId="0" applyNumberFormat="1" applyAlignment="1">
      <alignment horizontal="left"/>
    </xf>
    <xf numFmtId="6" fontId="0" fillId="2" borderId="0" xfId="0" applyNumberFormat="1" applyFill="1" applyAlignment="1">
      <alignment horizontal="left"/>
    </xf>
    <xf numFmtId="6" fontId="0" fillId="5" borderId="0" xfId="0" applyNumberFormat="1" applyFill="1" applyAlignment="1">
      <alignment horizontal="left"/>
    </xf>
    <xf numFmtId="0" fontId="18" fillId="0" borderId="0" xfId="0" applyFont="1"/>
    <xf numFmtId="6" fontId="16" fillId="0" borderId="0" xfId="0" applyNumberFormat="1" applyFont="1" applyAlignment="1">
      <alignment horizontal="left"/>
    </xf>
    <xf numFmtId="8" fontId="0" fillId="0" borderId="0" xfId="0" applyNumberFormat="1" applyAlignment="1">
      <alignment horizontal="left"/>
    </xf>
    <xf numFmtId="49" fontId="3" fillId="0" borderId="0" xfId="0" applyNumberFormat="1" applyFont="1"/>
    <xf numFmtId="49" fontId="7" fillId="0" borderId="0" xfId="0" applyNumberFormat="1" applyFont="1"/>
    <xf numFmtId="8" fontId="7" fillId="0" borderId="0" xfId="0" applyNumberFormat="1" applyFont="1" applyAlignment="1">
      <alignment horizontal="left"/>
    </xf>
    <xf numFmtId="6" fontId="11" fillId="3" borderId="0" xfId="0" applyNumberFormat="1" applyFont="1" applyFill="1" applyAlignment="1">
      <alignment horizontal="left"/>
    </xf>
    <xf numFmtId="0" fontId="0" fillId="0" borderId="0" xfId="0" applyFont="1"/>
    <xf numFmtId="6" fontId="0" fillId="0" borderId="0" xfId="0" applyNumberFormat="1" applyFont="1" applyAlignment="1">
      <alignment horizontal="left"/>
    </xf>
    <xf numFmtId="0" fontId="15" fillId="0" borderId="0" xfId="1" applyFont="1"/>
    <xf numFmtId="0" fontId="11" fillId="0" borderId="0" xfId="0" applyFont="1"/>
    <xf numFmtId="0" fontId="26" fillId="0" borderId="0" xfId="0" applyFont="1" applyAlignment="1">
      <alignment horizontal="left"/>
    </xf>
    <xf numFmtId="6" fontId="19" fillId="6" borderId="0" xfId="0" applyNumberFormat="1" applyFont="1" applyFill="1" applyAlignment="1">
      <alignment horizontal="left"/>
    </xf>
    <xf numFmtId="164" fontId="19" fillId="2" borderId="0" xfId="0" applyNumberFormat="1" applyFont="1" applyFill="1" applyAlignment="1">
      <alignment horizontal="left"/>
    </xf>
    <xf numFmtId="6" fontId="19" fillId="3" borderId="0" xfId="0" applyNumberFormat="1" applyFont="1" applyFill="1" applyAlignment="1">
      <alignment horizontal="left"/>
    </xf>
    <xf numFmtId="165" fontId="19" fillId="0" borderId="0" xfId="0" applyNumberFormat="1" applyFont="1" applyAlignment="1">
      <alignment horizontal="left"/>
    </xf>
    <xf numFmtId="0" fontId="19" fillId="5" borderId="0" xfId="0" applyFont="1" applyFill="1" applyAlignment="1">
      <alignment horizontal="left"/>
    </xf>
    <xf numFmtId="6" fontId="27" fillId="4" borderId="0" xfId="0" applyNumberFormat="1" applyFont="1" applyFill="1" applyAlignment="1">
      <alignment horizontal="left"/>
    </xf>
    <xf numFmtId="6" fontId="27" fillId="5" borderId="0" xfId="0" applyNumberFormat="1" applyFont="1" applyFill="1" applyAlignment="1">
      <alignment horizontal="left"/>
    </xf>
    <xf numFmtId="0" fontId="22" fillId="0" borderId="0" xfId="1" applyFont="1" applyAlignment="1">
      <alignment horizontal="left"/>
    </xf>
    <xf numFmtId="171" fontId="0" fillId="0" borderId="0" xfId="0" applyNumberFormat="1" applyFont="1" applyAlignment="1">
      <alignment horizontal="left"/>
    </xf>
    <xf numFmtId="166" fontId="0" fillId="0" borderId="0" xfId="0" applyNumberFormat="1" applyFont="1" applyAlignment="1">
      <alignment horizontal="left"/>
    </xf>
    <xf numFmtId="6" fontId="3" fillId="8" borderId="0" xfId="0" applyNumberFormat="1" applyFont="1" applyFill="1" applyAlignment="1">
      <alignment horizontal="left"/>
    </xf>
    <xf numFmtId="17" fontId="0" fillId="0" borderId="0" xfId="0" applyNumberFormat="1"/>
    <xf numFmtId="0" fontId="17" fillId="0" borderId="0" xfId="0" applyFont="1" applyAlignment="1">
      <alignment horizontal="left"/>
    </xf>
    <xf numFmtId="164" fontId="17" fillId="0" borderId="0" xfId="0" applyNumberFormat="1" applyFont="1" applyAlignment="1">
      <alignment horizontal="left"/>
    </xf>
    <xf numFmtId="171" fontId="26" fillId="0" borderId="0" xfId="0" applyNumberFormat="1" applyFont="1" applyAlignment="1">
      <alignment horizontal="left"/>
    </xf>
    <xf numFmtId="6" fontId="26" fillId="0" borderId="0" xfId="0" applyNumberFormat="1" applyFont="1" applyAlignment="1">
      <alignment horizontal="left"/>
    </xf>
    <xf numFmtId="0" fontId="7" fillId="0" borderId="0" xfId="0" quotePrefix="1" applyFont="1" applyAlignment="1">
      <alignment horizontal="left"/>
    </xf>
    <xf numFmtId="164" fontId="0" fillId="0" borderId="0" xfId="0" applyNumberFormat="1" applyFont="1" applyFill="1" applyAlignment="1">
      <alignment horizontal="left"/>
    </xf>
    <xf numFmtId="164" fontId="1" fillId="0" borderId="0" xfId="0" applyNumberFormat="1" applyFont="1" applyFill="1" applyAlignment="1">
      <alignment horizontal="left"/>
    </xf>
    <xf numFmtId="6" fontId="26" fillId="0" borderId="0" xfId="0" applyNumberFormat="1" applyFont="1" applyFill="1" applyAlignment="1">
      <alignment horizontal="left"/>
    </xf>
    <xf numFmtId="164" fontId="0" fillId="0" borderId="0" xfId="0" applyNumberFormat="1" applyFont="1" applyAlignment="1">
      <alignment horizontal="left"/>
    </xf>
    <xf numFmtId="168" fontId="0" fillId="0" borderId="0" xfId="0" applyNumberFormat="1" applyAlignment="1">
      <alignment horizontal="left"/>
    </xf>
    <xf numFmtId="173" fontId="3" fillId="0" borderId="0" xfId="0" applyNumberFormat="1" applyFont="1" applyAlignment="1">
      <alignment horizontal="left"/>
    </xf>
    <xf numFmtId="8" fontId="3" fillId="0" borderId="0" xfId="0" applyNumberFormat="1" applyFont="1" applyFill="1" applyAlignment="1">
      <alignment horizontal="left"/>
    </xf>
    <xf numFmtId="164" fontId="26" fillId="0" borderId="0" xfId="0" applyNumberFormat="1" applyFont="1" applyAlignment="1">
      <alignment horizontal="left"/>
    </xf>
    <xf numFmtId="164" fontId="28" fillId="0" borderId="0" xfId="0" applyNumberFormat="1" applyFont="1" applyAlignment="1">
      <alignment horizontal="left"/>
    </xf>
    <xf numFmtId="3" fontId="0" fillId="0" borderId="0" xfId="0" applyNumberFormat="1" applyFill="1" applyAlignment="1">
      <alignment horizontal="left"/>
    </xf>
    <xf numFmtId="1" fontId="13" fillId="0" borderId="0" xfId="0" applyNumberFormat="1" applyFont="1" applyFill="1"/>
    <xf numFmtId="164" fontId="0" fillId="0" borderId="0" xfId="0" applyNumberFormat="1"/>
    <xf numFmtId="6" fontId="19" fillId="0" borderId="0" xfId="0" applyNumberFormat="1" applyFont="1" applyFill="1" applyAlignment="1">
      <alignment horizontal="left"/>
    </xf>
    <xf numFmtId="6" fontId="29" fillId="0" borderId="0" xfId="0" applyNumberFormat="1" applyFont="1" applyAlignment="1">
      <alignment horizontal="left"/>
    </xf>
    <xf numFmtId="165" fontId="0" fillId="0" borderId="0" xfId="0" applyNumberFormat="1" applyFill="1" applyAlignment="1">
      <alignment horizontal="left"/>
    </xf>
    <xf numFmtId="0" fontId="30" fillId="0" borderId="0" xfId="0" applyFont="1"/>
    <xf numFmtId="164" fontId="3" fillId="0" borderId="0" xfId="0" applyNumberFormat="1" applyFont="1"/>
    <xf numFmtId="8" fontId="2" fillId="0" borderId="0" xfId="0" applyNumberFormat="1" applyFont="1" applyAlignment="1">
      <alignment horizontal="left"/>
    </xf>
    <xf numFmtId="6" fontId="31" fillId="0" borderId="0" xfId="0" applyNumberFormat="1" applyFont="1" applyFill="1" applyAlignment="1">
      <alignment horizontal="left"/>
    </xf>
    <xf numFmtId="0" fontId="32" fillId="0" borderId="0" xfId="0" applyFont="1"/>
    <xf numFmtId="0" fontId="26" fillId="0" borderId="0" xfId="0" applyFont="1"/>
    <xf numFmtId="14" fontId="5" fillId="0" borderId="0" xfId="0" applyNumberFormat="1" applyFont="1" applyAlignment="1">
      <alignment horizontal="left"/>
    </xf>
    <xf numFmtId="164" fontId="9" fillId="0" borderId="0" xfId="0" applyNumberFormat="1" applyFont="1" applyFill="1" applyAlignment="1">
      <alignment horizontal="left"/>
    </xf>
    <xf numFmtId="0" fontId="29" fillId="0" borderId="0" xfId="0" applyFont="1" applyAlignment="1">
      <alignment horizontal="left"/>
    </xf>
    <xf numFmtId="0" fontId="4" fillId="0" borderId="0" xfId="0" applyFont="1"/>
    <xf numFmtId="8" fontId="19" fillId="0" borderId="0" xfId="0" applyNumberFormat="1" applyFont="1" applyAlignment="1">
      <alignment horizontal="left"/>
    </xf>
    <xf numFmtId="164" fontId="29" fillId="0" borderId="0" xfId="0" applyNumberFormat="1" applyFont="1" applyAlignment="1">
      <alignment horizontal="left"/>
    </xf>
    <xf numFmtId="49" fontId="18" fillId="0" borderId="0" xfId="0" applyNumberFormat="1" applyFont="1" applyAlignment="1">
      <alignment horizontal="left"/>
    </xf>
    <xf numFmtId="38" fontId="4" fillId="0" borderId="0" xfId="0" applyNumberFormat="1" applyFont="1" applyAlignment="1">
      <alignment horizontal="left"/>
    </xf>
    <xf numFmtId="9" fontId="0" fillId="0" borderId="0" xfId="0" applyNumberFormat="1" applyAlignment="1">
      <alignment horizontal="left"/>
    </xf>
    <xf numFmtId="6" fontId="13" fillId="0" borderId="0" xfId="0" applyNumberFormat="1" applyFont="1" applyFill="1" applyAlignment="1">
      <alignment horizontal="left"/>
    </xf>
    <xf numFmtId="3" fontId="3" fillId="0" borderId="0" xfId="0" applyNumberFormat="1" applyFont="1" applyFill="1" applyAlignment="1">
      <alignment horizontal="left"/>
    </xf>
    <xf numFmtId="49" fontId="0" fillId="0" borderId="0" xfId="0" applyNumberFormat="1" applyFont="1" applyAlignment="1">
      <alignment horizontal="left"/>
    </xf>
    <xf numFmtId="49" fontId="29" fillId="0" borderId="0" xfId="0" applyNumberFormat="1" applyFont="1" applyAlignment="1">
      <alignment horizontal="left"/>
    </xf>
    <xf numFmtId="0" fontId="28" fillId="0" borderId="0" xfId="0" applyFont="1" applyAlignment="1">
      <alignment horizontal="left"/>
    </xf>
    <xf numFmtId="6" fontId="33" fillId="0" borderId="0" xfId="0" applyNumberFormat="1" applyFont="1" applyAlignment="1">
      <alignment horizontal="left"/>
    </xf>
    <xf numFmtId="49" fontId="18" fillId="0" borderId="0" xfId="0" applyNumberFormat="1" applyFont="1"/>
    <xf numFmtId="3" fontId="3" fillId="0" borderId="0" xfId="0" applyNumberFormat="1" applyFont="1" applyAlignment="1">
      <alignment horizontal="left"/>
    </xf>
    <xf numFmtId="0" fontId="3" fillId="0" borderId="0" xfId="0" applyNumberFormat="1" applyFont="1" applyAlignment="1">
      <alignment horizontal="left"/>
    </xf>
    <xf numFmtId="0" fontId="0" fillId="0" borderId="0" xfId="0" applyNumberFormat="1" applyAlignment="1">
      <alignment horizontal="left"/>
    </xf>
    <xf numFmtId="6" fontId="10" fillId="0" borderId="0" xfId="0" applyNumberFormat="1" applyFont="1" applyFill="1" applyAlignment="1">
      <alignment horizontal="left"/>
    </xf>
    <xf numFmtId="6" fontId="34" fillId="0" borderId="0" xfId="0" applyNumberFormat="1" applyFont="1"/>
    <xf numFmtId="0" fontId="35" fillId="0" borderId="0" xfId="0" applyFont="1"/>
    <xf numFmtId="0" fontId="5" fillId="0" borderId="0" xfId="0" applyFont="1"/>
    <xf numFmtId="0" fontId="35" fillId="0" borderId="0" xfId="0" applyFont="1" applyAlignment="1">
      <alignment horizontal="left"/>
    </xf>
    <xf numFmtId="164" fontId="7" fillId="0" borderId="0" xfId="0" applyNumberFormat="1" applyFont="1" applyAlignment="1">
      <alignment horizontal="left"/>
    </xf>
    <xf numFmtId="164" fontId="7" fillId="0" borderId="0" xfId="0" applyNumberFormat="1" applyFont="1" applyFill="1" applyAlignment="1">
      <alignment horizontal="left"/>
    </xf>
    <xf numFmtId="164" fontId="3" fillId="4" borderId="0" xfId="0" applyNumberFormat="1" applyFont="1" applyFill="1" applyAlignment="1">
      <alignment horizontal="left"/>
    </xf>
    <xf numFmtId="164" fontId="7" fillId="5" borderId="0" xfId="0" applyNumberFormat="1" applyFont="1" applyFill="1" applyAlignment="1">
      <alignment horizontal="left"/>
    </xf>
    <xf numFmtId="164" fontId="13" fillId="0" borderId="0" xfId="0" applyNumberFormat="1" applyFont="1"/>
    <xf numFmtId="164" fontId="5" fillId="0" borderId="0" xfId="0" applyNumberFormat="1" applyFon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persons/person.xml><?xml version="1.0" encoding="utf-8"?>
<personList xmlns="http://schemas.microsoft.com/office/spreadsheetml/2018/threadedcomments" xmlns:x="http://schemas.openxmlformats.org/spreadsheetml/2006/main">
  <person displayName="Scott, Buddy" id="{E9AB3D0A-316B-AD4A-AF94-04839F2D6E82}" userId="S::jamesscott@college.harvard.edu::589d23c8-3ac8-407c-ad2d-c4ee5b2f2b0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0-06-20T19:55:49.92" personId="{E9AB3D0A-316B-AD4A-AF94-04839F2D6E82}" id="{41C101C4-C49E-7F49-A984-99DF847C3306}">
    <text>per Cleaning The Glass</text>
  </threadedComment>
  <threadedComment ref="W1" dT="2020-06-20T21:07:04.55" personId="{E9AB3D0A-316B-AD4A-AF94-04839F2D6E82}" id="{83AC30F7-A5CC-7645-BD18-E3842A4B3295}">
    <text>per Basketball Reference</text>
  </threadedComment>
  <threadedComment ref="S2" dT="2020-06-20T19:25:35.37" personId="{E9AB3D0A-316B-AD4A-AF94-04839F2D6E82}" id="{12D8C9AC-A47E-DB45-A2C9-AB8D9792EC58}">
    <text>Bird</text>
  </threadedComment>
  <threadedComment ref="Q3" dT="2020-06-20T19:25:00.88" personId="{E9AB3D0A-316B-AD4A-AF94-04839F2D6E82}" id="{6B5D7FA5-A94B-DA4A-A7C5-B5BDC6F3F4DD}">
    <text>$1,000,000 gt, fully gt on 7/1/21
Early Bird UFA if waived</text>
  </threadedComment>
  <threadedComment ref="R3" dT="2020-06-20T19:25:59.66" personId="{E9AB3D0A-316B-AD4A-AF94-04839F2D6E82}" id="{862C3EA2-12CD-A04E-8C9D-3F42834D4C17}">
    <text>Bird</text>
  </threadedComment>
  <threadedComment ref="S4" dT="2020-06-20T19:26:32.86" personId="{E9AB3D0A-316B-AD4A-AF94-04839F2D6E82}" id="{738FA7B7-9150-A343-BFA0-13FC10409101}">
    <text>$12,973,527 QO</text>
  </threadedComment>
  <threadedComment ref="R5" dT="2020-06-20T19:26:46.31" personId="{E9AB3D0A-316B-AD4A-AF94-04839F2D6E82}" id="{200521D7-4C6F-0340-86AB-13D9C0E515E4}">
    <text>$11,040,900 QO</text>
  </threadedComment>
  <threadedComment ref="S6" dT="2020-06-20T19:26:57.86" personId="{E9AB3D0A-316B-AD4A-AF94-04839F2D6E82}" id="{817184E2-6BA3-2B46-8E06-2A1E36D2F714}">
    <text>$8,109,966 QO</text>
  </threadedComment>
  <threadedComment ref="Q7" dT="2020-06-20T19:27:09.64" personId="{E9AB3D0A-316B-AD4A-AF94-04839F2D6E82}" id="{1027C725-BEF7-5840-AA81-42BC238CDE25}">
    <text>$5,899,793 QO</text>
  </threadedComment>
  <threadedComment ref="R8" dT="2020-06-20T19:27:20.65" personId="{E9AB3D0A-316B-AD4A-AF94-04839F2D6E82}" id="{1CBEB0BA-E1CC-5C46-A417-C6496AD6BBD6}">
    <text>$6,065,287 QO</text>
  </threadedComment>
  <threadedComment ref="P9" dT="2020-06-20T19:12:42.62" personId="{E9AB3D0A-316B-AD4A-AF94-04839F2D6E82}" id="{846931DA-7CCF-8845-B0F3-71F108297283}">
    <text>$100,000 gt, fully gt on 8/1/20 (revised date TBD)
Non Bird RFA if waived</text>
  </threadedComment>
  <threadedComment ref="Q9" dT="2020-06-20T19:27:45.26" personId="{E9AB3D0A-316B-AD4A-AF94-04839F2D6E82}" id="{D79694B4-3CD4-2542-83ED-BE020A162395}">
    <text>$2,126,991 QO
Early Bird</text>
  </threadedComment>
  <threadedComment ref="R10" dT="2020-06-20T19:27:33.87" personId="{E9AB3D0A-316B-AD4A-AF94-04839F2D6E82}" id="{C5DC5632-8AD8-0D42-BD62-97166F85848C}">
    <text>$2,228,276 QO
Bird</text>
  </threadedComment>
  <threadedComment ref="P15" dT="2020-06-20T19:11:17.06" personId="{E9AB3D0A-316B-AD4A-AF94-04839F2D6E82}" id="{73A361D0-9374-CC4E-A5E6-65ECAC33B07E}">
    <text>Bird</text>
  </threadedComment>
  <threadedComment ref="P16" dT="2020-06-20T19:10:23.67" personId="{E9AB3D0A-316B-AD4A-AF94-04839F2D6E82}" id="{C383B115-14DA-9745-A8D9-D527D79F8070}">
    <text>$3,752,338 QO
NEW: 10/17/20 deadline
Bird</text>
  </threadedComment>
  <threadedComment ref="P17" dT="2020-06-20T19:10:37.51" personId="{E9AB3D0A-316B-AD4A-AF94-04839F2D6E82}" id="{8B65A4FD-53FF-E140-85EA-C4B0E558D9FC}">
    <text>$3,484,882 QO
NEW: 10/17/20 deadline
Bird</text>
  </threadedComment>
  <threadedComment ref="P18" dT="2020-06-20T19:11:00.14" personId="{E9AB3D0A-316B-AD4A-AF94-04839F2D6E82}" id="{988E256F-8007-EE44-93C9-B248CF939BAA}">
    <text>$3,457,586 QO
NEW: 10/17/20 deadline
Bird</text>
  </threadedComment>
  <threadedComment ref="P19" dT="2020-06-20T19:12:07.60" personId="{E9AB3D0A-316B-AD4A-AF94-04839F2D6E82}" id="{51F43C3D-26BF-0C4C-8324-0A4C62D4E3A0}">
    <text>Early Bird</text>
  </threadedComment>
  <threadedComment ref="P20" dT="2020-06-20T19:13:42.66" personId="{E9AB3D0A-316B-AD4A-AF94-04839F2D6E82}" id="{47BEEBFA-D7CB-AF44-957F-AB43E2EA597E}">
    <text>2W QO
Non Bird</text>
  </threadedComment>
  <threadedComment ref="P24" dT="2020-06-20T19:15:52.34" personId="{E9AB3D0A-316B-AD4A-AF94-04839F2D6E82}" id="{685715F3-60B3-6946-A3E9-5D799C71286D}">
    <text>8 players: Clint Capela / Dewayne Dedmon / DeAndre Hunter / Trae Young / Cam Reddish / John Collins / Kevin Huerter / Bruno Fernando
2020 1st (#6)
2020 MIA 2nd (#50)
Jeff Teague (Bird UFA)
DeAndre Bembry (Bird RFA if QO)
Skal Labissiere (Bird RFA if QO)
Damian Jones (Bird RFA if QO)
Treveon Graham (Early Bird UFA)
Brandon Goodwin (NG, Non Bird RFA if QO)
Charlie Brown Jr. (2W RFA)</text>
  </threadedComment>
  <threadedComment ref="P25" dT="2020-08-21T16:24:53.77" personId="{E9AB3D0A-316B-AD4A-AF94-04839F2D6E82}" id="{B45B0A82-3C88-A04D-8626-3EC80CF3BA22}">
    <text>9 players: Clint Capela / Dewayne Dedmon / DeAndre Hunter / Trae Young / Cam Reddish / John Collins / Kevin Huerter / Brandon Goodwin (NG) / Bruno Fernando
2020 1st (#6)
2020 MIA 2nd (#50)
Jeff Teague (Bird UFA)
DeAndre Bembry (Bird RFA if QO)
Skal Labissiere (Bird RFA if QO)
Damian Jones (Bird RFA if QO)
Treveon Graham (Early Bird UFA)
Brandon Goodwin (NG, Non Bird RFA if QO)
Charlie Brown Jr. (2W RFA)</text>
  </threadedComment>
</ThreadedComments>
</file>

<file path=xl/threadedComments/threadedComment10.xml><?xml version="1.0" encoding="utf-8"?>
<ThreadedComments xmlns="http://schemas.microsoft.com/office/spreadsheetml/2018/threadedcomments" xmlns:x="http://schemas.openxmlformats.org/spreadsheetml/2006/main">
  <threadedComment ref="C1" dT="2020-06-20T19:55:49.92" personId="{E9AB3D0A-316B-AD4A-AF94-04839F2D6E82}" id="{8F56E6AE-5366-5C47-99F4-6D94708B18AC}">
    <text>per Cleaning The Glass</text>
  </threadedComment>
  <threadedComment ref="W1" dT="2020-06-20T21:07:04.55" personId="{E9AB3D0A-316B-AD4A-AF94-04839F2D6E82}" id="{E0DF4978-0953-064D-91C6-C05179C9EB33}">
    <text>per Basketball Reference</text>
  </threadedComment>
  <threadedComment ref="R2" dT="2020-08-07T19:11:41.32" personId="{E9AB3D0A-316B-AD4A-AF94-04839F2D6E82}" id="{E3B650DE-8361-BD48-896B-831D90D38498}">
    <text>Bird</text>
  </threadedComment>
  <threadedComment ref="T3" dT="2020-08-07T19:11:46.46" personId="{E9AB3D0A-316B-AD4A-AF94-04839F2D6E82}" id="{2F7721B0-8D2D-CE4B-84C0-6F0084DBB134}">
    <text>Bird</text>
  </threadedComment>
  <threadedComment ref="Y3" dT="2020-08-07T19:40:18.20" personId="{E9AB3D0A-316B-AD4A-AF94-04839F2D6E82}" id="{F8264E16-02B2-1C41-97AF-F9C8A28950CA}">
    <text>2018-2019 stats</text>
  </threadedComment>
  <threadedComment ref="S4" dT="2020-08-07T19:11:51.30" personId="{E9AB3D0A-316B-AD4A-AF94-04839F2D6E82}" id="{A51DAB1C-6DD0-C34A-BBE6-45F070A118B1}">
    <text>Bird</text>
  </threadedComment>
  <threadedComment ref="S5" dT="2020-08-07T19:13:03.89" personId="{E9AB3D0A-316B-AD4A-AF94-04839F2D6E82}" id="{7011E515-E8DB-0C43-B04D-9F4027EABF23}">
    <text>6/29/23 deadline
$38,709,702 cap hold
Bird</text>
  </threadedComment>
  <threadedComment ref="T5" dT="2020-08-07T19:13:12.74" personId="{E9AB3D0A-316B-AD4A-AF94-04839F2D6E82}" id="{43B862B0-F986-EE44-8C88-FAD006BAD262}">
    <text>Bird</text>
  </threadedComment>
  <threadedComment ref="Q6" dT="2020-08-07T19:13:48.52" personId="{E9AB3D0A-316B-AD4A-AF94-04839F2D6E82}" id="{2F4945D5-1096-594E-9C21-FADCDD0A9449}">
    <text>6/29/21 deadline
$9,160,715 cap hold
Bird</text>
  </threadedComment>
  <threadedComment ref="R6" dT="2020-08-07T19:13:56.58" personId="{E9AB3D0A-316B-AD4A-AF94-04839F2D6E82}" id="{8B8FE588-40A5-124E-8F17-2E1B8CC12ABC}">
    <text>Bird</text>
  </threadedComment>
  <threadedComment ref="Q7" dT="2020-08-07T19:14:03.75" personId="{E9AB3D0A-316B-AD4A-AF94-04839F2D6E82}" id="{E3B7F25E-0454-E348-89CD-6680B5F8A922}">
    <text>OLD: 10/31/20 deadline</text>
  </threadedComment>
  <threadedComment ref="R7" dT="2020-08-07T19:14:10.20" personId="{E9AB3D0A-316B-AD4A-AF94-04839F2D6E82}" id="{5C755212-9936-BF48-91FE-324AD201E145}">
    <text>10/31/21 deadline</text>
  </threadedComment>
  <threadedComment ref="S7" dT="2020-08-07T19:16:15.20" personId="{E9AB3D0A-316B-AD4A-AF94-04839F2D6E82}" id="{8D29C66E-D426-0A43-B4DA-14367D75B1F2}">
    <text>$5,813,085 QO
6/29/23 deadline
Bird</text>
  </threadedComment>
  <threadedComment ref="P8" dT="2020-08-07T19:23:10.07" personId="{E9AB3D0A-316B-AD4A-AF94-04839F2D6E82}" id="{4DE049A2-D371-A44D-9903-AF2FCEF3EF51}">
    <text>OLD: $800,000 gt, fully gt on 7/15/20
If waived, Non Bird UFA</text>
  </threadedComment>
  <threadedComment ref="Q8" dT="2020-08-07T19:23:16.23" personId="{E9AB3D0A-316B-AD4A-AF94-04839F2D6E82}" id="{AE06BE22-1A33-9F4D-A7D7-A1A4F004AA2E}">
    <text>Early Bird</text>
  </threadedComment>
  <threadedComment ref="P9" dT="2020-08-07T19:26:26.04" personId="{E9AB3D0A-316B-AD4A-AF94-04839F2D6E82}" id="{39E9C62F-CE43-B746-AD49-E4D2F7CB323A}">
    <text>OLD: $600,000 gt, fully gt on 1/10/21
If waived, Early Bird UFA</text>
  </threadedComment>
  <threadedComment ref="Q9" dT="2020-08-07T19:30:19.21" personId="{E9AB3D0A-316B-AD4A-AF94-04839F2D6E82}" id="{34A06F82-81E1-3F42-A123-0C3F6C49A7D7}">
    <text>fully NG, fully gt on 1/10/22
If waived, Bird UFA</text>
  </threadedComment>
  <threadedComment ref="R9" dT="2020-08-07T19:30:24.80" personId="{E9AB3D0A-316B-AD4A-AF94-04839F2D6E82}" id="{54BBD8F8-4039-BE4F-975A-D00F1C54ECE3}">
    <text>Bird</text>
  </threadedComment>
  <threadedComment ref="R10" dT="2020-08-07T19:30:44.61" personId="{E9AB3D0A-316B-AD4A-AF94-04839F2D6E82}" id="{440DF42E-6501-C74E-8636-7337C01D454D}">
    <text>$2,228,287 QO
6/29/22 deadline
Bird</text>
  </threadedComment>
  <threadedComment ref="Q11" dT="2020-08-07T19:31:17.82" personId="{E9AB3D0A-316B-AD4A-AF94-04839F2D6E82}" id="{A539006E-D2A5-0749-8F37-93C8EBC13685}">
    <text>fully NG, fully gt on 7/6/21
If waived, Early Bird RFA</text>
  </threadedComment>
  <threadedComment ref="R11" dT="2020-08-07T19:31:30.59" personId="{E9AB3D0A-316B-AD4A-AF94-04839F2D6E82}" id="{22B6A68C-4224-674D-8AEA-24B7EA337909}">
    <text>fully NG, fully gt on 7/6/22
If waived, Bird RFA</text>
  </threadedComment>
  <threadedComment ref="S11" dT="2020-08-07T19:31:50.57" personId="{E9AB3D0A-316B-AD4A-AF94-04839F2D6E82}" id="{F153CC65-FA2A-1648-ADB9-1817AA77E49C}">
    <text>Bird</text>
  </threadedComment>
  <threadedComment ref="P12" dT="2020-08-07T19:35:44.22" personId="{E9AB3D0A-316B-AD4A-AF94-04839F2D6E82}" id="{E464A61F-B820-A34B-9832-2D7BE9DE012E}">
    <text>OLD: fully NG, fully gt on 1/10/21</text>
  </threadedComment>
  <threadedComment ref="Q12" dT="2020-08-07T19:35:53.01" personId="{E9AB3D0A-316B-AD4A-AF94-04839F2D6E82}" id="{3BD6791D-D368-6944-B930-8EC859FE1CD8}">
    <text>fully NG, $200,000 gt on 7/15/21, fully gt on 1/10/22</text>
  </threadedComment>
  <threadedComment ref="R12" dT="2020-08-07T19:34:31.61" personId="{E9AB3D0A-316B-AD4A-AF94-04839F2D6E82}" id="{57061B89-77F2-2A41-8036-774539FE9922}">
    <text>$2,228,276 QO
6/29/22 deadline
Bird</text>
  </threadedComment>
  <threadedComment ref="P13" dT="2020-08-07T19:35:09.73" personId="{E9AB3D0A-316B-AD4A-AF94-04839F2D6E82}" id="{3746CE50-EC61-F64C-8936-330847F232A2}">
    <text>OLD: fully NG, fully gt on 1/10/21</text>
  </threadedComment>
  <threadedComment ref="Q13" dT="2020-08-07T19:35:23.57" personId="{E9AB3D0A-316B-AD4A-AF94-04839F2D6E82}" id="{1D5420E8-8E28-EF4C-AA82-ED5DA8B749B7}">
    <text>fully NG, $200,000 gt on 7/15/21, fully gt on 1/10/22</text>
  </threadedComment>
  <threadedComment ref="R13" dT="2020-08-07T19:34:26.79" personId="{E9AB3D0A-316B-AD4A-AF94-04839F2D6E82}" id="{50677B47-D3AC-DB4F-B1A5-04D16EC891D0}">
    <text>$2,228,276 QO
6/29/22 deadline
Bird</text>
  </threadedComment>
  <threadedComment ref="P14" dT="2020-08-07T19:32:56.95" personId="{E9AB3D0A-316B-AD4A-AF94-04839F2D6E82}" id="{048AA527-7C15-F84C-847C-FAFEE6AA2261}">
    <text>OLD: fully NG, $200,000 gt if on opening night roster, fully gt on 1/10/21</text>
  </threadedComment>
  <threadedComment ref="Q14" dT="2020-08-07T19:33:28.46" personId="{E9AB3D0A-316B-AD4A-AF94-04839F2D6E82}" id="{354D7D84-6729-4D47-8946-B623A2355EF3}">
    <text>fully NG, fully gt on 1/10/22</text>
  </threadedComment>
  <threadedComment ref="R14" dT="2020-08-07T19:33:54.98" personId="{E9AB3D0A-316B-AD4A-AF94-04839F2D6E82}" id="{F43A0F0C-583B-4147-BB94-5FD62CFDDAF8}">
    <text>$2,228,276 QO
6/29/22 deadline
Bird</text>
  </threadedComment>
  <threadedComment ref="P15" dT="2020-08-07T19:25:02.99" personId="{E9AB3D0A-316B-AD4A-AF94-04839F2D6E82}" id="{D41F7658-3828-BC43-97F6-BA5AA064C7BC}">
    <text>Shaun Livingston</text>
  </threadedComment>
  <threadedComment ref="Q15" dT="2020-08-07T19:25:09.63" personId="{E9AB3D0A-316B-AD4A-AF94-04839F2D6E82}" id="{BC803020-8B2B-9541-AA45-0D2566959EF5}">
    <text>Shaun Livingston</text>
  </threadedComment>
  <threadedComment ref="P21" dT="2020-08-22T03:23:12.31" personId="{E9AB3D0A-316B-AD4A-AF94-04839F2D6E82}" id="{7F73FF03-166B-0F4A-8B2E-CEF62ED3DC72}">
    <text>8 players: Stephen Curry / Klay Thompson / Andrew Wiggins / Draymond Green / Kevon Looney / Jordan Poole / Eric Paschall / Alen Smailagic
2020 1st (#2)
2020 DAL 2nd (#48)
2020 UTA 2nd (#51)
Marquese Chriss (PG)
Damion Lee (PG)
Ky Bowman (NG)
Juan Toscano-Anderson (NG)
Mychal Mulder (NG)</text>
  </threadedComment>
  <threadedComment ref="P22" dT="2020-08-22T03:24:23.32" personId="{E9AB3D0A-316B-AD4A-AF94-04839F2D6E82}" id="{75E41155-3640-6D48-B4D6-5B976ED795A3}">
    <text>13 players: Stephen Curry / Klay Thompson / Andrew Wiggins / Draymond Green / Kevon Looney / Jordan Poole / Marquese Chriss (PG) / Damion Lee (PG) / Eric Paschall / Alen Smailagic / Ky Bowman (NG) / Mychal Mulder (NG) / Juan Toscano-Anderson (NG)
2020 1st (#2)
2020 DAL 2nd (#48)
2020 UTA 2nd (#51)</text>
  </threadedComment>
</ThreadedComments>
</file>

<file path=xl/threadedComments/threadedComment11.xml><?xml version="1.0" encoding="utf-8"?>
<ThreadedComments xmlns="http://schemas.microsoft.com/office/spreadsheetml/2018/threadedcomments" xmlns:x="http://schemas.openxmlformats.org/spreadsheetml/2006/main">
  <threadedComment ref="C1" dT="2020-06-20T19:55:49.92" personId="{E9AB3D0A-316B-AD4A-AF94-04839F2D6E82}" id="{57C8C337-0528-9D42-B51F-97AFC7A31E11}">
    <text>per Cleaning The Glass</text>
  </threadedComment>
  <threadedComment ref="W1" dT="2020-06-20T21:07:04.55" personId="{E9AB3D0A-316B-AD4A-AF94-04839F2D6E82}" id="{95B7C973-360D-5D49-8084-A372E7CA10BD}">
    <text>per Basketball Reference</text>
  </threadedComment>
  <threadedComment ref="P9" dT="2020-08-22T15:14:29.81" personId="{E9AB3D0A-316B-AD4A-AF94-04839F2D6E82}" id="{C612CC73-3CF2-DA4D-89DA-C30FDF078455}">
    <text>NEW: fully NG, fully gt on 10/17/20</text>
  </threadedComment>
  <threadedComment ref="P10" dT="2020-06-23T23:29:06.81" personId="{E9AB3D0A-316B-AD4A-AF94-04839F2D6E82}" id="{0FADA3A2-5546-C94A-8E63-83A2CB244B52}">
    <text>NEW: 10/17/20 deadline
If declined, Non Bird</text>
  </threadedComment>
  <threadedComment ref="Q10" dT="2020-06-23T23:28:54.17" personId="{E9AB3D0A-316B-AD4A-AF94-04839F2D6E82}" id="{9B4324CB-E5E3-9E47-952B-A0AE988F14CF}">
    <text>Early Bird</text>
  </threadedComment>
  <threadedComment ref="P11" dT="2020-08-22T15:14:52.04" personId="{E9AB3D0A-316B-AD4A-AF94-04839F2D6E82}" id="{1A48D798-8F09-0245-8F5B-7A9864004FA9}">
    <text>fully NG, fully gt on 1/10/21</text>
  </threadedComment>
  <threadedComment ref="P12" dT="2020-08-22T15:15:44.06" personId="{E9AB3D0A-316B-AD4A-AF94-04839F2D6E82}" id="{7AB4CC19-F8BF-0641-9A7F-E4F497F74259}">
    <text>Troy Williams</text>
  </threadedComment>
  <threadedComment ref="Q12" dT="2020-08-22T15:15:48.31" personId="{E9AB3D0A-316B-AD4A-AF94-04839F2D6E82}" id="{040C9A67-7ECD-6B45-9446-4D7206FB987B}">
    <text>Troy Williams</text>
  </threadedComment>
  <threadedComment ref="R12" dT="2020-08-22T15:15:53.36" personId="{E9AB3D0A-316B-AD4A-AF94-04839F2D6E82}" id="{E6DCACD3-64A8-2642-A9F4-CD2FEA8C42AE}">
    <text>Troy Williams</text>
  </threadedComment>
  <threadedComment ref="P14" dT="2020-08-22T15:17:04.09" personId="{E9AB3D0A-316B-AD4A-AF94-04839F2D6E82}" id="{FE149828-F270-A14D-8955-DB6A02D00459}">
    <text>Early Bird</text>
  </threadedComment>
  <threadedComment ref="P15" dT="2020-08-22T15:16:57.58" personId="{E9AB3D0A-316B-AD4A-AF94-04839F2D6E82}" id="{42F9A341-EAB4-F548-B093-B90C3DCCE0F3}">
    <text>Non Bird</text>
  </threadedComment>
  <threadedComment ref="P16" dT="2020-08-22T15:16:53.65" personId="{E9AB3D0A-316B-AD4A-AF94-04839F2D6E82}" id="{B8811FBB-2359-E849-9D11-788DD9BCA4E6}">
    <text>Non Bird</text>
  </threadedComment>
  <threadedComment ref="P17" dT="2020-08-22T15:16:49.65" personId="{E9AB3D0A-316B-AD4A-AF94-04839F2D6E82}" id="{7D0F3433-42E4-2246-9E94-B4FDD2EF21F6}">
    <text>Non Bird</text>
  </threadedComment>
  <threadedComment ref="P18" dT="2020-08-22T15:16:45.93" personId="{E9AB3D0A-316B-AD4A-AF94-04839F2D6E82}" id="{484C76B8-4227-F241-B536-8698BDD2DA63}">
    <text>Non Bird</text>
  </threadedComment>
  <threadedComment ref="P19" dT="2020-08-22T15:16:40.42" personId="{E9AB3D0A-316B-AD4A-AF94-04839F2D6E82}" id="{E3953CD9-F8D0-5B48-8B06-49230FAA5296}">
    <text>No Rights</text>
  </threadedComment>
  <threadedComment ref="P25" dT="2020-08-22T15:21:35.66" personId="{E9AB3D0A-316B-AD4A-AF94-04839F2D6E82}" id="{DB8E3117-777A-F54A-A5DC-08AFE17B708B}">
    <text xml:space="preserve">6 players: Russell Westbrook / James Harden / Eric Gordon / Robert Covington / P.J. Tucker / Danuel House Jr
Austin Rivers (PO)
Ben McLemore (NG)
David Nwaba (TO)
Chris Clemons (NG)
Bruno Caboclo (Early Bird)
Tyson Chandler (Non Bird)
Thabo Sefolosha (Non Bird)
DeMarre Carroll (Non Bird)
Jeff Green (Non Bird)
Luc Mbah a Moute (No Rights)
William Howard (2W RFA)
Michael Frazier (2W RFA)
</text>
  </threadedComment>
  <threadedComment ref="P26" dT="2020-08-22T15:22:03.11" personId="{E9AB3D0A-316B-AD4A-AF94-04839F2D6E82}" id="{9AD9C97D-EEAF-7E40-9826-FD42AD0AC9DD}">
    <text xml:space="preserve">7 players: Russell Westbrook / James Harden / Eric Gordon / Robert Covington / P.J. Tucker / Danuel House Jr / Austin Rivers (PO)
Ben McLemore (NG)
David Nwaba (TO)
Chris Clemons (NG)
Bruno Caboclo (Early Bird)
Tyson Chandler (Non Bird)
Thabo Sefolosha (Non Bird)
DeMarre Carroll (Non Bird)
Jeff Green (Non Bird)
Luc Mbah a Moute (No Rights)
William Howard (2W RFA)
Michael Frazier (2W RFA)
</text>
  </threadedComment>
  <threadedComment ref="P27" dT="2020-08-22T15:22:38.66" personId="{E9AB3D0A-316B-AD4A-AF94-04839F2D6E82}" id="{2D1559B9-6D75-3E47-BE97-387F8F01792D}">
    <text>10 players: Russell Westbrook / James Harden / Eric Gordon / Robert Covington / P.J. Tucker / Danuel House Jr / Austin Rivers (PO) / Ben McLemore (NG) / David Nwaba (TO) / Chris Clemons (NG)
Bruno Caboclo (Early Bird)
Tyson Chandler (Non Bird)
Thabo Sefolosha (Non Bird)
DeMarre Carroll (Non Bird)
Jeff Green (Non Bird)
Luc Mbah a Moute (No Rights)
William Howard (2W RFA)
Michael Frazier (2W RFA)</text>
  </threadedComment>
</ThreadedComments>
</file>

<file path=xl/threadedComments/threadedComment12.xml><?xml version="1.0" encoding="utf-8"?>
<ThreadedComments xmlns="http://schemas.microsoft.com/office/spreadsheetml/2018/threadedcomments" xmlns:x="http://schemas.openxmlformats.org/spreadsheetml/2006/main">
  <threadedComment ref="C1" dT="2020-06-20T19:55:49.92" personId="{E9AB3D0A-316B-AD4A-AF94-04839F2D6E82}" id="{41E670C1-4102-A746-B4FB-FEE78E5E6D53}">
    <text>per Cleaning The Glass</text>
  </threadedComment>
  <threadedComment ref="W1" dT="2020-06-20T21:07:04.55" personId="{E9AB3D0A-316B-AD4A-AF94-04839F2D6E82}" id="{944D256E-27F2-3540-BA6F-1D1356A65A81}">
    <text>per Basketball Reference</text>
  </threadedComment>
  <threadedComment ref="Q2" dT="2020-08-22T15:47:53.26" personId="{E9AB3D0A-316B-AD4A-AF94-04839F2D6E82}" id="{8160C0C5-307F-4444-B335-B626A9FEF62F}">
    <text>Bird</text>
  </threadedComment>
  <threadedComment ref="S3" dT="2020-08-22T15:47:58.26" personId="{E9AB3D0A-316B-AD4A-AF94-04839F2D6E82}" id="{B50EC20D-4B44-8B40-89D8-9E81972D748A}">
    <text>Bird</text>
  </threadedComment>
  <threadedComment ref="T4" dT="2020-08-22T15:48:03.83" personId="{E9AB3D0A-316B-AD4A-AF94-04839F2D6E82}" id="{75C56C36-496A-9845-BDB5-E0959D803DAD}">
    <text>Bird</text>
  </threadedComment>
  <threadedComment ref="S5" dT="2020-08-22T15:48:08.58" personId="{E9AB3D0A-316B-AD4A-AF94-04839F2D6E82}" id="{2FBA8BD2-9B0C-EC43-B006-32DD2430AC25}">
    <text>Bird</text>
  </threadedComment>
  <threadedComment ref="R6" dT="2020-08-22T15:48:13.76" personId="{E9AB3D0A-316B-AD4A-AF94-04839F2D6E82}" id="{D0490095-E76A-7B49-BF66-8E8A2779DC18}">
    <text>Bird</text>
  </threadedComment>
  <threadedComment ref="R7" dT="2020-08-22T15:48:18.31" personId="{E9AB3D0A-316B-AD4A-AF94-04839F2D6E82}" id="{67F81795-7859-6346-BD02-813E0C47860E}">
    <text>Bird</text>
  </threadedComment>
  <threadedComment ref="Q8" dT="2020-08-22T15:48:23.64" personId="{E9AB3D0A-316B-AD4A-AF94-04839F2D6E82}" id="{B64E9DCE-1613-2D4B-9AAF-BACAE994C81E}">
    <text>Bird</text>
  </threadedComment>
  <threadedComment ref="Q9" dT="2020-08-22T15:48:45.32" personId="{E9AB3D0A-316B-AD4A-AF94-04839F2D6E82}" id="{6D838159-6824-6A4C-B1EF-189A2C6ECE53}">
    <text>$6,139,765 QO
6/29/21 deadline
Bird RFA</text>
  </threadedComment>
  <threadedComment ref="P10" dT="2020-08-22T15:39:46.78" personId="{E9AB3D0A-316B-AD4A-AF94-04839F2D6E82}" id="{A12A50D3-154A-0A46-B381-C64E586D7375}">
    <text>$1,000,000 gt, fully gt on 10/17/20
If waived, Non Bird
$4,200,000 cap hold (max amount)</text>
  </threadedComment>
  <threadedComment ref="Q10" dT="2020-08-22T15:48:51.38" personId="{E9AB3D0A-316B-AD4A-AF94-04839F2D6E82}" id="{A9ABF657-3C05-3443-89F2-7FDEDD05050F}">
    <text>Early Bird</text>
  </threadedComment>
  <threadedComment ref="Q11" dT="2020-08-22T15:49:28.20" personId="{E9AB3D0A-316B-AD4A-AF94-04839F2D6E82}" id="{553A6F9C-76D6-FC41-ADF7-5AE67AC466C5}">
    <text>10/31/20 deadline (revised date TBD)</text>
  </threadedComment>
  <threadedComment ref="R11" dT="2020-08-22T15:50:04.18" personId="{E9AB3D0A-316B-AD4A-AF94-04839F2D6E82}" id="{EB27DFB7-4405-394D-9C40-A7EBDDCE7538}">
    <text>10/31/21 deadline</text>
  </threadedComment>
  <threadedComment ref="S11" dT="2020-08-22T15:50:29.46" personId="{E9AB3D0A-316B-AD4A-AF94-04839F2D6E82}" id="{5F37FAC8-6947-744F-B004-FCECA6DE19DA}">
    <text>$6,762,016 QO
6/29/23 deadline
Bird RFA</text>
  </threadedComment>
  <threadedComment ref="Q12" dT="2020-08-22T15:49:32.57" personId="{E9AB3D0A-316B-AD4A-AF94-04839F2D6E82}" id="{B0ED55A1-D5CE-4E44-89D2-FF384AB88761}">
    <text>10/31/20 deadline (revised date TBD)</text>
  </threadedComment>
  <threadedComment ref="R12" dT="2020-08-22T15:50:43.68" personId="{E9AB3D0A-316B-AD4A-AF94-04839F2D6E82}" id="{345C4DDD-1296-4D41-AD08-FCA4D929165E}">
    <text>$5,791,702 QO
6/29/22 deadline
Bird RFA</text>
  </threadedComment>
  <threadedComment ref="Q13" dT="2020-08-22T15:49:46.60" personId="{E9AB3D0A-316B-AD4A-AF94-04839F2D6E82}" id="{D05588E5-04C1-694B-9F8D-DDAFA167445A}">
    <text>6/29/21 deadline
If declined, Bird RFA</text>
  </threadedComment>
  <threadedComment ref="R13" dT="2020-08-22T15:50:48.65" personId="{E9AB3D0A-316B-AD4A-AF94-04839F2D6E82}" id="{228C2EBE-979B-4440-B67B-598345BED5D0}">
    <text>Bird</text>
  </threadedComment>
  <threadedComment ref="P14" dT="2020-08-22T15:50:55.84" personId="{E9AB3D0A-316B-AD4A-AF94-04839F2D6E82}" id="{BCF6DAB2-39FF-C242-A20A-ED9FE8CB1F8F}">
    <text>Monta Ellis</text>
  </threadedComment>
  <threadedComment ref="Q14" dT="2020-08-22T15:51:08.65" personId="{E9AB3D0A-316B-AD4A-AF94-04839F2D6E82}" id="{C8785706-3291-3341-B0EB-711714DB639F}">
    <text>Monta Ellis</text>
  </threadedComment>
  <threadedComment ref="P17" dT="2020-08-22T15:40:22.61" personId="{E9AB3D0A-316B-AD4A-AF94-04839F2D6E82}" id="{3AB736E8-6A71-E641-B344-7C487CE13405}">
    <text>Non Bird</text>
  </threadedComment>
  <threadedComment ref="P18" dT="2020-08-22T15:41:14.40" personId="{E9AB3D0A-316B-AD4A-AF94-04839F2D6E82}" id="{D2ED40B3-91E6-054A-B793-0D671354984D}">
    <text>Non Bird</text>
  </threadedComment>
  <threadedComment ref="P19" dT="2020-08-22T15:40:55.92" personId="{E9AB3D0A-316B-AD4A-AF94-04839F2D6E82}" id="{ADC1E42A-C40A-594D-914A-E6EAB4E9EE67}">
    <text>Early Bird RFA</text>
  </threadedComment>
  <threadedComment ref="P20" dT="2020-08-22T15:40:41.08" personId="{E9AB3D0A-316B-AD4A-AF94-04839F2D6E82}" id="{804B2EA9-AA23-5D46-AE0A-30C15AE166F4}">
    <text>2W RFA</text>
  </threadedComment>
  <threadedComment ref="P21" dT="2020-08-22T15:40:46.08" personId="{E9AB3D0A-316B-AD4A-AF94-04839F2D6E82}" id="{295CD237-28D3-974F-B573-76B3734D5005}">
    <text>2W RFA</text>
  </threadedComment>
  <threadedComment ref="P25" dT="2020-08-22T15:43:46.55" personId="{E9AB3D0A-316B-AD4A-AF94-04839F2D6E82}" id="{83AFBE88-0D20-AB4D-9D22-50F0078C3C07}">
    <text>11 players: Victor Oladipo / Malcolm Brogdon / Domantas Sabonis / Myles Turner / T.J. Warren / Jeremy Lamb / Doug McDermott / T.J. Leaf / Goga Bitadze / Aaron Holiday / Edmond Sumner
2020 2nd (#54)
Justin Holiday (Non Bird)
T.J. McConnell (PG)
JaKarr Sampson (Non Bird)
Alize Johnson (Early Bird RFA)
Naz Mitrou Long (2W RFA)
Brian Bowen II (2W RFA)</text>
  </threadedComment>
  <threadedComment ref="P26" dT="2020-08-22T15:44:06.93" personId="{E9AB3D0A-316B-AD4A-AF94-04839F2D6E82}" id="{3CF744FE-5353-B143-9E75-BD8300CAA251}">
    <text>12 players: Victor Oladipo / Malcolm Brogdon / Domantas Sabonis / Myles Turner / T.J. Warren / Jeremy Lamb / Doug McDermott / T.J. Leaf / T.J. McConnell (PG) / Goga Bitadze / Aaron Holiday / Edmond Sumner
2020 2nd (#54)
Justin Holiday (Non Bird)
JaKarr Sampson (Non Bird)
Alize Johnson (Early Bird RFA)
Naz Mitrou Long (2W RFA)
Brian Bowen II (2W RFA)</text>
  </threadedComment>
</ThreadedComments>
</file>

<file path=xl/threadedComments/threadedComment13.xml><?xml version="1.0" encoding="utf-8"?>
<ThreadedComments xmlns="http://schemas.microsoft.com/office/spreadsheetml/2018/threadedcomments" xmlns:x="http://schemas.openxmlformats.org/spreadsheetml/2006/main">
  <threadedComment ref="C1" dT="2020-06-20T19:55:49.92" personId="{E9AB3D0A-316B-AD4A-AF94-04839F2D6E82}" id="{4E56E26F-E92E-DD41-A171-9BFB2037AC55}">
    <text>per Cleaning The Glass</text>
  </threadedComment>
  <threadedComment ref="W1" dT="2020-06-20T21:07:04.55" personId="{E9AB3D0A-316B-AD4A-AF94-04839F2D6E82}" id="{EF0BB603-07BF-7246-B703-D443B5F12C8E}">
    <text>per Basketball Reference</text>
  </threadedComment>
  <threadedComment ref="P25" dT="2020-08-22T18:00:16.07" personId="{E9AB3D0A-316B-AD4A-AF94-04839F2D6E82}" id="{3E8F7E2F-C830-E047-8B8B-ECC62DCA76F3}">
    <text>10 players: Paul George / Kawhi Leonard / Patrick Beverley / Lou Williams / Ivica Zubac / Rodney McGruder / Landry Shamet / Mfiondu Kabengele / Terance Mann / Amir Coffey (2W)
2020 2nd (#57)
Marcus Morris (Non Bird)
Montrezl Harrell (Bird)
JaMychal Green (PO)
Joakim Noah (NG)
Patrick Patterson (Non Bird)
Reggie Jackson (Non Bird)
Jonathan Motley (2W RFA)</text>
  </threadedComment>
  <threadedComment ref="P26" dT="2020-08-22T18:01:13.07" personId="{E9AB3D0A-316B-AD4A-AF94-04839F2D6E82}" id="{C8A9337E-B0B6-DE49-9212-D437AD507C9A}">
    <text>11 players: Paul George / Kawhi Leonard / Patrick Beverley / Lou Williams / Ivica Zubac / Rodney McGruder / JaMychal Green (PO) / Landry Shamet / Mfiondu Kabengele / Terance Mann / Amir Coffey (2W)
2020 2nd (#57)
Marcus Morris (Non Bird)
Montrezl Harrell (Bird)
Joakim Noah (NG)
Patrick Patterson (Non Bird)
Reggie Jackson (Non Bird)
Jonathan Motley (2W RFA)</text>
  </threadedComment>
  <threadedComment ref="P27" dT="2020-08-22T18:01:56.33" personId="{E9AB3D0A-316B-AD4A-AF94-04839F2D6E82}" id="{8AE07063-3B77-0B4B-ABE6-BBAAD7DB8A15}">
    <text>12 players: Paul George / Kawhi Leonard / Patrick Beverley / Lou Williams / Ivica Zubac / Rodney McGruder / JaMychal Green (PO) / Joakim Noah (NG) / Landry Shamet / Mfiondu Kabengele / Terance Mann / Amir Coffey (2W)
2020 2nd (#57)
Marcus Morris (Non Bird)
Montrezl Harrell (Bird)
Patrick Patterson (Non Bird)
Reggie Jackson (Non Bird)
Jonathan Motley (2W RFA)</text>
  </threadedComment>
</ThreadedComments>
</file>

<file path=xl/threadedComments/threadedComment14.xml><?xml version="1.0" encoding="utf-8"?>
<ThreadedComments xmlns="http://schemas.microsoft.com/office/spreadsheetml/2018/threadedcomments" xmlns:x="http://schemas.openxmlformats.org/spreadsheetml/2006/main">
  <threadedComment ref="C1" dT="2020-06-20T19:55:49.92" personId="{E9AB3D0A-316B-AD4A-AF94-04839F2D6E82}" id="{5347D57B-BE88-904A-9B5C-D0DE8CA7BCCE}">
    <text>per Cleaning The Glass</text>
  </threadedComment>
  <threadedComment ref="W1" dT="2020-06-20T21:07:04.55" personId="{E9AB3D0A-316B-AD4A-AF94-04839F2D6E82}" id="{39710D51-1C6B-564E-97D6-9EA74F65D803}">
    <text>per Basketball Reference</text>
  </threadedComment>
  <threadedComment ref="P14" dT="2020-08-24T01:10:34.08" personId="{E9AB3D0A-316B-AD4A-AF94-04839F2D6E82}" id="{E2DD5A98-D57D-A54E-917D-E7BC56174032}">
    <text>Luol Deng</text>
  </threadedComment>
  <threadedComment ref="Q14" dT="2020-08-24T01:10:39.44" personId="{E9AB3D0A-316B-AD4A-AF94-04839F2D6E82}" id="{C6F30F26-2787-0D4D-8F37-77613790CD10}">
    <text>Luol Deng</text>
  </threadedComment>
  <threadedComment ref="P26" dT="2020-08-24T03:18:19.84" personId="{E9AB3D0A-316B-AD4A-AF94-04839F2D6E82}" id="{53EA6F4A-738C-1A4E-8B99-FB50FDEB960C}">
    <text>6 players: LeBron James / Danny Green / Kyle Kuzma / Alex Caruso / Talen Horton-Tucker / Devontae Cacok (2W)
2020 1st (#28)
Anthony Davis (PO)
Kentavious Caldwell-Pope (PO)
Avery Bradley (PO)
JaVale McGee (PO)
Quinn Cook (PG)
Rajon Rondo (PO)
Markieff Morris (Non Bird)
Jared Dudley (Non Bird)
Dwight Howard (Non Bird)
Dion Waiters (Non Bird)
J.R. Smith (No Rights)
Kostas Antetokounmpo (2W RFA)</text>
  </threadedComment>
  <threadedComment ref="P27" dT="2020-08-24T03:19:49.33" personId="{E9AB3D0A-316B-AD4A-AF94-04839F2D6E82}" id="{24325485-7BE7-B144-9605-DC3BCCAA5B3B}">
    <text>11 players: LeBron James / Anthony Davis (PO) / Danny Green / Kentavious Caldwell-Pope (PO) / Avery Bradley (PO) / JaVale McGee (PO) / Kyle Kuzma / Alex Caruso / Rajon Rondo (PO) / Talen Horton-Tucker / Devonte Cacok (2W)
2020 1st (#28)
Quinn Cook (PG)
Markieff Morris (Non Bird)
Jared Dudley (Non Bird)
Dwight Howard (Non Bird)
Dion Waiters (Non Bird)
J.R. Smith (No Rights)
Kostas Antetokounmpo (2W RFA)</text>
  </threadedComment>
  <threadedComment ref="P28" dT="2020-08-24T03:20:15.45" personId="{E9AB3D0A-316B-AD4A-AF94-04839F2D6E82}" id="{0090D79C-3DFC-2548-8C8D-C11D9DD851B6}">
    <text>12 players: LeBron James / Anthony Davis (PO) / Danny Green / Kentavious Caldwell-Pope (PO) / Avery Bradley (PO) / JaVale McGee (PO) / Kyle Kuzma / Quinn Cook (PG) / Alex Caruso / Rajon Rondo (PO) / Talen Horton-Tucker / Devontae Cacok (2W)
2020 1st (#28)
Markieff Morris (Non Bird)
Jared Dudley (Non Bird)
Dwight Howard (Non Bird)
Dion Waiters (Non Bird)
J.R. Smith (No Rights)
Kostas Antetokounmpo (2W RFA)</text>
  </threadedComment>
  <threadedComment ref="P29" dT="2020-08-24T03:21:40.28" personId="{E9AB3D0A-316B-AD4A-AF94-04839F2D6E82}" id="{A21B09E4-128B-1B46-8630-1AFFE9BE31C7}">
    <text>11 players: LeBron James / Danny Green / Kentavious Caldwell-Pope (PO) / Avery Bradley (PO) / JaVale McGee (PO) / Kyle Kuzma / Quinn Cook (PG) / Alex Caruso / Rajon Rondo (PO) / Talen Horton-Tucker / Devonte Cacok (2W)
2020 1st (#28)
Anthony Davis (declining PO)
Markieff Morris (Non Bird)
Jared Dudley (Non Bird)
Dwight Howard (Non Bird)
Dion Waiters (Non Bird)
J.R. Smith (No Rights)
Kostas Antetokounmpo (2W RFA)</text>
  </threadedComment>
</ThreadedComments>
</file>

<file path=xl/threadedComments/threadedComment15.xml><?xml version="1.0" encoding="utf-8"?>
<ThreadedComments xmlns="http://schemas.microsoft.com/office/spreadsheetml/2018/threadedcomments" xmlns:x="http://schemas.openxmlformats.org/spreadsheetml/2006/main">
  <threadedComment ref="C1" dT="2020-06-20T19:55:49.92" personId="{E9AB3D0A-316B-AD4A-AF94-04839F2D6E82}" id="{7AE7EAEE-C8A7-0847-A70C-062DBC651235}">
    <text>per Cleaning The Glass</text>
  </threadedComment>
  <threadedComment ref="W1" dT="2020-06-20T21:07:04.55" personId="{E9AB3D0A-316B-AD4A-AF94-04839F2D6E82}" id="{1079FF1A-BE4F-BE4C-87D8-4DF4F64A90AF}">
    <text>per Basketball Reference</text>
  </threadedComment>
  <threadedComment ref="Y19" dT="2020-06-23T17:32:40.58" personId="{E9AB3D0A-316B-AD4A-AF94-04839F2D6E82}" id="{8914C5E0-E7C6-6C41-A94D-B34D2F955D73}">
    <text>only w/ MEM (also 33 games w/ POR, 9 games w/ SAC)</text>
  </threadedComment>
  <threadedComment ref="P25" dT="2020-08-24T18:43:56.18" personId="{E9AB3D0A-316B-AD4A-AF94-04839F2D6E82}" id="{B2CE14E1-4345-DE4F-82C6-8C1D610BA6C0}">
    <text>11 players: Gorgui Dieng / Jonas Valanciunas / Justise Winslow / Dillon Brooks / Kyle Anderson / Ja Morant / Tyus Jones / Jaren Jackson Jr / Marco Guduric / Brandon Clarke / Grayson Allen
2020 PHX 2nd (#40)
Josh Jackson
DeAnthony Melton (EB RFA)
Jontay Porter (TO)
Anthony Tolliver (Non Bird)
Yuta Watanabe (2W RFA)
John Konchar (2W RFA)</text>
  </threadedComment>
  <threadedComment ref="P26" dT="2020-08-24T18:44:14.47" personId="{E9AB3D0A-316B-AD4A-AF94-04839F2D6E82}" id="{A7CD8877-EE97-3B43-995E-8DC689341DFE}">
    <text>12 players: Gorgui Dieng / Jonas Valanciunas / Justise Winslow / Dillon Brooks / Kyle Anderson / Ja Morant / Tyus Jones / Jaren Jackson Jr / Marco Guduric / Brandon Clarke / Grayson Allen / Jontay Porter (TO)
2020 PHX 2nd (#40)
Josh Jackson
DeAnthony Melton (EB RFA)
Anthony Tolliver (Non Bird)
Yuta Watanabe (2W RFA)
John Konchar (2W RFA)</text>
  </threadedComment>
</ThreadedComments>
</file>

<file path=xl/threadedComments/threadedComment16.xml><?xml version="1.0" encoding="utf-8"?>
<ThreadedComments xmlns="http://schemas.microsoft.com/office/spreadsheetml/2018/threadedcomments" xmlns:x="http://schemas.openxmlformats.org/spreadsheetml/2006/main">
  <threadedComment ref="C1" dT="2020-06-20T19:55:49.92" personId="{E9AB3D0A-316B-AD4A-AF94-04839F2D6E82}" id="{BAAE4130-6C71-654C-9026-0A171156CCBE}">
    <text>per Cleaning The Glass</text>
  </threadedComment>
  <threadedComment ref="W1" dT="2020-06-20T21:07:04.55" personId="{E9AB3D0A-316B-AD4A-AF94-04839F2D6E82}" id="{E1202C58-C91E-CC4E-8541-9724ED855C88}">
    <text>per Basketball Reference</text>
  </threadedComment>
  <threadedComment ref="P11" dT="2020-08-24T19:53:11.32" personId="{E9AB3D0A-316B-AD4A-AF94-04839F2D6E82}" id="{778B2608-EDBE-EF41-8659-8068FE90BD99}">
    <text>Ryan Anderson / A.J. Hammons</text>
  </threadedComment>
  <threadedComment ref="Q11" dT="2020-08-24T19:53:17.61" personId="{E9AB3D0A-316B-AD4A-AF94-04839F2D6E82}" id="{42CFF441-88E1-E34C-8C7B-18E002A85204}">
    <text>Ryan Anderson</text>
  </threadedComment>
  <threadedComment ref="P25" dT="2020-08-24T19:57:07.47" personId="{E9AB3D0A-316B-AD4A-AF94-04839F2D6E82}" id="{F46EF84E-D6A3-654A-8C21-DE4F5BFB0036}">
    <text>6 players: Jimmy Butler / Andre Iguodala / Bam Adebayo / Tyler Herro / KZ Okpala / Chris Silva
2020 1st (#20)
Goran Dragic (Bird)
Kelly Olynyk (PO)
Solomon Hill (Bird)
Meyers Leonard (Bird)
Jae Crowder (Bird)
Derrick Jones Jr (Bird)
Udonis Haslem (Bird)
Duncan Robinson (NG)
Kendrick Nunn (NG)
Kyle Alexander (2W RFA)
Gabe Vincent (2W RFA)</text>
  </threadedComment>
  <threadedComment ref="Q25" dT="2020-08-31T23:34:23.89" personId="{E9AB3D0A-316B-AD4A-AF94-04839F2D6E82}" id="{86D40DFA-F764-CD46-B08A-D81E69C9B3DE}">
    <text>Jimmy Butler / Bam Adebayo (hold) / Tyler Herro (rookie option) / Duncan Robinson (hold) / Kendrick Nunn (hold) / KZ Okpala / 2020 1st (#20)</text>
  </threadedComment>
  <threadedComment ref="P26" dT="2020-08-24T20:02:44.44" personId="{E9AB3D0A-316B-AD4A-AF94-04839F2D6E82}" id="{2666537A-246D-1945-A362-9F4F959C3836}">
    <text>7 players: Jimmy Butler / Andre Iguodala / Kelly Olynyk (PO) / Bam Adebayo / Tyler Herro / KZ Okpala / Chris Silva
2020 1st (#20)
Goran Dragic (Bird)
Solomon Hill (Bird)
Meyers Leonard (Bird)
Jae Crowder (Bird)
Derrick Jones Jr (Bird)
Udonis Haslem (Bird)
Duncan Robinson (NG)
Kendrick Nunn (NG)
Kyle Alexander (2W RFA)
Gabe Vincent (2W RFA)</text>
  </threadedComment>
  <threadedComment ref="P27" dT="2020-08-24T20:08:53.21" personId="{E9AB3D0A-316B-AD4A-AF94-04839F2D6E82}" id="{B63260CC-A71B-CC4B-AEA8-D4E664B78E49}">
    <text>9 players: Jimmy Butler / Andre Iguodala / Kelly Olynyk (PO) / Bam Adebayo / Tyler Herro / Duncan Robinson (NG) / Kendrick Nunn (NG) / KZ Okpala / Chris Silva
2020 1st (#20)
Goran Dragic (Bird)
Solomon Hill (Bird)
Meyers Leonard (Bird)
Jae Crowder (Bird)
Derrick Jones Jr (Bird)
Udonis Haslem (Bird)
Kyle Alexander (2W RFA)
Gabe Vincent (2W RFA)</text>
  </threadedComment>
  <threadedComment ref="P28" dT="2020-08-24T20:10:22.11" personId="{E9AB3D0A-316B-AD4A-AF94-04839F2D6E82}" id="{CBDE129F-AE98-C44B-84FF-9BBBF7B2DEF2}">
    <text>8 players: Jimmy Butler / Andre Iguodala / Bam Adebayo / Tyler Herro / Duncan Robinson (NG) / Kendrick Nunn (NG) / KZ Okpala / Chris Silva
2020 1st (#20)
Goran Dragic (Bird)
Kelly Olynyk (PO)
Solomon Hill (Bird)
Meyers Leonard (Bird)
Jae Crowder (Bird)
Derrick Jones Jr (Bird)
Udonis Haslem (Bird)
Kyle Alexander (2W RFA)
Gabe Vincent (2W RFA)</text>
  </threadedComment>
</ThreadedComments>
</file>

<file path=xl/threadedComments/threadedComment17.xml><?xml version="1.0" encoding="utf-8"?>
<ThreadedComments xmlns="http://schemas.microsoft.com/office/spreadsheetml/2018/threadedcomments" xmlns:x="http://schemas.openxmlformats.org/spreadsheetml/2006/main">
  <threadedComment ref="C1" dT="2020-06-20T19:55:49.92" personId="{E9AB3D0A-316B-AD4A-AF94-04839F2D6E82}" id="{9178FE07-8A74-EA4A-AC46-BE7BC184EC18}">
    <text>per Cleaning The Glass</text>
  </threadedComment>
  <threadedComment ref="W1" dT="2020-06-20T21:07:04.55" personId="{E9AB3D0A-316B-AD4A-AF94-04839F2D6E82}" id="{12EA62CD-022D-7646-92E6-10270C130C04}">
    <text>per Basketball Reference</text>
  </threadedComment>
  <threadedComment ref="T2" dT="2020-08-27T18:31:30.11" personId="{E9AB3D0A-316B-AD4A-AF94-04839F2D6E82}" id="{75F99D64-7824-244D-86DA-52E2B047D3C0}">
    <text>Bird</text>
  </threadedComment>
  <threadedComment ref="Q3" dT="2020-08-27T18:31:24.63" personId="{E9AB3D0A-316B-AD4A-AF94-04839F2D6E82}" id="{D23B683F-2C60-D042-AF97-86B8FCBAA409}">
    <text>Bird</text>
  </threadedComment>
  <threadedComment ref="R4" dT="2020-08-27T18:31:18.17" personId="{E9AB3D0A-316B-AD4A-AF94-04839F2D6E82}" id="{51C363B0-2AE2-4A42-BD27-6171994380BC}">
    <text>$3,900,000 gt
6/29/22 gt date</text>
  </threadedComment>
  <threadedComment ref="S4" dT="2020-08-27T18:31:35.78" personId="{E9AB3D0A-316B-AD4A-AF94-04839F2D6E82}" id="{2A3245C9-E7E0-2541-9FE3-5BFD9FE1FBB7}">
    <text>Bird</text>
  </threadedComment>
  <threadedComment ref="S5" dT="2020-08-27T18:31:41.74" personId="{E9AB3D0A-316B-AD4A-AF94-04839F2D6E82}" id="{8580BBD1-97A8-044F-8222-1B906BD42C74}">
    <text>Bird</text>
  </threadedComment>
  <threadedComment ref="Q6" dT="2020-08-27T18:32:26.62" personId="{E9AB3D0A-316B-AD4A-AF94-04839F2D6E82}" id="{A0FFD74E-DDE6-FB47-8201-66B4C016FFC9}">
    <text>$1,275,491 gt
7/1/21 gt date</text>
  </threadedComment>
  <threadedComment ref="P7" dT="2020-08-27T18:33:27.80" personId="{E9AB3D0A-316B-AD4A-AF94-04839F2D6E82}" id="{8FC0A713-495C-584F-9C65-6F51CD7B8AEA}">
    <text>fully NG
gt date “two days after NBA draft” (10/18/20)
If waived, Early Bird</text>
  </threadedComment>
  <threadedComment ref="Q7" dT="2020-08-27T18:33:49.54" personId="{E9AB3D0A-316B-AD4A-AF94-04839F2D6E82}" id="{F9206F4B-C3D9-FD4D-849F-5E5FC0DBE0B6}">
    <text>Bird</text>
  </threadedComment>
  <threadedComment ref="P8" dT="2020-08-27T18:34:07.05" personId="{E9AB3D0A-316B-AD4A-AF94-04839F2D6E82}" id="{66446EF8-88C4-4347-BC11-F97FD9173C4E}">
    <text>$5,720,400 cap hold
Non Bird</text>
  </threadedComment>
  <threadedComment ref="Q8" dT="2020-08-27T18:34:12.82" personId="{E9AB3D0A-316B-AD4A-AF94-04839F2D6E82}" id="{2A7E08CA-D454-1A4B-949E-00AB4C1B8712}">
    <text>Early Bird</text>
  </threadedComment>
  <threadedComment ref="Q9" dT="2020-08-27T18:34:45.14" personId="{E9AB3D0A-316B-AD4A-AF94-04839F2D6E82}" id="{AE36CCEA-8A7F-794B-B47F-4AD2B5075C11}">
    <text>$6,422,171 QO</text>
  </threadedComment>
  <threadedComment ref="Q10" dT="2020-08-27T18:34:56.85" personId="{E9AB3D0A-316B-AD4A-AF94-04839F2D6E82}" id="{F0D5B544-670B-E744-8CCC-6FA1FD244C66}">
    <text>10/31/20 deadline (revised date TBD)</text>
  </threadedComment>
  <threadedComment ref="R10" dT="2020-08-27T18:35:08.71" personId="{E9AB3D0A-316B-AD4A-AF94-04839F2D6E82}" id="{ED708D0D-5CAE-754E-802D-6AB47CBFE40A}">
    <text>$6,602,272 QO</text>
  </threadedComment>
  <threadedComment ref="P11" dT="2020-08-27T18:35:25.81" personId="{E9AB3D0A-316B-AD4A-AF94-04839F2D6E82}" id="{C75BA0E4-96CB-BB48-B882-9327B1FC41BF}">
    <text>Min cap hold
Non Bird</text>
  </threadedComment>
  <threadedComment ref="Q11" dT="2020-08-27T18:35:18.29" personId="{E9AB3D0A-316B-AD4A-AF94-04839F2D6E82}" id="{B16644D7-6CB1-684F-ADA6-491DC0F0F116}">
    <text xml:space="preserve">Early Bird </text>
  </threadedComment>
  <threadedComment ref="Q12" dT="2020-08-27T18:35:43.93" personId="{E9AB3D0A-316B-AD4A-AF94-04839F2D6E82}" id="{DFC0BABB-B6FC-1448-A48C-65110BA89D7D}">
    <text>Early Bird (RFA)</text>
  </threadedComment>
  <threadedComment ref="P13" dT="2020-08-27T18:27:38.03" personId="{E9AB3D0A-316B-AD4A-AF94-04839F2D6E82}" id="{B6A402C0-79CF-9148-8EF9-00297934F7E1}">
    <text>Jon Leuer / Larry Sanders</text>
  </threadedComment>
  <threadedComment ref="Q13" dT="2020-08-27T18:27:38.03" personId="{E9AB3D0A-316B-AD4A-AF94-04839F2D6E82}" id="{83B12865-B773-6A45-927A-CBF2AB8B314C}">
    <text>Jon Leuer / Larry Sanders</text>
  </threadedComment>
  <threadedComment ref="P16" dT="2020-08-27T18:35:50.90" personId="{E9AB3D0A-316B-AD4A-AF94-04839F2D6E82}" id="{0B1E5631-73F6-6547-A511-889173E86E03}">
    <text>Early Bird</text>
  </threadedComment>
  <threadedComment ref="P17" dT="2020-08-27T18:35:57.50" personId="{E9AB3D0A-316B-AD4A-AF94-04839F2D6E82}" id="{763A3F49-BA50-7049-8307-92108C342A46}">
    <text>Bird RFA if QO</text>
  </threadedComment>
  <threadedComment ref="P18" dT="2020-08-27T18:36:02.38" personId="{E9AB3D0A-316B-AD4A-AF94-04839F2D6E82}" id="{6BB844AE-7F6F-0A41-981A-A29B47792C93}">
    <text>Non Bird</text>
  </threadedComment>
  <threadedComment ref="P19" dT="2020-08-27T18:36:02.38" personId="{E9AB3D0A-316B-AD4A-AF94-04839F2D6E82}" id="{59F873F7-4402-3F4D-9FF9-3F269F169709}">
    <text>Non Bird</text>
  </threadedComment>
  <threadedComment ref="P20" dT="2020-08-27T18:36:13.03" personId="{E9AB3D0A-316B-AD4A-AF94-04839F2D6E82}" id="{9E7DCC5F-3AC0-1947-96B3-6208C48008D8}">
    <text>2W RFA</text>
  </threadedComment>
  <threadedComment ref="P21" dT="2020-08-27T18:36:19.39" personId="{E9AB3D0A-316B-AD4A-AF94-04839F2D6E82}" id="{167B312B-1CB9-0A42-9F18-05173547305A}">
    <text>2W RFA</text>
  </threadedComment>
  <threadedComment ref="P25" dT="2020-08-27T18:25:51.47" personId="{E9AB3D0A-316B-AD4A-AF94-04839F2D6E82}" id="{A5853328-8700-4340-A11D-562BB99109F4}">
    <text>8 players: Khris Middleton / Giannis Antetokounmpo / Eric Bledsoe / Brook Lopez / George Hill / D.J. Wilson / Donte Divincenzo / Thanasis Antetokounmpo
2020 IND 1st (#24)
Ersan Ilyasova (NG)
Robin Lopez (PO)
Wesley Matthews (PO)
Pat Connaughton (EB)
Sterling Bird (Bird RFA)
Kyle Korver (NB)
Marvin Williams (NB)
Cam Reynolds (2W RFA)
Frank Mason (2W RFA)</text>
  </threadedComment>
  <threadedComment ref="P26" dT="2020-08-27T18:26:21.27" personId="{E9AB3D0A-316B-AD4A-AF94-04839F2D6E82}" id="{A90F79BB-EFB6-2A48-B4DF-C3238BFC0AA4}">
    <text>10 players: Khris Middleton / Giannis Antetokounmpo / Eric Bledsoe / Brook Lopez / George Hill / Robin Lopez (PO) / D.J. Wilson / Donte Divincenzo / Wesley Matthews (PO) / Thanasis Antetokounmpo
2020 IND 1st (#24)
Ersan Ilyasova (NG)
Pat Connaughton (EB)
Sterling Bird (Bird RFA)
Kyle Korver (NB)
Marvin Williams (NB)
Cam Reynolds (2W RFA)
Frank Mason (2W RFA)</text>
  </threadedComment>
  <threadedComment ref="P27" dT="2020-08-27T18:26:52.23" personId="{E9AB3D0A-316B-AD4A-AF94-04839F2D6E82}" id="{808F9468-4152-DB49-9177-8DA030769210}">
    <text>11 players: Khris Middleton / Giannis Antetokounmpo / Eric Bledsoe / Brook Lopez / George Hill / Ersan Ilyasova (NG) / Robin Lopez (PO) / D.J. Wilson / Donte Divincenzo / Wesley Matthews (PO) / Thanasis Antetokounmpo
2020 IND 1st (#24)
Pat Connaughton (EB)
Sterling Bird (Bird RFA)
Kyle Korver (NB)
Marvin Williams (NB)
Cam Reynolds (2W RFA)
Frank Mason (2W RFA)</text>
  </threadedComment>
</ThreadedComments>
</file>

<file path=xl/threadedComments/threadedComment18.xml><?xml version="1.0" encoding="utf-8"?>
<ThreadedComments xmlns="http://schemas.microsoft.com/office/spreadsheetml/2018/threadedcomments" xmlns:x="http://schemas.openxmlformats.org/spreadsheetml/2006/main">
  <threadedComment ref="C1" dT="2020-06-20T19:55:49.92" personId="{E9AB3D0A-316B-AD4A-AF94-04839F2D6E82}" id="{99DCA0B6-9F28-9540-BA45-487E6F662387}">
    <text>per Cleaning The Glass</text>
  </threadedComment>
  <threadedComment ref="W1" dT="2020-06-20T21:07:04.55" personId="{E9AB3D0A-316B-AD4A-AF94-04839F2D6E82}" id="{3B8067F0-E637-7A4B-AB7B-6F2583F0D14D}">
    <text>per Basketball Reference</text>
  </threadedComment>
  <threadedComment ref="P10" dT="2020-08-28T15:21:59.72" personId="{E9AB3D0A-316B-AD4A-AF94-04839F2D6E82}" id="{9394A6EF-BB98-5F4C-BBF5-DE247C1D12BE}">
    <text>7/15/20 gt date (revised date TBD)</text>
  </threadedComment>
  <threadedComment ref="P11" dT="2020-08-28T15:22:08.19" personId="{E9AB3D0A-316B-AD4A-AF94-04839F2D6E82}" id="{6719A550-978D-8B46-9D1B-5AA4049AF982}">
    <text>1/10/21 gt date (revised date TBD)</text>
  </threadedComment>
  <threadedComment ref="P12" dT="2020-08-28T15:22:08.19" personId="{E9AB3D0A-316B-AD4A-AF94-04839F2D6E82}" id="{C38E58E2-8A19-E644-9925-CBC984E45232}">
    <text>1/10/21 gt date (revised date TBD)</text>
  </threadedComment>
  <threadedComment ref="P13" dT="2020-08-24T23:03:13.55" personId="{E9AB3D0A-316B-AD4A-AF94-04839F2D6E82}" id="{0F23E8FD-A3D2-BC46-BBE5-F1586C550EB7}">
    <text>Cole Aldrich</text>
  </threadedComment>
  <threadedComment ref="P19" dT="2020-08-28T15:20:17.53" personId="{E9AB3D0A-316B-AD4A-AF94-04839F2D6E82}" id="{64271E2E-9F39-E24D-ADEE-63A8AD069B9A}">
    <text>$4,642,00 QO</text>
  </threadedComment>
  <threadedComment ref="P20" dT="2020-08-28T15:20:28.71" personId="{E9AB3D0A-316B-AD4A-AF94-04839F2D6E82}" id="{457DB618-115E-604A-9F72-A8839B153E5A}">
    <text>$3,895,424 QO</text>
  </threadedComment>
  <threadedComment ref="P26" dT="2020-08-28T15:18:58.61" personId="{E9AB3D0A-316B-AD4A-AF94-04839F2D6E82}" id="{0D0592AE-5044-294D-8A7C-C36DAC6ABB95}">
    <text>7 players: Karl-Anthony Towns / D’Angelo Russell / Jarrett Culver / Jake Layman / Josh Okogie / Jacob Evans / Omari Spellman
2020 1st (#1)
2020 BKN 1st (#17)
2020 2nd (#33)
Evan Turner (Bird)
James Johnson (PO)
Juan Hernangomez (Bird RFA)
Malik Beasley (Bird RFA)
Jarred Vanderbilt (NG)
Jalen Nowell (NG)
Naz Reid (NG)
Kelan Martin (2W RFA)
Jordan McLaughlin (2W RFA)</text>
  </threadedComment>
  <threadedComment ref="P27" dT="2020-08-28T15:18:35.31" personId="{E9AB3D0A-316B-AD4A-AF94-04839F2D6E82}" id="{3CCD59C1-16A8-1748-BE8B-EA6D10C75D58}">
    <text>8 players: Karl-Anthony Towns / D’Angelo Russell / James Johnson (PO) / Jarrett Culver / Jake Layman / Josh Okogie / Jacob Evans / Omari Spellman
2020 1st (#1)
2020 BKN 1st (#17)
2020 2nd (#33)
Evan Turner (Bird)
Juan Hernangomez (Bird RFA)
Malik Beasley (Bird RFA)
Jarred Vanderbilt (NG)
Jalen Nowell (NG)
Naz Reid (NG)
Kelan Martin (2W RFA)
Jordan McLaughlin (2W RFA)</text>
  </threadedComment>
  <threadedComment ref="P28" dT="2020-08-28T15:18:10.69" personId="{E9AB3D0A-316B-AD4A-AF94-04839F2D6E82}" id="{A4CB0428-B225-0D46-A61B-6360E7BAB67E}">
    <text>11 players: Karl-Anthony Towns / D’Angelo Russell / James Johnson (PO) / Jarrett Culver / Jake Layman / Josh Okogie / Jacob Evans / Omari Spellman / Jarred Vanderbilt (NG) / Jalen Nowell (NG) / Naz Reid (NG)
2020 1st (#1)
2020 BKN 1st (#17)
2020 2nd (#33)
Evan Turner (Bird)
Juan Hernangomez (Bird RFA)
Malik Beasley (Bird RFA)
Kelan Martin (2W RFA)
Jordan McLaughlin (2W RFA)</text>
  </threadedComment>
</ThreadedComments>
</file>

<file path=xl/threadedComments/threadedComment19.xml><?xml version="1.0" encoding="utf-8"?>
<ThreadedComments xmlns="http://schemas.microsoft.com/office/spreadsheetml/2018/threadedcomments" xmlns:x="http://schemas.openxmlformats.org/spreadsheetml/2006/main">
  <threadedComment ref="C1" dT="2020-06-20T19:55:49.92" personId="{E9AB3D0A-316B-AD4A-AF94-04839F2D6E82}" id="{A1CD1314-07ED-AB4D-B1C6-F99FE26C087E}">
    <text>per Cleaning The Glass</text>
  </threadedComment>
  <threadedComment ref="W1" dT="2020-06-20T21:07:04.55" personId="{E9AB3D0A-316B-AD4A-AF94-04839F2D6E82}" id="{F417C6D9-E6D4-E142-8A16-50F4D57C7B3F}">
    <text>per Basketball Reference</text>
  </threadedComment>
  <threadedComment ref="R2" dT="2020-08-28T15:43:48.47" personId="{E9AB3D0A-316B-AD4A-AF94-04839F2D6E82}" id="{D32A2C03-621B-9545-BF42-A39B2A9DA065}">
    <text>Bird</text>
  </threadedComment>
  <threadedComment ref="Q3" dT="2020-08-28T15:43:54.00" personId="{E9AB3D0A-316B-AD4A-AF94-04839F2D6E82}" id="{5F717BAC-452F-064A-B05C-15F73F466ACF}">
    <text>Bird</text>
  </threadedComment>
  <threadedComment ref="Q4" dT="2020-08-28T15:44:08.69" personId="{E9AB3D0A-316B-AD4A-AF94-04839F2D6E82}" id="{BDD714F3-CD63-9C4A-88C8-752B03F7CFEA}">
    <text>$14,359,936 QO</text>
  </threadedComment>
  <threadedComment ref="S5" dT="2020-08-28T15:44:25.40" personId="{E9AB3D0A-316B-AD4A-AF94-04839F2D6E82}" id="{DB557544-803C-994F-9996-7287CB41DAED}">
    <text>$17,595,262 QO</text>
  </threadedComment>
  <threadedComment ref="P6" dT="2020-08-28T15:43:06.99" personId="{E9AB3D0A-316B-AD4A-AF94-04839F2D6E82}" id="{9F0C5A7F-819C-DE46-8B77-65AEE085D1F9}">
    <text>7/8/20 gt date (revised date TBD)
If waived, Bird</text>
  </threadedComment>
  <threadedComment ref="Q6" dT="2020-08-28T15:44:31.96" personId="{E9AB3D0A-316B-AD4A-AF94-04839F2D6E82}" id="{23DF2A61-2EA1-8546-8890-19601E51B2C5}">
    <text>Bird</text>
  </threadedComment>
  <threadedComment ref="S7" dT="2020-08-28T15:45:07.55" personId="{E9AB3D0A-316B-AD4A-AF94-04839F2D6E82}" id="{CD4C776B-4BE7-3C49-8C48-B685F53540F2}">
    <text>$9,170,460 QO</text>
  </threadedComment>
  <threadedComment ref="Q8" dT="2020-08-28T15:45:59.68" personId="{E9AB3D0A-316B-AD4A-AF94-04839F2D6E82}" id="{BBA02FED-0F1C-264E-95C9-85CBB47E1F92}">
    <text>Early Bird</text>
  </threadedComment>
  <threadedComment ref="Q9" dT="2020-08-28T15:46:24.40" personId="{E9AB3D0A-316B-AD4A-AF94-04839F2D6E82}" id="{F09032CF-87D5-6548-B97A-432D26743863}">
    <text>$5,236,739 QO</text>
  </threadedComment>
  <threadedComment ref="S10" dT="2020-08-28T15:46:38.28" personId="{E9AB3D0A-316B-AD4A-AF94-04839F2D6E82}" id="{B0DB536A-4B0D-C046-A662-4C2DC4AB3DC6}">
    <text>$7,073,602 QO</text>
  </threadedComment>
  <threadedComment ref="P17" dT="2020-08-28T15:47:09.85" personId="{E9AB3D0A-316B-AD4A-AF94-04839F2D6E82}" id="{2F08B18A-9A3F-EE45-8C9D-7DEE0644D9BA}">
    <text>Bird</text>
  </threadedComment>
  <threadedComment ref="P18" dT="2020-08-28T15:47:04.74" personId="{E9AB3D0A-316B-AD4A-AF94-04839F2D6E82}" id="{6C95609F-FD63-8641-9A8F-8BB3C8F9E32E}">
    <text>$9,481,458 QO</text>
  </threadedComment>
  <threadedComment ref="P19" dT="2020-08-28T15:47:15.85" personId="{E9AB3D0A-316B-AD4A-AF94-04839F2D6E82}" id="{CD60DED4-9A57-7C42-891E-6154426D7F7B}">
    <text>Bird</text>
  </threadedComment>
  <threadedComment ref="P20" dT="2020-08-28T15:47:44.15" personId="{E9AB3D0A-316B-AD4A-AF94-04839F2D6E82}" id="{7528DBDF-EED3-C843-BA7D-E1C5EBF76EC4}">
    <text>Bird</text>
  </threadedComment>
  <threadedComment ref="P21" dT="2020-08-28T15:47:39.61" personId="{E9AB3D0A-316B-AD4A-AF94-04839F2D6E82}" id="{5877CFC4-6148-EB49-8D1A-A73D03FDF093}">
    <text>Early Bird</text>
  </threadedComment>
  <threadedComment ref="P22" dT="2020-08-28T15:47:25.68" personId="{E9AB3D0A-316B-AD4A-AF94-04839F2D6E82}" id="{72E5FDF5-BF5F-AE4F-9EB8-B0F2029C21EF}">
    <text>Early Bird</text>
  </threadedComment>
  <threadedComment ref="P23" dT="2020-08-28T15:47:34.55" personId="{E9AB3D0A-316B-AD4A-AF94-04839F2D6E82}" id="{05C55E3B-625A-E645-B3EE-CE1F75889B76}">
    <text>No Rights</text>
  </threadedComment>
  <threadedComment ref="P29" dT="2020-08-28T15:38:21.88" personId="{E9AB3D0A-316B-AD4A-AF94-04839F2D6E82}" id="{BED8222E-3F8D-CC4B-9F87-D90747BE6190}">
    <text>8 players: Jrue Holiday / J.J. Redick / Lonzo Ball / Zion Williamson / Jaxson Hayes / Nicolo Melli / Josh Hart / Nickeil Alexander-Walker
2020 1st (#13)
2020 WSH 2nd (#39)
2020 2nd (#42)
2020 MIL 2nd (#60)
Derrick Favors (Bird)
Brandon Ingram (Bird RFA)
E’Twaun Moore (Bird)
Darius Miller (NG)
Frank Jackson (Bird RFA)
Kenrich Williams (EB RFA)
Jahlil Okafor (Early Bird)
Sindarius Thornwell (No rights)
Zylan Cheatham (2W RFA)
Josh Gray (2W RFA)</text>
  </threadedComment>
  <threadedComment ref="P30" dT="2020-08-28T15:38:40.39" personId="{E9AB3D0A-316B-AD4A-AF94-04839F2D6E82}" id="{D9F1C72E-FC44-3045-A07D-8D040B56F1EA}">
    <text>9 players: Jrue Holiday / J.J. Redick / Lonzo Ball / Zion Williamson / Darius Miller (NG) / Jaxson Hayes / Nicolo Melli / Josh Hart / Nickeil Alexander-Walker
2020 1st (#13)
2020 WSH 2nd (#39)
2020 2nd (#42)
2020 MIL 2nd (#60)
Derrick Favors (Bird)
Brandon Ingram (Bird RFA)
E’Twaun Moore (Bird)
Frank Jackson (Bird RFA)
Kenrich Williams (EB RFA)
Jahlil Okafor (Early Bird)
Sindarius Thornwell (No rights)
Zylan Cheatham (2W RFA)
Josh Gray (2W RFA)</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0-06-20T19:55:49.92" personId="{E9AB3D0A-316B-AD4A-AF94-04839F2D6E82}" id="{3FE5D2AF-93AB-9245-9632-BF9143ACC869}">
    <text>per Cleaning The Glass</text>
  </threadedComment>
  <threadedComment ref="W1" dT="2020-06-20T21:07:04.55" personId="{E9AB3D0A-316B-AD4A-AF94-04839F2D6E82}" id="{C6924651-E2BA-AC40-AF17-309EE9FC5E0D}">
    <text>per Basketball Reference</text>
  </threadedComment>
  <threadedComment ref="R2" dT="2020-06-20T20:28:08.37" personId="{E9AB3D0A-316B-AD4A-AF94-04839F2D6E82}" id="{ED43EE05-0290-3D4F-A809-63ACB6A0BAE4}">
    <text>$48,234,375 cap hold
Bird</text>
  </threadedComment>
  <threadedComment ref="S2" dT="2020-06-20T20:28:14.03" personId="{E9AB3D0A-316B-AD4A-AF94-04839F2D6E82}" id="{F93E4740-D8E0-2C4E-AC47-05BAB848FA0D}">
    <text>Bird</text>
  </threadedComment>
  <threadedComment ref="P3" dT="2020-06-20T20:26:08.29" personId="{E9AB3D0A-316B-AD4A-AF94-04839F2D6E82}" id="{46B0E2BE-05B7-4649-B8C6-3D6D62A7BA67}">
    <text>NEW: 10/17/20 deadline
$40,250,000 cap hold
Bird</text>
  </threadedComment>
  <threadedComment ref="Q3" dT="2020-06-20T20:26:17.29" personId="{E9AB3D0A-316B-AD4A-AF94-04839F2D6E82}" id="{8AAFE13E-BEAF-9C46-86A2-EAE2A0204589}">
    <text>Bird</text>
  </threadedComment>
  <threadedComment ref="T4" dT="2020-06-20T20:31:41.75" personId="{E9AB3D0A-316B-AD4A-AF94-04839F2D6E82}" id="{7B553168-DD85-D543-8260-A5FCE73193F5}">
    <text>Bird</text>
  </threadedComment>
  <threadedComment ref="R5" dT="2020-06-20T20:29:30.11" personId="{E9AB3D0A-316B-AD4A-AF94-04839F2D6E82}" id="{10824A58-CE24-FF42-98AF-719EFFD7CBAE}">
    <text>Bird</text>
  </threadedComment>
  <threadedComment ref="Q6" dT="2020-06-20T20:30:04.79" personId="{E9AB3D0A-316B-AD4A-AF94-04839F2D6E82}" id="{EDFDD0F9-495B-6E41-9FF5-DF3896B0A2A9}">
    <text>$12,985,021 QO</text>
  </threadedComment>
  <threadedComment ref="P7" dT="2020-06-20T20:34:35.19" personId="{E9AB3D0A-316B-AD4A-AF94-04839F2D6E82}" id="{183CB134-FB6B-4C4E-B6EB-2603726829C3}">
    <text>NEW: 10/17/20 deadline
$5,720,400 cap hold
Non Bird</text>
  </threadedComment>
  <threadedComment ref="Q7" dT="2020-06-20T20:34:45.33" personId="{E9AB3D0A-316B-AD4A-AF94-04839F2D6E82}" id="{7B48A437-8741-3D41-8367-6E6968533B03}">
    <text>Early Bird</text>
  </threadedComment>
  <threadedComment ref="P8" dT="2020-06-20T20:33:59.19" personId="{E9AB3D0A-316B-AD4A-AF94-04839F2D6E82}" id="{A238D844-9163-5748-B0F8-044D38356D1E}">
    <text>NEW: fully NG, fully gt on 10/20/20
If waived, Bird RFA
$9,500,000 cap hold
$6,250,000 QO</text>
  </threadedComment>
  <threadedComment ref="Q8" dT="2020-06-20T20:34:06.22" personId="{E9AB3D0A-316B-AD4A-AF94-04839F2D6E82}" id="{4288DA2A-F74F-9548-B32D-BF0AD50FFC50}">
    <text>Bird</text>
  </threadedComment>
  <threadedComment ref="S9" dT="2020-06-20T20:46:24.30" personId="{E9AB3D0A-316B-AD4A-AF94-04839F2D6E82}" id="{E8571D8F-758F-6044-86DF-61048C9AD936}">
    <text>$7,837,251 QO</text>
  </threadedComment>
  <threadedComment ref="Q10" dT="2020-06-20T20:48:07.93" personId="{E9AB3D0A-316B-AD4A-AF94-04839F2D6E82}" id="{8033BCF2-D63F-5B40-A047-2F7FBE152241}">
    <text>$3,274,009 QO (*1.25)
Early Bird</text>
  </threadedComment>
  <threadedComment ref="S11" dT="2020-06-20T20:48:23.30" personId="{E9AB3D0A-316B-AD4A-AF94-04839F2D6E82}" id="{74681AB0-D702-F840-90F1-7AB009D50EC7}">
    <text>$6,235,495 QO</text>
  </threadedComment>
  <threadedComment ref="R12" dT="2020-06-20T20:48:36.17" personId="{E9AB3D0A-316B-AD4A-AF94-04839F2D6E82}" id="{E9DC93BC-5C01-AC4F-B030-9D5B782DC44A}">
    <text>$5,430,710 QO</text>
  </threadedComment>
  <threadedComment ref="P13" dT="2020-06-20T20:50:30.63" personId="{E9AB3D0A-316B-AD4A-AF94-04839F2D6E82}" id="{2C1F5DB5-4A7B-EA4F-ACF3-690002257691}">
    <text>NEW: 10/17/20 deadline
If declined, Bird RFA
$2,023,150 QO</text>
  </threadedComment>
  <threadedComment ref="Q13" dT="2020-06-20T20:51:45.41" personId="{E9AB3D0A-316B-AD4A-AF94-04839F2D6E82}" id="{786CA113-4D13-9749-826A-31BA31CEF0B8}">
    <text>Bird</text>
  </threadedComment>
  <threadedComment ref="R14" dT="2020-06-20T20:54:29.59" personId="{E9AB3D0A-316B-AD4A-AF94-04839F2D6E82}" id="{9BDFC207-1726-CB4C-BA6A-204C61D5B593}">
    <text>If waived, Bird RFA
$2,228,276 QO</text>
  </threadedComment>
  <threadedComment ref="S14" dT="2020-06-20T20:54:44.14" personId="{E9AB3D0A-316B-AD4A-AF94-04839F2D6E82}" id="{BC4518D1-3BB3-8842-A467-77F3160E5FA6}">
    <text>Bird</text>
  </threadedComment>
  <threadedComment ref="P15" dT="2020-06-20T20:55:49.85" personId="{E9AB3D0A-316B-AD4A-AF94-04839F2D6E82}" id="{83B43F2F-0DA1-524F-9A13-3CDD2A2618E1}">
    <text xml:space="preserve">fully NG, fully gt on 1/10/21 (subject to change)
If waived, Non Bird RFA
$1,645,697 QO
</text>
  </threadedComment>
  <threadedComment ref="Q15" dT="2020-06-20T20:59:03.81" personId="{E9AB3D0A-316B-AD4A-AF94-04839F2D6E82}" id="{5F6AE5FB-3D9E-A642-8E38-A75D8F26E16C}">
    <text>$2,056,061 QO
Early Bird RFA</text>
  </threadedComment>
  <threadedComment ref="P16" dT="2020-06-20T21:00:20.81" personId="{E9AB3D0A-316B-AD4A-AF94-04839F2D6E82}" id="{2E03CE34-6B72-1C49-B9C8-185815D90A53}">
    <text>Guerschon Yabusele / Demetrius Jackson</text>
  </threadedComment>
  <threadedComment ref="Q16" dT="2020-06-20T21:00:30.16" personId="{E9AB3D0A-316B-AD4A-AF94-04839F2D6E82}" id="{F2B12187-C5BC-B24A-B5EE-FAA54A37A007}">
    <text>Guerschon Yabusele / Demetrius Jackson</text>
  </threadedComment>
  <threadedComment ref="R16" dT="2020-06-20T21:00:37.66" personId="{E9AB3D0A-316B-AD4A-AF94-04839F2D6E82}" id="{35C05372-9AE4-FD49-A0DA-950592F079A7}">
    <text>Demetrius Jackson</text>
  </threadedComment>
  <threadedComment ref="S16" dT="2020-06-20T21:00:44.15" personId="{E9AB3D0A-316B-AD4A-AF94-04839F2D6E82}" id="{6FDF8B23-500F-0047-B592-3E35BDDF588E}">
    <text>Demetrius Jackson</text>
  </threadedComment>
  <threadedComment ref="P22" dT="2020-06-20T20:53:46.00" personId="{E9AB3D0A-316B-AD4A-AF94-04839F2D6E82}" id="{3030E8FA-2E58-3D41-B5DB-F931145D9AFA}">
    <text>$1,907,576 QO
NEW: 10/17/20 deadline
Early Bird RFA</text>
  </threadedComment>
  <threadedComment ref="P23" dT="2020-06-20T20:59:35.58" personId="{E9AB3D0A-316B-AD4A-AF94-04839F2D6E82}" id="{1165FB68-6D41-6346-AD1E-E7FB7120556E}">
    <text>2W QO
Non Bird</text>
  </threadedComment>
  <threadedComment ref="P24" dT="2020-06-20T20:59:40.09" personId="{E9AB3D0A-316B-AD4A-AF94-04839F2D6E82}" id="{7F9A7425-27E6-F64A-83F8-619BF9BB6C0E}">
    <text>2W QO
Non Bird</text>
  </threadedComment>
  <threadedComment ref="P28" dT="2020-06-20T19:59:37.04" personId="{E9AB3D0A-316B-AD4A-AF94-04839F2D6E82}" id="{BA6C2814-8ADE-7A4C-B896-5221CD2402B0}">
    <text>9 players: Kemba Walker / Jaylen Brown / Marcus Smart / Jayson Tatum / Romeo Langford / Vincent Poirier / Grant Williams / Robert Williams / Carsen Edwards
2020 MEM 1st (#14)
2020 1st (#26)
2020 MIL 1st (#30)
2020 BKN 2nd (#47)
Gordon Hayward (PO)
Enes Kanter (PO)
Daniel Theis (NG)
Semi Ojeleye (TO)
Javonte Green (NG)
Brad Wanamaker (EB RFA)
Tremont Waters (2W RFA)
Tacko Fall (2W RFA)</text>
  </threadedComment>
  <threadedComment ref="P29" dT="2020-08-21T16:45:44.54" personId="{E9AB3D0A-316B-AD4A-AF94-04839F2D6E82}" id="{4043063B-7381-F341-9760-7C60F538F0B6}">
    <text>11 players: Kemba Walker / Gordon Hayward (PO) / Jaylen Brown / Marcus Smart / Jayson Tatum / Enes Kanter (PO) / Romeo Langford / Vincent Poirier / Grant Williams / Robert Williams / Carsen Edwards
2020 MEM 1st (#14)
2020 1st (#26)
2020 MIL 1st (#30)
2020 BKN 2nd (#47)
Daniel Theis (NG)
Semi Ojeleye (TO)
Javonte Green (NG)
Brad Wanamaker (EB RFA)
Tremont Waters (2W RFA)
Tacko Fall (2W RFA)</text>
  </threadedComment>
  <threadedComment ref="P30" dT="2020-08-21T16:47:30.76" personId="{E9AB3D0A-316B-AD4A-AF94-04839F2D6E82}" id="{0EB5E09D-9CC5-124A-840F-D449E482916A}">
    <text>14 players: Kemba Walker / Gordon Hayward (PO) / Jaylen Brown / Marcus Smart / Jayson Tatum / Enes Kanter (PO) / Daniel Theis (NG) / Romeo Langford / Vincent Poirier / Grant Williams / Robert Williams / Semi Ojeleye (TO) / Carsen Edwards / Javonte Green (NG)
2020 MEM 1st (#14)
2020 1st (#26)
2020 MIL 1st (#30)
2020 BKN 2nd (#47)
Brad Wanamaker (EB RFA)
Tremont Waters (2W RFA)
Tacko Fall (2W RFA)</text>
  </threadedComment>
  <threadedComment ref="P31" dT="2020-08-21T16:52:37.43" personId="{E9AB3D0A-316B-AD4A-AF94-04839F2D6E82}" id="{796B1DAB-4631-234E-AFB4-227F35C2B65F}">
    <text>13 players: Kemba Walker / Gordon Hayward (PO) / Jaylen Brown / Marcus Smart / Jayson Tatum / Enes Kanter (PO) / Daniel Theis (NG) / Romeo Langford / Vincent Poirier / Grant Williams / Robert Williams / Semi Ojeleye (TO) / Carsen Edwards
2020 MEM 1st (#14)
2020 1st (#26)
2020 MIL 1st (#30)
2020 BKN 2nd (#47)
Brad Wanamaker (EB RFA)
Javonte Green (NB RFA)
Tremont Waters (2W RFA)
Tacko Fall (2W RFA)</text>
  </threadedComment>
</ThreadedComments>
</file>

<file path=xl/threadedComments/threadedComment20.xml><?xml version="1.0" encoding="utf-8"?>
<ThreadedComments xmlns="http://schemas.microsoft.com/office/spreadsheetml/2018/threadedcomments" xmlns:x="http://schemas.openxmlformats.org/spreadsheetml/2006/main">
  <threadedComment ref="C1" dT="2020-06-20T19:55:49.92" personId="{E9AB3D0A-316B-AD4A-AF94-04839F2D6E82}" id="{655DBDEF-D90A-3347-B277-0135A5E654FB}">
    <text>per Cleaning The Glass</text>
  </threadedComment>
  <threadedComment ref="W1" dT="2020-06-20T21:07:04.55" personId="{E9AB3D0A-316B-AD4A-AF94-04839F2D6E82}" id="{6F26E3D7-7BB9-EA47-BE3B-32913D60DEE2}">
    <text>per Basketball Reference</text>
  </threadedComment>
  <threadedComment ref="Q2" dT="2020-08-28T20:31:25.96" personId="{E9AB3D0A-316B-AD4A-AF94-04839F2D6E82}" id="{DCD5F0EB-C8EE-EE44-A19F-0ECE3FD801B5}">
    <text>$4,000,000 gt
6/28/21 gt date</text>
  </threadedComment>
  <threadedComment ref="R2" dT="2020-08-28T20:31:02.06" personId="{E9AB3D0A-316B-AD4A-AF94-04839F2D6E82}" id="{007FD88C-6485-CE44-B952-C9925B884518}">
    <text>Bird</text>
  </threadedComment>
  <threadedComment ref="P3" dT="2020-08-28T20:30:09.82" personId="{E9AB3D0A-316B-AD4A-AF94-04839F2D6E82}" id="{EB3D351D-1054-C543-8695-F57BF690F07B}">
    <text>6/29/20 deadline (revised date TBD)
If declined, Non Bird (up to $18M)</text>
  </threadedComment>
  <threadedComment ref="Q3" dT="2020-08-28T20:31:34.95" personId="{E9AB3D0A-316B-AD4A-AF94-04839F2D6E82}" id="{25C85D64-2129-104A-BF8A-877CE047BC1A}">
    <text>Early Bird</text>
  </threadedComment>
  <threadedComment ref="P4" dT="2020-08-28T20:31:58.08" personId="{E9AB3D0A-316B-AD4A-AF94-04839F2D6E82}" id="{E8B17E9D-B686-A348-B51D-E0A746836497}">
    <text>$1,000,000 gt
6/28/20 gt date (revised date TBD)
$10,800,000 cap hold (Non Bird)</text>
  </threadedComment>
  <threadedComment ref="Q4" dT="2020-08-28T20:32:56.39" personId="{E9AB3D0A-316B-AD4A-AF94-04839F2D6E82}" id="{8EA31067-05DC-FC45-83DB-B81963B6E408}">
    <text>Early Bird</text>
  </threadedComment>
  <threadedComment ref="S5" dT="2020-08-28T20:33:21.97" personId="{E9AB3D0A-316B-AD4A-AF94-04839F2D6E82}" id="{77A114B1-4380-F94E-98C7-7EAAE2F7DE4C}">
    <text>$14,301,633 QO</text>
  </threadedComment>
  <threadedComment ref="P6" dT="2020-08-28T20:34:28.49" personId="{E9AB3D0A-316B-AD4A-AF94-04839F2D6E82}" id="{D4890A94-005C-274B-BF79-45945C24CF13}">
    <text>$1,000,000 gt
6/28/20 gt date (revised date TBD)
If waived, Non Bird ($9.60M)</text>
  </threadedComment>
  <threadedComment ref="Q6" dT="2020-08-28T20:33:27.84" personId="{E9AB3D0A-316B-AD4A-AF94-04839F2D6E82}" id="{8DB57488-BE09-9F43-A4A5-995A8A42AC92}">
    <text>Early Bird</text>
  </threadedComment>
  <threadedComment ref="P7" dT="2020-08-28T20:34:35.80" personId="{E9AB3D0A-316B-AD4A-AF94-04839F2D6E82}" id="{DD84317B-2294-1140-A8F2-FA602BEE56FF}">
    <text>$1,000,000 gt
6/28/20 gt date (revised date TBD)
If waived, Non Bird ($9.60M)</text>
  </threadedComment>
  <threadedComment ref="Q7" dT="2020-08-28T20:33:33.95" personId="{E9AB3D0A-316B-AD4A-AF94-04839F2D6E82}" id="{D353E1E3-D85A-5742-B14E-20F3F93F54A3}">
    <text>Early Bird</text>
  </threadedComment>
  <threadedComment ref="Q8" dT="2020-08-28T20:35:04.63" personId="{E9AB3D0A-316B-AD4A-AF94-04839F2D6E82}" id="{1515BDFA-5E07-6448-A481-5C19FEE7FA55}">
    <text>$8,326,027 QO</text>
  </threadedComment>
  <threadedComment ref="Q9" dT="2020-08-28T20:35:17.53" personId="{E9AB3D0A-316B-AD4A-AF94-04839F2D6E82}" id="{A5036FF6-20E0-E643-A44C-90A98D7C9BA0}">
    <text>$7,705,447 QO</text>
  </threadedComment>
  <threadedComment ref="R10" dT="2020-08-28T20:35:30.46" personId="{E9AB3D0A-316B-AD4A-AF94-04839F2D6E82}" id="{673C55D5-C105-6D4A-B0DC-B320DF65BD66}">
    <text>$7,921,300 QO</text>
  </threadedComment>
  <threadedComment ref="P11" dT="2020-08-28T20:39:17.43" personId="{E9AB3D0A-316B-AD4A-AF94-04839F2D6E82}" id="{F8A20501-7CED-454D-853C-B8D8ED33B42E}">
    <text>$1,000,000 gt
6/28/20 gt date
If waived, Non Bird ($4.80M)</text>
  </threadedComment>
  <threadedComment ref="P12" dT="2020-06-21T02:01:06.31" personId="{E9AB3D0A-316B-AD4A-AF94-04839F2D6E82}" id="{9510309B-11DC-3D42-80C7-63F292001E52}">
    <text>NEW: 10/17/20 deadline
if declined, Early Bird RFA
$2,126,991 QO</text>
  </threadedComment>
  <threadedComment ref="Q12" dT="2020-06-21T02:02:15.80" personId="{E9AB3D0A-316B-AD4A-AF94-04839F2D6E82}" id="{DCF69E07-1E2D-AF46-BD6B-BC1BFF1C2A4F}">
    <text>$2,126,991 QO
Bird</text>
  </threadedComment>
  <threadedComment ref="Y12" dT="2020-06-26T21:24:33.79" personId="{E9AB3D0A-316B-AD4A-AF94-04839F2D6E82}" id="{15351989-1696-9946-9958-3808B1A5D4F3}">
    <text>all w/ BKN</text>
  </threadedComment>
  <threadedComment ref="P13" dT="2020-08-28T20:40:00.19" personId="{E9AB3D0A-316B-AD4A-AF94-04839F2D6E82}" id="{EDBD5137-4FAE-0043-B8D4-1E70E3405F25}">
    <text>$0 gt
6/29/20 gt date</text>
  </threadedComment>
  <threadedComment ref="Y23" dT="2020-06-25T22:46:34.30" personId="{E9AB3D0A-316B-AD4A-AF94-04839F2D6E82}" id="{98F93843-2E21-594F-BCD2-FB3A0F837809}">
    <text>all w/ PHX</text>
  </threadedComment>
  <threadedComment ref="P27" dT="2020-08-28T20:46:40.62" personId="{E9AB3D0A-316B-AD4A-AF94-04839F2D6E82}" id="{CB7B6188-92E1-C148-A76C-95647F1BF3C7}">
    <text>7 players: Julius Randle / R.J. Barrett / Frank Ntilikina / Dennis Smith Jr / Kevin Knox / Ignas Brazdeikis / Kenny Wooten (2W)
2020 1st (#8)
2020 LAC 1st (#27)
2020 CHA 2nd (#38)
Bobby Portis (TO)
Taj Gibson (PG)
Wayne Ellington (PG)
Elfrid Payton (PG)
Reggie Bullock (PG)
Theo Pinson (TO)
Mitchell Robinson (NG)
Maurice Harkless (Bird)
Damyean Dotson (Bird RFA)
Jared Harper (2W RFA)</text>
  </threadedComment>
  <threadedComment ref="P28" dT="2020-08-28T20:48:19.87" personId="{E9AB3D0A-316B-AD4A-AF94-04839F2D6E82}" id="{CFE3AB84-D436-934F-8A8E-17A634BAFC7A}">
    <text>14 players: Julius Randle / Bobby Portis (TO) / Taj Gibson (PG) / R.J. Barrett / Wayne Ellington (PG) / Elfrid Payton (PG) / Frank Ntilikina / Dennis Smith Jr / Kevin Knox / Reggie Bullock (PG) / Theo Pinson (TO) / Mitchell Robinson (NG) / Ignas Brazdeikis / Kenny Wooten (2W)
2020 1st (#8)
2020 LAC 1st (#27)
2020 CHA 2nd (#38)
Maurice Harkless (Bird)
Damyean Dotson (Bird RFA)
Jared Harper (2W RFA)</text>
  </threadedComment>
  <threadedComment ref="P29" dT="2020-08-28T20:50:48.98" personId="{E9AB3D0A-316B-AD4A-AF94-04839F2D6E82}" id="{377880A5-9C01-C342-80CF-9D3FFB385EDB}">
    <text>10 players: Julius Randle / R.J. Barrett / Frank Ntilikina / Dennis Smith Jr / Kevin Knox / Reggie Bullock (PG) / Theo Pinson (TO) / Mitchell Robinson (NG) / Ignas Brazdeikis / Kenny Wooten (2W)
2020 1st (#8)
2020 LAC 1st (#27)
2020 CHA 2nd (#38)
Bobby Portis (TO)
Taj Gibson (PG)
Wayne Ellington (PG)
Elfrid Payton (PG)
Maurice Harkless (Bird)
Damyean Dotson (Bird RFA)
Jared Harper (2W RFA)</text>
  </threadedComment>
</ThreadedComments>
</file>

<file path=xl/threadedComments/threadedComment21.xml><?xml version="1.0" encoding="utf-8"?>
<ThreadedComments xmlns="http://schemas.microsoft.com/office/spreadsheetml/2018/threadedcomments" xmlns:x="http://schemas.openxmlformats.org/spreadsheetml/2006/main">
  <threadedComment ref="C1" dT="2020-06-20T19:55:49.92" personId="{E9AB3D0A-316B-AD4A-AF94-04839F2D6E82}" id="{6B02FE1C-26F4-0544-BAB5-4467FF68C1E3}">
    <text>per Cleaning The Glass</text>
  </threadedComment>
  <threadedComment ref="W1" dT="2020-06-20T21:07:04.55" personId="{E9AB3D0A-316B-AD4A-AF94-04839F2D6E82}" id="{3D923511-D415-CC46-BDA2-E3CB30F63A2F}">
    <text>per Basketball Reference</text>
  </threadedComment>
  <threadedComment ref="Q2" dT="2020-08-06T21:13:33.19" personId="{E9AB3D0A-316B-AD4A-AF94-04839F2D6E82}" id="{470EE3F7-A746-3C4B-AE56-52764B004F7D}">
    <text>6/29/21 deadline
Bird
Max cap hold</text>
  </threadedComment>
  <threadedComment ref="R2" dT="2020-08-06T21:13:38.21" personId="{E9AB3D0A-316B-AD4A-AF94-04839F2D6E82}" id="{97FE6747-F9F4-794E-B36A-8134408F5972}">
    <text>Bird</text>
  </threadedComment>
  <threadedComment ref="Q3" dT="2020-08-07T14:29:05.26" personId="{E9AB3D0A-316B-AD4A-AF94-04839F2D6E82}" id="{A64046E7-5A78-A642-B732-1860EF21A891}">
    <text>Bird</text>
  </threadedComment>
  <threadedComment ref="Q4" dT="2020-08-07T14:29:10.68" personId="{E9AB3D0A-316B-AD4A-AF94-04839F2D6E82}" id="{0AB1EBAC-2BDF-2E48-8A80-AA6BAA91C7D8}">
    <text>Bird</text>
  </threadedComment>
  <threadedComment ref="Q5" dT="2020-08-07T14:29:20.59" personId="{E9AB3D0A-316B-AD4A-AF94-04839F2D6E82}" id="{357D5EB6-800E-E847-B791-46C6C02E13A9}">
    <text>OLD: 10/31/20 deadline</text>
  </threadedComment>
  <threadedComment ref="R5" dT="2020-08-07T14:32:36.85" personId="{E9AB3D0A-316B-AD4A-AF94-04839F2D6E82}" id="{4F357345-3872-9A4C-BA1A-07B9279CB240}">
    <text>$7,523,383 QO
6/29/22 deadline
Bird</text>
  </threadedComment>
  <threadedComment ref="Q6" dT="2020-08-07T14:32:56.34" personId="{E9AB3D0A-316B-AD4A-AF94-04839F2D6E82}" id="{4F3A5800-32EF-124E-88D1-3B6860C5BE9B}">
    <text>$5,683,323 QO
6/29/21 deadline
Bird</text>
  </threadedComment>
  <threadedComment ref="Q7" dT="2020-08-07T14:33:04.36" personId="{E9AB3D0A-316B-AD4A-AF94-04839F2D6E82}" id="{35988F30-A144-444F-85D1-CB6287F27B56}">
    <text>OLD: 10/31/20 deadline</text>
  </threadedComment>
  <threadedComment ref="R7" dT="2020-08-07T14:33:30.50" personId="{E9AB3D0A-316B-AD4A-AF94-04839F2D6E82}" id="{B7097BD3-EC26-8144-9FAA-7AF674B762C2}">
    <text>10/31/20 deadline</text>
  </threadedComment>
  <threadedComment ref="S7" dT="2020-08-07T14:33:54.34" personId="{E9AB3D0A-316B-AD4A-AF94-04839F2D6E82}" id="{628055FA-D559-9441-B360-D59A76C4FC01}">
    <text>$6,205,035 QO
6/29/23 deadline
Bird</text>
  </threadedComment>
  <threadedComment ref="P8" dT="2020-08-07T14:34:39.55" personId="{E9AB3D0A-316B-AD4A-AF94-04839F2D6E82}" id="{477EF010-D630-D74F-AAE6-BB6947C5037C}">
    <text>10/17/20 deadline
$1,707,576 cap hold
Non Bird</text>
  </threadedComment>
  <threadedComment ref="Q8" dT="2020-08-07T14:34:48.82" personId="{E9AB3D0A-316B-AD4A-AF94-04839F2D6E82}" id="{E0D4E86B-C505-BB47-A08D-6470618E0A2D}">
    <text>Early Bird</text>
  </threadedComment>
  <threadedComment ref="P9" dT="2020-08-07T14:38:38.38" personId="{E9AB3D0A-316B-AD4A-AF94-04839F2D6E82}" id="{94F362C2-B2EC-0B4D-A80C-EF7B5B2C8168}">
    <text>10/17/20 deadline
If waived, Bird RFA</text>
  </threadedComment>
  <threadedComment ref="Q9" dT="2020-08-07T14:35:16.32" personId="{E9AB3D0A-316B-AD4A-AF94-04839F2D6E82}" id="{8713B1E5-7614-8A4A-B5DD-8AF9A0502309}">
    <text>Bird</text>
  </threadedComment>
  <threadedComment ref="P10" dT="2020-08-07T14:38:26.89" personId="{E9AB3D0A-316B-AD4A-AF94-04839F2D6E82}" id="{D6C5F3CB-E963-C243-AD78-FD8D8EB95F89}">
    <text>10/17/20 deadline
If waived, Early Bird RFA</text>
  </threadedComment>
  <threadedComment ref="Q10" dT="2020-08-07T14:35:30.92" personId="{E9AB3D0A-316B-AD4A-AF94-04839F2D6E82}" id="{89CC3B1C-810B-2541-926F-FDFDBBA1F3C0}">
    <text>$2,122,822 QO
6/29/21 deadline
Bird</text>
  </threadedComment>
  <threadedComment ref="P11" dT="2020-08-07T14:37:31.21" personId="{E9AB3D0A-316B-AD4A-AF94-04839F2D6E82}" id="{A055DF1A-C7C8-6F4F-A611-0B596FF45C45}">
    <text>10/15/20 deadline
If kept, $1,174,336 gt
OLD: fully gt on 8/1/20
If waived, Early Bird RFA</text>
  </threadedComment>
  <threadedComment ref="Q11" dT="2020-08-07T14:35:38.05" personId="{E9AB3D0A-316B-AD4A-AF94-04839F2D6E82}" id="{D0A125B8-2530-7849-88F8-2949735FBF37}">
    <text>$2,122,822 QO
6/29/21 deadline
Bird</text>
  </threadedComment>
  <threadedComment ref="Q12" dT="2020-06-25T00:47:58.60" personId="{E9AB3D0A-316B-AD4A-AF94-04839F2D6E82}" id="{4404BEA1-87B4-3D48-9F0E-768F3E1C1003}">
    <text>$300k gt
If waived, Early Bird RFA</text>
  </threadedComment>
  <threadedComment ref="R12" dT="2020-06-25T00:48:56.79" personId="{E9AB3D0A-316B-AD4A-AF94-04839F2D6E82}" id="{F0BE8B6D-5FD5-B145-A60B-BA3350A89825}">
    <text>OLD: 6/29/20 deadline
$325,000 gt if team opts in
If declined, Bird RFA</text>
  </threadedComment>
  <threadedComment ref="S12" dT="2020-06-25T00:49:03.07" personId="{E9AB3D0A-316B-AD4A-AF94-04839F2D6E82}" id="{58CE1506-7235-BB4A-994B-FC92E2435B9C}">
    <text>Bird</text>
  </threadedComment>
  <threadedComment ref="Q13" dT="2020-08-07T14:39:36.35" personId="{E9AB3D0A-316B-AD4A-AF94-04839F2D6E82}" id="{59C420FD-32DF-5741-B159-5F12A097D3EB}">
    <text>fully NG, fully gt on 7/3/21
If waived, Early Bird RFA</text>
  </threadedComment>
  <threadedComment ref="R13" dT="2020-08-07T14:39:45.01" personId="{E9AB3D0A-316B-AD4A-AF94-04839F2D6E82}" id="{D94F704F-3537-074F-B903-7B8D7E2C33AC}">
    <text>6/29/22 deadline
If declined, Bird RFA</text>
  </threadedComment>
  <threadedComment ref="S13" dT="2020-08-07T14:39:50.43" personId="{E9AB3D0A-316B-AD4A-AF94-04839F2D6E82}" id="{3DA9E164-2CB6-D44C-BB84-7AEB4B898977}">
    <text>Bird</text>
  </threadedComment>
  <threadedComment ref="P14" dT="2020-06-25T00:53:05.79" personId="{E9AB3D0A-316B-AD4A-AF94-04839F2D6E82}" id="{50831CD2-ABC2-0041-8667-9A1496C5D6AA}">
    <text>Kyle Singler / Patrick Patterson</text>
  </threadedComment>
  <threadedComment ref="Q14" dT="2020-06-25T00:53:10.70" personId="{E9AB3D0A-316B-AD4A-AF94-04839F2D6E82}" id="{95C6C7F2-D3FE-124A-A994-6F2204EB906D}">
    <text>Kyle Singler / Patrick Patterson</text>
  </threadedComment>
  <threadedComment ref="R14" dT="2020-06-25T00:53:40.00" personId="{E9AB3D0A-316B-AD4A-AF94-04839F2D6E82}" id="{FC47211F-0A87-A448-8A8B-993C756F269F}">
    <text>Kyle Singler</text>
  </threadedComment>
  <threadedComment ref="P18" dT="2020-08-06T21:02:31.94" personId="{E9AB3D0A-316B-AD4A-AF94-04839F2D6E82}" id="{C2AB9AA1-853D-F94E-BFAF-48074DD9B96A}">
    <text>Bird</text>
  </threadedComment>
  <threadedComment ref="P19" dT="2020-08-06T21:02:36.52" personId="{E9AB3D0A-316B-AD4A-AF94-04839F2D6E82}" id="{91834FC2-9F7C-284D-AEE7-F66A234825A8}">
    <text>Bird</text>
  </threadedComment>
  <threadedComment ref="P20" dT="2020-08-06T21:02:43.68" personId="{E9AB3D0A-316B-AD4A-AF94-04839F2D6E82}" id="{36B9B979-932D-714E-AB7A-82905744A242}">
    <text>Early Bird</text>
  </threadedComment>
  <threadedComment ref="P25" dT="2020-08-06T21:08:49.87" personId="{E9AB3D0A-316B-AD4A-AF94-04839F2D6E82}" id="{538DEC9B-B0E3-3249-8BAA-9B1F336FC926}">
    <text>8 players: Chris Paul / Steven Adams / Dennis Schroder / Shai Gilgeous-Alexander / Terrance Ferguson / Darius Bazley / Luguentz Dort / Isaiah Roby
2020 DEN 1st (projected #25)
2020 2nd (projected #51)
Mike Muscala (PO)
Abdel Nader (TO)
Hamidou Diallo (TO)
Deonte Burton (TO)
Danilo Gallinari (Bird)
Andre Roberson (Bird)
Nerlens Noel (Bird)
Kevin Hervey (2W RFA)
Devon Hall (2W RFA)</text>
  </threadedComment>
  <threadedComment ref="P26" dT="2020-08-06T21:09:07.01" personId="{E9AB3D0A-316B-AD4A-AF94-04839F2D6E82}" id="{C4B3EDC2-07E2-DB47-86F0-9F30A968540C}">
    <text>9 players: Chris Paul / Steven Adams / Dennis Schroder / Shai Gilgeous-Alexander / Terrance Ferguson / Darius Bazley / Mike Muscala (PO) / Luguentz Dort / Isaiah Roby
2020 DEN 1st (projected #25)
2020 2nd (projected #51)
Abdel Nader (TO)
Hamidou Diallo (TO)
Deonte Burton (TO)
Danilo Gallinari (Bird)
Andre Roberson (Bird)
Nerlens Noel (Bird)
Kevin Hervey (2W RFA)
Devon Hall (2W RFA)</text>
  </threadedComment>
  <threadedComment ref="P27" dT="2020-08-06T21:09:41.98" personId="{E9AB3D0A-316B-AD4A-AF94-04839F2D6E82}" id="{F786168A-1A24-844A-970E-291D3704566E}">
    <text>11 players: Chris Paul / Steven Adams / Dennis Schroder / Shai Gilgeous-Alexander / Terrance Ferguson / Darius Bazley / Mike Muscala (PO) / Abdel Nader (TO) / Hamidou Diallo (TO) / Luguentz Dort / Isaiah Roby
2020 DEN 1st (projected #25)
2020 2nd (projected #51)
Deonte Burton (TO)
Danilo Gallinari (Bird)
Andre Roberson (Bird)
Nerlens Noel (Bird)
Kevin Hervey (2W RFA)
Devon Hall (2W RFA)</text>
  </threadedComment>
</ThreadedComments>
</file>

<file path=xl/threadedComments/threadedComment22.xml><?xml version="1.0" encoding="utf-8"?>
<ThreadedComments xmlns="http://schemas.microsoft.com/office/spreadsheetml/2018/threadedcomments" xmlns:x="http://schemas.openxmlformats.org/spreadsheetml/2006/main">
  <threadedComment ref="C1" dT="2020-06-20T19:55:49.92" personId="{E9AB3D0A-316B-AD4A-AF94-04839F2D6E82}" id="{979F648D-C0A3-2D48-BFEE-BEF7F80CAECA}">
    <text>per Cleaning The Glass</text>
  </threadedComment>
  <threadedComment ref="W1" dT="2020-06-20T21:07:04.55" personId="{E9AB3D0A-316B-AD4A-AF94-04839F2D6E82}" id="{CB6B8F57-20DC-024F-8CFB-9AD04427642B}">
    <text>per Basketball Reference</text>
  </threadedComment>
  <threadedComment ref="P26" dT="2020-08-27T16:16:49.48" personId="{E9AB3D0A-316B-AD4A-AF94-04839F2D6E82}" id="{441E1163-8811-C046-8401-0B9B1DFD676D}">
    <text>8 players: Nikola Vucevic / Aaron Gordon / Terrence Ross / Markelle Fultz / Al-Farouq Aminu / Jonathan Isaac / Mo Bamba / Khem Birch
2020 1st (#15)
2020 2nd (#45)
2019 1st (#16 - Chuma Okeke)
Evan Fournier (PO)
James Ennis III (PO)
DJ Augustin (Bird)
Wes Iwundu (Bird RFA)
Michael Carter-Williams (EB)
Melvin Frazier Jr. (TO)
Gary Clark (NB RFA)
B.J. Johnson (2W RFA)
Vic Law (2W RFA)</text>
  </threadedComment>
  <threadedComment ref="P27" dT="2020-08-27T16:17:16.12" personId="{E9AB3D0A-316B-AD4A-AF94-04839F2D6E82}" id="{EBE08543-131A-2C4D-B486-41649714C96C}">
    <text>10 players: Nikola Vucevic / Aaron Gordon / Evan Fournier (PO) / Terrence Ross / Markelle Fultz / Al-Farouq Aminu / Jonathan Isaac / Mo Bamba / Khem Birch / James Ennis III (PO)
2020 1st (#15)
2020 2nd (#45)
2019 1st (#16 - Chuma Okeke)
DJ Augustin (Bird)
Wes Iwundu (Bird RFA)
Michael Carter-Williams (EB)
Melvin Frazier Jr. (TO)
Gary Clark (NB RFA)
B.J. Johnson (2W RFA)
Vic Law (2W RFA)</text>
  </threadedComment>
  <threadedComment ref="P28" dT="2020-08-27T16:17:31.96" personId="{E9AB3D0A-316B-AD4A-AF94-04839F2D6E82}" id="{CF57DBA3-8CDC-EC44-B027-49CA4E24BA4E}">
    <text>11 players: Nikola Vucevic / Aaron Gordon / Evan Fournier (PO) / Terrence Ross / Markelle Fultz / Al-Farouq Aminu / Jonathan Isaac / Mo Bamba / Khem Birch / James Ennis III (PO) / Melvin Frazier Jr (TO)
2020 1st (#15)
2020 2nd (#45)
2019 1st (#16 - Chuma Okeke)
DJ Augustin (Bird)
Wes Iwundu (Bird RFA)
Michael Carter-Williams (EB)
Gary Clark (NB RFA)
B.J. Johnson (2W RFA)
Vic Law (2W RFA)</text>
  </threadedComment>
</ThreadedComments>
</file>

<file path=xl/threadedComments/threadedComment23.xml><?xml version="1.0" encoding="utf-8"?>
<ThreadedComments xmlns="http://schemas.microsoft.com/office/spreadsheetml/2018/threadedcomments" xmlns:x="http://schemas.openxmlformats.org/spreadsheetml/2006/main">
  <threadedComment ref="C1" dT="2020-06-20T19:55:49.92" personId="{E9AB3D0A-316B-AD4A-AF94-04839F2D6E82}" id="{48450934-BCEB-6147-9717-A3CAF93CD0C3}">
    <text>per Cleaning The Glass</text>
  </threadedComment>
  <threadedComment ref="W1" dT="2020-06-20T21:07:04.55" personId="{E9AB3D0A-316B-AD4A-AF94-04839F2D6E82}" id="{293A3FB3-69D2-8D43-B59F-D847066D7841}">
    <text>per Basketball Reference</text>
  </threadedComment>
  <threadedComment ref="P10" dT="2020-08-23T18:18:15.07" personId="{E9AB3D0A-316B-AD4A-AF94-04839F2D6E82}" id="{EE8A5EC8-A517-5246-9782-06E4CA7B743C}">
    <text>fully NG, fully gt on 7/10/20 (revised date TBD)</text>
  </threadedComment>
  <threadedComment ref="P12" dT="2020-08-23T18:18:19.76" personId="{E9AB3D0A-316B-AD4A-AF94-04839F2D6E82}" id="{7D563503-9B17-564F-89EC-F869C7785CAE}">
    <text>fully NG, fully gt on 7/10/20 (revised date TBD)</text>
  </threadedComment>
  <threadedComment ref="P21" dT="2020-08-23T18:23:17.39" personId="{E9AB3D0A-316B-AD4A-AF94-04839F2D6E82}" id="{BE224B6B-AB17-BF41-823D-D928AB771D66}">
    <text>Non Bird</text>
  </threadedComment>
  <threadedComment ref="P22" dT="2020-08-23T18:23:17.39" personId="{E9AB3D0A-316B-AD4A-AF94-04839F2D6E82}" id="{54692469-D265-E541-9091-C5416341B5BE}">
    <text>Non Bird</text>
  </threadedComment>
  <threadedComment ref="P23" dT="2020-08-23T18:23:17.39" personId="{E9AB3D0A-316B-AD4A-AF94-04839F2D6E82}" id="{1CBB70B9-2F96-F94E-8731-7D84D9C36543}">
    <text>Non Bird</text>
  </threadedComment>
  <threadedComment ref="P24" dT="2020-08-23T18:23:17.39" personId="{E9AB3D0A-316B-AD4A-AF94-04839F2D6E82}" id="{9EEE5EC8-73E0-6140-B11A-9546B499AF8F}">
    <text>Non Bird</text>
  </threadedComment>
  <threadedComment ref="P25" dT="2020-08-23T18:23:29.49" personId="{E9AB3D0A-316B-AD4A-AF94-04839F2D6E82}" id="{49540EAD-6F33-F74B-B98C-81F17BED106C}">
    <text>No Rights</text>
  </threadedComment>
  <threadedComment ref="P29" dT="2020-08-23T18:21:13.65" personId="{E9AB3D0A-316B-AD4A-AF94-04839F2D6E82}" id="{723BA40F-C39D-9043-B320-70061EF0290F}">
    <text>10 players: Tobias Harris / Joel Embiid / Al Horford / Ben Simmons / Josh Richardson / Mike Scott / Zhaire Smith / Matisse Thybulle / Shake Milton / Mariel Shayok (2W)
2020 OKC 1st (#21)
2020 ATL 2nd (#34)
2020 NYK 2nd (#36)
2020 2nd (#49)
2020 LAL 2nd (#58)
Furkan Korkmaz (NG)
Norvel Pelle (NG)
Glenn Robinson III (Non Bird)
Alec Burks (Non Bird)
Kyle O’Quinn (Non Bird)
Raul Neto (Non Bird)
Ryan Broekhoff (No Rights)</text>
  </threadedComment>
  <threadedComment ref="P30" dT="2020-08-23T18:21:37.42" personId="{E9AB3D0A-316B-AD4A-AF94-04839F2D6E82}" id="{F1184F05-FBDF-E64B-9CCE-D2BF6D382D57}">
    <text>12 players: Tobias Harris / Joel Embiid / Al Horford / Ben Simmons / Josh Richardson / Mike Scott / Zhaire Smith / Matisse Thybulle / Furkan Korkmaz (NG) / Shake Milton / Norvel Pelle (NG) / Mariel Shayok (2W)
2020 OKC 1st (#21)
2020 ATL 2nd (#34)
2020 NYK 2nd (#36)
2020 2nd (#49)
2020 LAL 2nd (#58)
Glenn Robinson III (Non Bird)
Alec Burks (Non Bird)
Kyle O’Quinn (Non Bird)
Raul Neto (Non Bird)
Ryan Broekhoff (No Rights)</text>
  </threadedComment>
</ThreadedComments>
</file>

<file path=xl/threadedComments/threadedComment24.xml><?xml version="1.0" encoding="utf-8"?>
<ThreadedComments xmlns="http://schemas.microsoft.com/office/spreadsheetml/2018/threadedcomments" xmlns:x="http://schemas.openxmlformats.org/spreadsheetml/2006/main">
  <threadedComment ref="C1" dT="2020-06-20T19:55:49.92" personId="{E9AB3D0A-316B-AD4A-AF94-04839F2D6E82}" id="{6E04FD27-20B8-6448-AAC1-30AA77F72161}">
    <text>per Cleaning The Glass</text>
  </threadedComment>
  <threadedComment ref="W1" dT="2020-06-20T21:07:04.55" personId="{E9AB3D0A-316B-AD4A-AF94-04839F2D6E82}" id="{107A77BF-925A-2942-982E-C7881C953BF2}">
    <text>per Basketball Reference</text>
  </threadedComment>
  <threadedComment ref="P24" dT="2020-08-31T19:27:20.29" personId="{E9AB3D0A-316B-AD4A-AF94-04839F2D6E82}" id="{E437A2C0-89AC-B448-9FB0-56F835551DFC}">
    <text>8 players: Devin Booker / Ricky Rubio / Kelly Oubre Jr / DeAndre Ayton / Mikal Bridges / Cam Johnson / Ty Jerome / Jalen Leque
2020 1st (#10)
Frank Kaminsky (TO)
Cheick Diallo (TO)
Cameron Payne (NG)
Elie Okobo (NG)
Dario Saric (Bird RFA)
Aron Baynes (Bird UFA)
Jevon Carter (EB RFA)
Tariq Owens (2W RFA)</text>
  </threadedComment>
  <threadedComment ref="P25" dT="2020-08-31T19:28:04.46" personId="{E9AB3D0A-316B-AD4A-AF94-04839F2D6E82}" id="{3A8516CD-E452-D946-A956-FDEF55C3A06B}">
    <text>12 players: Devin Booker / Ricky Rubio / Kelly Oubre Jr / DeAndre Ayton / Frank Kaminsky (TO) / Mikal Bridges / Cam Johnson / Ty Jerome / Cheick Diallo (TO) / Cam Payne (NG) / Elie Okob (NG) / Jalen Leque
2020 1st (#10)
Dario Saric (Bird RFA)
Aron Baynes (Bird UFA)
Jevon Carter (EB RFA)
Tariq Owens (2W RFA)</text>
  </threadedComment>
  <threadedComment ref="P26" dT="2020-08-31T19:28:23.37" personId="{E9AB3D0A-316B-AD4A-AF94-04839F2D6E82}" id="{9435DE5E-7F2E-AE40-9371-F16609EB61E4}">
    <text>9 players: Devin Booker / Ricky Rubio / Kelly Oubre Jr / DeAndre Ayton / Mikal Bridges / Cam Johnson / Ty Jerome / Cam Payne (NG) / Jalen Leque
2020 1st (#10)
Cameron Payne (NG)
Dario Saric (Bird RFA)
Aron Baynes (Bird UFA)
Jevon Carter (EB RFA)
Tariq Owens (2W RFA)</text>
  </threadedComment>
</ThreadedComments>
</file>

<file path=xl/threadedComments/threadedComment25.xml><?xml version="1.0" encoding="utf-8"?>
<ThreadedComments xmlns="http://schemas.microsoft.com/office/spreadsheetml/2018/threadedcomments" xmlns:x="http://schemas.openxmlformats.org/spreadsheetml/2006/main">
  <threadedComment ref="C1" dT="2020-06-20T19:55:49.92" personId="{E9AB3D0A-316B-AD4A-AF94-04839F2D6E82}" id="{7D0CD040-502E-D94D-AF88-6701BD71DDA1}">
    <text>per Cleaning The Glass</text>
  </threadedComment>
  <threadedComment ref="W1" dT="2020-06-20T21:07:04.55" personId="{E9AB3D0A-316B-AD4A-AF94-04839F2D6E82}" id="{E0038C82-19B6-CE4B-92E7-72AC098A93A6}">
    <text>per Basketball Reference</text>
  </threadedComment>
  <threadedComment ref="U2" dT="2020-08-15T21:33:29.67" personId="{E9AB3D0A-316B-AD4A-AF94-04839F2D6E82}" id="{132F840B-565B-FB4E-B410-31CB896A890F}">
    <text>Bird</text>
  </threadedComment>
  <threadedComment ref="T3" dT="2020-08-15T21:33:35.21" personId="{E9AB3D0A-316B-AD4A-AF94-04839F2D6E82}" id="{D81BA430-7013-1545-975B-6FA0DAB8A99B}">
    <text>Bird</text>
  </threadedComment>
  <threadedComment ref="Q4" dT="2020-08-15T21:32:44.36" personId="{E9AB3D0A-316B-AD4A-AF94-04839F2D6E82}" id="{9E4B89EB-C441-6841-8DBA-431D5F726C49}">
    <text xml:space="preserve">$4,000,000 gt, fully gt on 7/1/21
$21,208,334 cap hold
Bird UFA
</text>
  </threadedComment>
  <threadedComment ref="R4" dT="2020-08-15T21:33:12.08" personId="{E9AB3D0A-316B-AD4A-AF94-04839F2D6E82}" id="{B7BF7F8F-C4B9-0A4C-A95A-0659D9E3CDFF}">
    <text>Bird</text>
  </threadedComment>
  <threadedComment ref="P5" dT="2020-08-15T21:32:04.74" personId="{E9AB3D0A-316B-AD4A-AF94-04839F2D6E82}" id="{5B1A3162-3D80-8F4E-AD24-C3BA46DA9009}">
    <text>NEW: $1,800,000 gt, fully gt on 10/18/20
$14,640,000 cap hold
Non Bird UFA</text>
  </threadedComment>
  <threadedComment ref="Q5" dT="2020-08-15T21:30:51.53" personId="{E9AB3D0A-316B-AD4A-AF94-04839F2D6E82}" id="{56E76614-1ED6-3842-942E-4FCCF3165281}">
    <text>Early Bird</text>
  </threadedComment>
  <threadedComment ref="P6" dT="2020-08-15T21:30:38.91" personId="{E9AB3D0A-316B-AD4A-AF94-04839F2D6E82}" id="{95EB4A93-3527-F94E-91B4-2B6D5D3C8B79}">
    <text>NEW: 10/15/20 deadline
$7,433,400 cap hold
Early Bird UFA</text>
  </threadedComment>
  <threadedComment ref="Q6" dT="2020-08-15T21:30:44.71" personId="{E9AB3D0A-316B-AD4A-AF94-04839F2D6E82}" id="{96477604-6DC2-5847-A313-1F24F790BD0B}">
    <text>Bird</text>
  </threadedComment>
  <threadedComment ref="Q7" dT="2020-08-15T21:35:08.21" personId="{E9AB3D0A-316B-AD4A-AF94-04839F2D6E82}" id="{EA9399B6-3E48-944C-889D-B31CEFCE40AD}">
    <text>$7,363,319 QO
6/29/21 deadline
Bird</text>
  </threadedComment>
  <threadedComment ref="Q8" dT="2020-08-15T21:35:20.05" personId="{E9AB3D0A-316B-AD4A-AF94-04839F2D6E82}" id="{893B9103-CED7-3B41-AC88-0117B2D2E5F3}">
    <text>OLD: 10/31/20 deadline</text>
  </threadedComment>
  <threadedComment ref="Q9" dT="2020-08-15T21:35:26.22" personId="{E9AB3D0A-316B-AD4A-AF94-04839F2D6E82}" id="{D66DCA43-EFDB-8344-9BEA-CE580D4E681D}">
    <text>OLD: 10/31/20 deadline</text>
  </threadedComment>
  <threadedComment ref="R9" dT="2020-08-15T21:35:35.11" personId="{E9AB3D0A-316B-AD4A-AF94-04839F2D6E82}" id="{50BE2BD7-1E07-4743-9A7D-56EB0477E367}">
    <text>10/31/21 deadline</text>
  </threadedComment>
  <threadedComment ref="P10" dT="2020-08-15T21:36:09.51" personId="{E9AB3D0A-316B-AD4A-AF94-04839F2D6E82}" id="{2F43838C-AB20-6B4A-84EF-61AF02887F78}">
    <text>NEW: 10/15/20 deadline
$1,707,576 cap hold (minimum)
Non Bird UFA</text>
  </threadedComment>
  <threadedComment ref="P12" dT="2020-08-30T19:47:30.49" personId="{E9AB3D0A-316B-AD4A-AF94-04839F2D6E82}" id="{BA845CEB-D783-5743-8A6D-0172D0B1EF29}">
    <text>Andrew Nicholson / Anderson Varejao</text>
  </threadedComment>
  <threadedComment ref="Q12" dT="2020-08-30T19:47:37.69" personId="{E9AB3D0A-316B-AD4A-AF94-04839F2D6E82}" id="{2735A0A4-7C17-4047-8AB0-B627D89CE34F}">
    <text>Andrew Nicholson</text>
  </threadedComment>
  <threadedComment ref="R12" dT="2020-08-30T19:47:37.69" personId="{E9AB3D0A-316B-AD4A-AF94-04839F2D6E82}" id="{419C2242-FF71-5E46-83CF-951CC954D62B}">
    <text>Andrew Nicholson</text>
  </threadedComment>
  <threadedComment ref="S12" dT="2020-08-30T19:47:37.69" personId="{E9AB3D0A-316B-AD4A-AF94-04839F2D6E82}" id="{1F3472C5-577E-D249-BBA6-BBDEB9EBF920}">
    <text>Andrew Nicholson</text>
  </threadedComment>
  <threadedComment ref="P16" dT="2020-08-15T21:36:18.40" personId="{E9AB3D0A-316B-AD4A-AF94-04839F2D6E82}" id="{D34A6692-6421-FD42-8319-1C7903204EEF}">
    <text>Bird</text>
  </threadedComment>
  <threadedComment ref="P17" dT="2020-08-15T21:36:23.61" personId="{E9AB3D0A-316B-AD4A-AF94-04839F2D6E82}" id="{46204ACF-D76B-E84B-A09D-164C20417DB2}">
    <text>Bird</text>
  </threadedComment>
  <threadedComment ref="P18" dT="2020-08-15T21:37:20.75" personId="{E9AB3D0A-316B-AD4A-AF94-04839F2D6E82}" id="{368CEF8D-5F51-A549-B2CA-07C9BE12157C}">
    <text>Early Bird</text>
  </threadedComment>
  <threadedComment ref="P19" dT="2020-08-15T21:37:28.07" personId="{E9AB3D0A-316B-AD4A-AF94-04839F2D6E82}" id="{74864525-AD18-B249-9F15-E2B34C79C7B3}">
    <text>Non Bird</text>
  </threadedComment>
  <threadedComment ref="P26" dT="2020-08-30T19:34:53.77" personId="{E9AB3D0A-316B-AD4A-AF94-04839F2D6E82}" id="{06101C59-24E4-7542-AA83-4F5E2AD017CB}">
    <text>7 players: Damian Lillard / C.J. McCollum / Jusuf Nurkic / Zach Collins / Anfernee Simons / Nassir Little / Gary Trent Jr.
2020 1st (#16)
2020 2nd (#46)
Trevor Ariza (PG)
Rodney Hood (PO)
Mario Hezonja (PO)
Hassan Whiteside (Bird)
Caleb Swanigan (Bird)
Wenyen Gabriel (EB RFA)
Carmelo Anthony (NB)
Jaylen Adams (No Rights)
Jaylen Hoard (2W RFA)
Moses Brown (2W RFA)</text>
  </threadedComment>
  <threadedComment ref="P27" dT="2020-08-30T19:35:21.15" personId="{E9AB3D0A-316B-AD4A-AF94-04839F2D6E82}" id="{78B63E43-505A-1B4A-85E9-9CADA93980E1}">
    <text>9 players: Damian Lillard / C.J. McCollum / Jusuf Nurkic / Rodney Hood (PO) / Zach Collins / Anfernee Simons / Nassir Little / Mario Hezonja (PO) / Gary Trent Jr.
2020 1st (#16)
2020 2nd (#46)
Trevor Ariza (PG)
Hassan Whiteside (Bird)
Caleb Swanigan (Bird)
Wenyen Gabriel (EB RFA)
Carmelo Anthony (NB)
Jaylen Adams (No Rights)
Jaylen Hoard (2W RFA)
Moses Brown (2W RFA)</text>
  </threadedComment>
  <threadedComment ref="P28" dT="2020-08-30T19:36:19.72" personId="{E9AB3D0A-316B-AD4A-AF94-04839F2D6E82}" id="{3149EC88-F754-D84C-A585-65E9C81552B3}">
    <text>10 players: Damian Lillard / C.J. McCollum / Jusuf Nurkic / Trevor Ariza (PG) / Rodney Hood (PO) / Zach Collins / Anfernee Simons / Nassir Little / Mario Hezonja (PO) / Gary Trent Jr.
2020 1st (#16)
2020 2nd (#46)
Hassan Whiteside (Bird)
Caleb Swanigan (Bird)
Wenyen Gabriel (EB RFA)
Carmelo Anthony (NB)
Jaylen Adams (No Rights)
Jaylen Hoard (2W RFA)
Moses Brown (2W RFA)</text>
  </threadedComment>
</ThreadedComments>
</file>

<file path=xl/threadedComments/threadedComment26.xml><?xml version="1.0" encoding="utf-8"?>
<ThreadedComments xmlns="http://schemas.microsoft.com/office/spreadsheetml/2018/threadedcomments" xmlns:x="http://schemas.openxmlformats.org/spreadsheetml/2006/main">
  <threadedComment ref="C1" dT="2020-06-20T19:55:49.92" personId="{E9AB3D0A-316B-AD4A-AF94-04839F2D6E82}" id="{FAF0E704-378A-5040-B92F-2C89BA395CD5}">
    <text>per Cleaning The Glass</text>
  </threadedComment>
  <threadedComment ref="W1" dT="2020-06-20T21:07:04.55" personId="{E9AB3D0A-316B-AD4A-AF94-04839F2D6E82}" id="{AC59C36C-2580-6243-ACF6-B86E105F240A}">
    <text>per Basketball Reference</text>
  </threadedComment>
  <threadedComment ref="T2" dT="2020-08-06T18:28:37.68" personId="{E9AB3D0A-316B-AD4A-AF94-04839F2D6E82}" id="{0500C166-B389-CE45-93D6-1E061F2873FE}">
    <text>Bird</text>
  </threadedComment>
  <threadedComment ref="S3" dT="2020-08-06T18:28:32.90" personId="{E9AB3D0A-316B-AD4A-AF94-04839F2D6E82}" id="{AAC7BD19-096A-9C42-89BC-0E497447845E}">
    <text>Bird</text>
  </threadedComment>
  <threadedComment ref="Q4" dT="2020-08-06T18:29:55.65" personId="{E9AB3D0A-316B-AD4A-AF94-04839F2D6E82}" id="{DD69CE99-E66D-A445-9556-4231CF2C83D1}">
    <text>$2,400,000 gt, fully gt on 6/29/21
Early Bird
$16,380,000 cap hold</text>
  </threadedComment>
  <threadedComment ref="R4" dT="2020-08-06T18:29:16.76" personId="{E9AB3D0A-316B-AD4A-AF94-04839F2D6E82}" id="{06369AC0-CBE4-864C-BE4E-75FAE4FAF071}">
    <text>Bird</text>
  </threadedComment>
  <threadedComment ref="Q5" dT="2020-08-06T18:30:38.78" personId="{E9AB3D0A-316B-AD4A-AF94-04839F2D6E82}" id="{34119DC7-08DB-F84D-A809-999F8F5D8C0B}">
    <text>OLD: 10/31/20 deadline</text>
  </threadedComment>
  <threadedComment ref="R5" dT="2020-08-06T18:31:10.17" personId="{E9AB3D0A-316B-AD4A-AF94-04839F2D6E82}" id="{A5F44A24-7489-0B40-ACF6-B52E0FC954B5}">
    <text>$14,762,309 QO
6/29/22 deadline
Bird</text>
  </threadedComment>
  <threadedComment ref="Q6" dT="2020-08-06T18:31:34.84" personId="{E9AB3D0A-316B-AD4A-AF94-04839F2D6E82}" id="{D211027D-D6D6-CC4F-BF50-9FA49690AC49}">
    <text>$10,740,105 QO
6/29/21 deadline
Bird</text>
  </threadedComment>
  <threadedComment ref="P7" dT="2020-08-06T18:27:52.41" personId="{E9AB3D0A-316B-AD4A-AF94-04839F2D6E82}" id="{A5B15EF2-4DCA-7547-B2A4-E26E8E1B962E}">
    <text>fully NG, fully gt on 10/17/20
Early Bird
$8,872,500 cap hold</text>
  </threadedComment>
  <threadedComment ref="Q7" dT="2020-08-06T18:28:25.99" personId="{E9AB3D0A-316B-AD4A-AF94-04839F2D6E82}" id="{EE8A2031-CB2B-FA4F-A244-6AEDD1A38D04}">
    <text>Bird</text>
  </threadedComment>
  <threadedComment ref="P8" dT="2020-08-06T18:27:30.71" personId="{E9AB3D0A-316B-AD4A-AF94-04839F2D6E82}" id="{55BADE78-791D-FE4C-B119-5C8FC2966544}">
    <text>10/15/20 deadline
Non Bird
$7,800,000 cap hold</text>
  </threadedComment>
  <threadedComment ref="Q8" dT="2020-08-06T18:32:05.16" personId="{E9AB3D0A-316B-AD4A-AF94-04839F2D6E82}" id="{BEC4D541-6B2E-7C47-8C09-CDC91EB682C5}">
    <text>Early Bird</text>
  </threadedComment>
  <threadedComment ref="Q9" dT="2020-08-06T18:32:13.39" personId="{E9AB3D0A-316B-AD4A-AF94-04839F2D6E82}" id="{1B4ECD49-0D2F-974A-8624-FFF832F0E6F9}">
    <text>Early Bird</text>
  </threadedComment>
  <threadedComment ref="Q10" dT="2020-08-06T18:33:06.08" personId="{E9AB3D0A-316B-AD4A-AF94-04839F2D6E82}" id="{CBD3A7C7-E7E7-5443-AE50-BAB51CEFC44D}">
    <text xml:space="preserve">fully NG, fully gt on 7/15/21
Early Bird RFA
min cap hold
</text>
  </threadedComment>
  <threadedComment ref="R10" dT="2020-08-06T18:33:32.17" personId="{E9AB3D0A-316B-AD4A-AF94-04839F2D6E82}" id="{4A399090-2F0D-4549-88C3-8D6DE24E7B8E}">
    <text>$2,228,276 QO
Bird</text>
  </threadedComment>
  <threadedComment ref="P18" dT="2020-08-06T18:18:40.88" personId="{E9AB3D0A-316B-AD4A-AF94-04839F2D6E82}" id="{EA8C9A82-0BE7-4C4A-BAB9-727C2D37BB11}">
    <text>Bird</text>
  </threadedComment>
  <threadedComment ref="P19" dT="2020-08-06T18:19:04.04" personId="{E9AB3D0A-316B-AD4A-AF94-04839F2D6E82}" id="{3831C08F-C9DB-D349-88E1-F0F4C061C8D0}">
    <text>$10,661,733 QO
10/17/20 deadline
Bird</text>
  </threadedComment>
  <threadedComment ref="P20" dT="2020-08-06T18:19:10.19" personId="{E9AB3D0A-316B-AD4A-AF94-04839F2D6E82}" id="{1522C2A1-1FAD-4D43-89EC-0D27DB500E9E}">
    <text>Early Bird</text>
  </threadedComment>
  <threadedComment ref="P21" dT="2020-08-06T18:19:15.87" personId="{E9AB3D0A-316B-AD4A-AF94-04839F2D6E82}" id="{7125CB3D-0740-494F-8AB2-E0D4AA7846FB}">
    <text>Early Bird</text>
  </threadedComment>
  <threadedComment ref="P22" dT="2020-08-06T18:19:27.35" personId="{E9AB3D0A-316B-AD4A-AF94-04839F2D6E82}" id="{6550593E-A43E-674D-BD5E-DD4FA3D5E9F5}">
    <text>CANNOT PAY MORE THAN THIS AMOUNT</text>
  </threadedComment>
  <threadedComment ref="P23" dT="2020-06-23T23:33:50.84" personId="{E9AB3D0A-316B-AD4A-AF94-04839F2D6E82}" id="{C33AE6D6-C698-C54A-A976-F08379DB3728}">
    <text>Non Bird</text>
  </threadedComment>
  <threadedComment ref="P24" dT="2020-08-06T18:37:23.40" personId="{E9AB3D0A-316B-AD4A-AF94-04839F2D6E82}" id="{913B8265-672F-4747-8C73-4F751A2BA7E9}">
    <text>2W qualifying offer
Non Bird</text>
  </threadedComment>
  <threadedComment ref="P28" dT="2020-08-26T03:10:00.29" personId="{E9AB3D0A-316B-AD4A-AF94-04839F2D6E82}" id="{BC7B7EC4-BA42-924C-9AE3-2EC9BBADD6C8}">
    <text>7 players: Buddy Hield / Harrison Barnes / Cory Joseph / Marvin Bagley / De’Aaron Fox / Richaun Holmes / Justin James
2020 1st (projected #12)
2020 DET 2nd (projected #35)
2020 2nd (projected #42)
2020 MIA 2nd (projected #53)
Jabari Parker (PO)
Nemanja Bjelica (NG)
Kent Bazemore
Bogdan Bogdanovic (RFA)
Alex Len
Yogi Ferrell
Harry Giles
Cory Brewer
Daquan Jeffries</text>
  </threadedComment>
  <threadedComment ref="P29" dT="2020-08-06T18:24:13.04" personId="{E9AB3D0A-316B-AD4A-AF94-04839F2D6E82}" id="{F02CD10A-24C4-E84F-B3D0-07EA10DD9802}">
    <text>8 players: Buddy Hield / Harrison Barnes / Cory Joseph / Marvin Bagley / De’Aaron Fox / Jabari Parker (PO) / Richaun Holmes / Justin James
2020 1st (projected #12)
2020 DET 2nd (projected #35)
2020 2nd (projected #42)
2020 MIA 2nd (projected #53)
Nemanja Bjelica (NG)
Kent Bazemore
Bogdan Bogdanovic (RFA)
Alex Len
Yogi Ferrell
Harry Giles
Cory Brewer
Daquan Jeffries</text>
  </threadedComment>
  <threadedComment ref="P30" dT="2020-08-06T18:25:28.72" personId="{E9AB3D0A-316B-AD4A-AF94-04839F2D6E82}" id="{EE87787B-80FC-BF49-90D6-8BFD4B7F520D}">
    <text>9 players: Buddy Hield / Harrison Barnes / Cory Joseph / Marvin Bagley / De’Aaron Fox / Nemanja Bjelica (NG) / Jabari Parker (PO) / Richaun Holmes / Justin James
2020 1st (projected #12)
2020 DET 2nd (projected #35)
2020 2nd (projected #42)
2020 MIA 2nd (projected #53)
Kent Bazemore
Bogdan Bogdanovic (RFA)
Alex Len
Yogi Ferrell
Harry Giles
Cory Brewer
Daquan Jeffries</text>
  </threadedComment>
</ThreadedComments>
</file>

<file path=xl/threadedComments/threadedComment27.xml><?xml version="1.0" encoding="utf-8"?>
<ThreadedComments xmlns="http://schemas.microsoft.com/office/spreadsheetml/2018/threadedcomments" xmlns:x="http://schemas.openxmlformats.org/spreadsheetml/2006/main">
  <threadedComment ref="C1" dT="2020-06-20T19:55:49.92" personId="{E9AB3D0A-316B-AD4A-AF94-04839F2D6E82}" id="{D3B104FD-F475-C444-9EED-C061EDE0F90F}">
    <text>per Cleaning The Glass</text>
  </threadedComment>
  <threadedComment ref="W1" dT="2020-06-20T21:07:04.55" personId="{E9AB3D0A-316B-AD4A-AF94-04839F2D6E82}" id="{8E0CAE03-D8AE-074E-816D-171E99E0C74D}">
    <text>per Basketball Reference</text>
  </threadedComment>
  <threadedComment ref="P2" dT="2020-08-09T23:27:47.13" personId="{E9AB3D0A-316B-AD4A-AF94-04839F2D6E82}" id="{D89C3520-B2EA-2141-BE3C-AFA5899192F3}">
    <text>NEW: 10/13/20 deadline
Max cap hold
Bird</text>
  </threadedComment>
  <threadedComment ref="P7" dT="2020-08-09T23:29:34.55" personId="{E9AB3D0A-316B-AD4A-AF94-04839F2D6E82}" id="{3B1307C2-8F64-554A-B666-3C7D9D95B87D}">
    <text>NEW: $1,000,000 gt, fully gt on 10/18/20
If waived, Non Bird UFA
$6,600,000 cap hold</text>
  </threadedComment>
  <threadedComment ref="P11" dT="2020-06-25T20:51:37.38" personId="{E9AB3D0A-316B-AD4A-AF94-04839F2D6E82}" id="{3BDEC0A9-2231-F44F-BA21-BAA144C326E3}">
    <text>OLD: fully NG, fully gt on 1/10/21
If waived, Non Bird</text>
  </threadedComment>
  <threadedComment ref="P13" dT="2020-08-09T23:30:05.34" personId="{E9AB3D0A-316B-AD4A-AF94-04839F2D6E82}" id="{F7C35161-F381-1644-93B7-D880499851FE}">
    <text>OLD: fully NG, fully gt on 8/1/20</text>
  </threadedComment>
  <threadedComment ref="P18" dT="2020-08-09T23:24:00.79" personId="{E9AB3D0A-316B-AD4A-AF94-04839F2D6E82}" id="{D8155CF3-FA85-144F-BDE6-DEC718E8A30A}">
    <text>$5,087,871 QO
NEW: 10/17/20 deadline
Bird</text>
  </threadedComment>
  <threadedComment ref="P19" dT="2020-08-09T23:24:08.05" personId="{E9AB3D0A-316B-AD4A-AF94-04839F2D6E82}" id="{A23B3135-7712-F748-B096-7C48C5B70BB8}">
    <text>Early Bird</text>
  </threadedComment>
  <threadedComment ref="P20" dT="2020-08-09T23:24:13.65" personId="{E9AB3D0A-316B-AD4A-AF94-04839F2D6E82}" id="{668A6DFC-A2A5-E542-9B2F-58C9267CFAA9}">
    <text>Bryn Forbes</text>
  </threadedComment>
  <threadedComment ref="P25" dT="2020-08-09T23:21:43.47" personId="{E9AB3D0A-316B-AD4A-AF94-04839F2D6E82}" id="{6B767B98-D95C-5C46-892E-6E4CF578C5F7}">
    <text>8 players: LaMarcus Aldridge / Rudy Gay / Dejounte Murray / Patty Mills / Derrick White / Lonnie Walker / Luka Samanic / Keldon Johnson
2020 1st (projected #11)
2020 2nd (projected #41)
DeMar DeRozan (PO)
Trey Lyles (PG)
Tyler Zeller (NG)
Chimezie Metu (NG)
Jakob Poeltl (RFA)
Marco Belinelli (UFA, Early Bird)
Bryn Forbes (UFA, Bird)
Drew Eubanks
Quindary Weatherspoon</text>
  </threadedComment>
  <threadedComment ref="P26" dT="2020-08-09T23:37:05.63" personId="{E9AB3D0A-316B-AD4A-AF94-04839F2D6E82}" id="{3AFA01BA-A1B1-4B46-9878-1ACD08860A81}">
    <text>9 players: DeMar DeRozan (PO) / LaMarcus Aldridge / Rudy Gay / Dejounte Murray / Patty Mills / Derrick White / Lonnie Walker / Luka Samanic / Keldon Johnson
2020 1st (projected #11)
2020 2nd (projected #41)
Trey Lyles (PG)
Tyler Zeller (NG)
Chimezie Metu (NG)
Jakob Poeltl (RFA)
Marco Belinelli (UFA, Early Bird)
Bryn Forbes (UFA, Bird)
Drew Eubanks
Quindary Weatherspoon</text>
  </threadedComment>
  <threadedComment ref="P27" dT="2020-08-09T23:38:01.65" personId="{E9AB3D0A-316B-AD4A-AF94-04839F2D6E82}" id="{C5215AA2-B53F-6144-B4CB-6B00647DBF7E}">
    <text>12 players: DeMar DeRozan (PO) / LaMarcus Aldridge / Rudy Gay / Dejounte Murray / Patty Mills / Trey Lyles (PG) / Derrick White / Lonnie Walker / Luka Samanic / Tyler Zeller (NG) / Keldon Johnson / Chimezie Metu (NG)
2020 1st (projected #11)
2020 2nd (projected #41)
Jakob Poeltl (RFA)
Marco Belinelli (UFA, Early Bird)
Bryn Forbes (UFA, Bird)
Drew Eubanks
Quindary Weatherspoon</text>
  </threadedComment>
</ThreadedComments>
</file>

<file path=xl/threadedComments/threadedComment28.xml><?xml version="1.0" encoding="utf-8"?>
<ThreadedComments xmlns="http://schemas.microsoft.com/office/spreadsheetml/2018/threadedcomments" xmlns:x="http://schemas.openxmlformats.org/spreadsheetml/2006/main">
  <threadedComment ref="C1" dT="2020-06-20T19:55:49.92" personId="{E9AB3D0A-316B-AD4A-AF94-04839F2D6E82}" id="{6765AA5E-E77F-1542-8274-1805F94C6820}">
    <text>per Cleaning The Glass</text>
  </threadedComment>
  <threadedComment ref="W1" dT="2020-06-20T21:07:04.55" personId="{E9AB3D0A-316B-AD4A-AF94-04839F2D6E82}" id="{FCC16F38-B83C-8A40-9701-47F894E8F89E}">
    <text>per Basketball Reference</text>
  </threadedComment>
  <threadedComment ref="Q6" dT="2020-08-30T16:55:22.66" personId="{E9AB3D0A-316B-AD4A-AF94-04839F2D6E82}" id="{28F89657-DEC9-3F45-BF15-0DC4FB276D7F}">
    <text>$5,634,073 QO
6/29/21 deadline
Extension eligible first day of offseason through first game of 20-21 season</text>
  </threadedComment>
  <threadedComment ref="P8" dT="2020-08-30T16:40:21.86" personId="{E9AB3D0A-316B-AD4A-AF94-04839F2D6E82}" id="{FAB69FAF-0311-8F4F-BF4B-22A31B752EE7}">
    <text>$725,000 gt
1/10/21 gt date (revised date TBD)</text>
  </threadedComment>
  <threadedComment ref="P9" dT="2020-08-30T16:38:16.58" personId="{E9AB3D0A-316B-AD4A-AF94-04839F2D6E82}" id="{C099DE51-D476-6843-86D0-55BD282BE94A}">
    <text>7/1/20 gt date (revised date TBD)
If waived, Non Bird
Min cap hold</text>
  </threadedComment>
  <threadedComment ref="Q9" dT="2020-08-30T16:38:22.54" personId="{E9AB3D0A-316B-AD4A-AF94-04839F2D6E82}" id="{D0869557-B29B-C44B-8915-5C3F3704E6EF}">
    <text>Early Bird</text>
  </threadedComment>
  <threadedComment ref="P10" dT="2020-08-30T16:39:00.50" personId="{E9AB3D0A-316B-AD4A-AF94-04839F2D6E82}" id="{8D8D266B-E03D-AC49-8CB5-4D0EC2B93C13}">
    <text>6/30/20 gt date (revised date TBD)</text>
  </threadedComment>
  <threadedComment ref="Q10" dT="2020-08-30T16:39:12.94" personId="{E9AB3D0A-316B-AD4A-AF94-04839F2D6E82}" id="{72A578A6-AAD2-974D-B2F0-144E1A39EADC}">
    <text>6/30/21 gt date</text>
  </threadedComment>
  <threadedComment ref="R10" dT="2020-08-30T16:39:19.50" personId="{E9AB3D0A-316B-AD4A-AF94-04839F2D6E82}" id="{617320B9-0FDA-0A4C-8FC2-DCD768AFD5B9}">
    <text>Bird</text>
  </threadedComment>
  <threadedComment ref="P26" dT="2020-08-30T16:43:31.55" personId="{E9AB3D0A-316B-AD4A-AF94-04839F2D6E82}" id="{456827D5-4B40-B44F-AC43-F689AC0834FA}">
    <text>5 players: Kyle Lowry / Pascal Siakam / Norman Powell / Patrick McCaw / O.G. Anunoby
2020 1st (#29)
2020 2nd (#59)
Stanley Johnson (PO)
Matt Thomas (PG)
Terence Davis III (NG)
Dewan Hernandez (NG)
Marc Gasol (Bird)
Serge Ibaka (Bird)
Fred VanVleet (Bird)
Rondae Hollis-Jefferson (NB)
Chris Boucher (EB RFA)
Malcolm Miller (Bird RFA)
O’Shae Brissett (2W RFA)
Paul Watson (2W RFA)</text>
  </threadedComment>
  <threadedComment ref="P27" dT="2020-08-30T16:44:43.82" personId="{E9AB3D0A-316B-AD4A-AF94-04839F2D6E82}" id="{CEA3F3EF-6394-1B42-8F33-078620FB114A}">
    <text>6 players: Kyle Lowry / Pascal Siakam / Norman Powell / Patrick McCaw / O.G. Anunoby / Stanley Johnson (PO)
2020 1st (#29)
2020 2nd (#59)
Matt Thomas (PG)
Terence Davis III (NG)
Dewan Hernandez (NG)
Marc Gasol (Bird)
Serge Ibaka (Bird)
Fred VanVleet (Bird)
Rondae Hollis-Jefferson (NB)
Chris Boucher (EB RFA)
Malcolm Miller (Bird RFA)
O’Shae Brissett (2W RFA)
Paul Watson (2W RFA)</text>
  </threadedComment>
  <threadedComment ref="P28" dT="2020-08-30T16:45:24.37" personId="{E9AB3D0A-316B-AD4A-AF94-04839F2D6E82}" id="{8505249A-C690-8F4F-B2E5-3C5044ECB4DA}">
    <text>9 players: Kyle Lowry / Pascal Siakam / Norman Powell / Patrick McCaw / O.G. Anunoby / Stanley Johnson (PO) / Matt Thomas (PG) / Terence Davis III (NG) / Dewan Hernandez (NG)
2020 1st (#29)
2020 2nd (#59)
Marc Gasol (Bird)
Serge Ibaka (Bird)
Fred VanVleet (Bird)
Rondae Hollis-Jefferson (NB)
Chris Boucher (EB RFA)
Malcolm Miller (Bird RFA)
O’Shae Brissett (2W RFA)
Paul Watson (2W RFA)</text>
  </threadedComment>
</ThreadedComments>
</file>

<file path=xl/threadedComments/threadedComment29.xml><?xml version="1.0" encoding="utf-8"?>
<ThreadedComments xmlns="http://schemas.microsoft.com/office/spreadsheetml/2018/threadedcomments" xmlns:x="http://schemas.openxmlformats.org/spreadsheetml/2006/main">
  <threadedComment ref="C1" dT="2020-06-20T19:55:49.92" personId="{E9AB3D0A-316B-AD4A-AF94-04839F2D6E82}" id="{F3E01780-7BF4-4049-8B1C-717F9B1D33AD}">
    <text>per Cleaning The Glass</text>
  </threadedComment>
  <threadedComment ref="W1" dT="2020-06-20T21:07:04.55" personId="{E9AB3D0A-316B-AD4A-AF94-04839F2D6E82}" id="{F47B3C57-985F-644E-8326-668ED14641A1}">
    <text>per Basketball Reference</text>
  </threadedComment>
  <threadedComment ref="S6" dT="2020-08-25T23:24:21.85" personId="{E9AB3D0A-316B-AD4A-AF94-04839F2D6E82}" id="{C2DB6558-3810-6841-90C1-786E5BAB155F}">
    <text>7/10/23 gt date</text>
  </threadedComment>
  <threadedComment ref="P10" dT="2020-08-25T23:25:39.48" personId="{E9AB3D0A-316B-AD4A-AF94-04839F2D6E82}" id="{83EBCC29-4352-B14A-A718-0E984F4C981A}">
    <text>7/9/20 gt date (revised date TBD)</text>
  </threadedComment>
  <threadedComment ref="P11" dT="2020-08-25T23:26:28.16" personId="{E9AB3D0A-316B-AD4A-AF94-04839F2D6E82}" id="{8481B63A-E221-CE40-8B65-18485CED28E8}">
    <text>1/10/21 gt date (revised date TBD)</text>
  </threadedComment>
  <threadedComment ref="P12" dT="2020-08-25T23:27:11.35" personId="{E9AB3D0A-316B-AD4A-AF94-04839F2D6E82}" id="{A6C5C2B9-E229-254A-B928-1A69060FA3E8}">
    <text>1/10/21 gt date (revised date TBD)</text>
  </threadedComment>
  <threadedComment ref="P13" dT="2020-08-25T23:28:35.77" personId="{E9AB3D0A-316B-AD4A-AF94-04839F2D6E82}" id="{51863912-BE77-9C48-9C9B-46E8820F974D}">
    <text>1/10/21 gt date (revised date TBD)</text>
  </threadedComment>
  <threadedComment ref="P14" dT="2020-08-25T23:29:15.65" personId="{E9AB3D0A-316B-AD4A-AF94-04839F2D6E82}" id="{790258BA-480E-8B47-8F00-886C62FCCCE8}">
    <text>$340,000 gt
7/22/20 gt date, revised date TBD</text>
  </threadedComment>
  <threadedComment ref="P18" dT="2020-08-25T23:08:16.44" personId="{E9AB3D0A-316B-AD4A-AF94-04839F2D6E82}" id="{684AA03A-B4FC-0D49-8BB7-9B614F60E743}">
    <text>Bird</text>
  </threadedComment>
  <threadedComment ref="P19" dT="2020-08-25T23:08:21.62" personId="{E9AB3D0A-316B-AD4A-AF94-04839F2D6E82}" id="{46C0FA72-3FCF-A14B-9727-D8737B52B526}">
    <text>Non Bird</text>
  </threadedComment>
  <threadedComment ref="P20" dT="2020-08-25T23:08:26.97" personId="{E9AB3D0A-316B-AD4A-AF94-04839F2D6E82}" id="{17897B29-F49B-E042-A27E-025E9C9971A7}">
    <text>2W RFA</text>
  </threadedComment>
  <threadedComment ref="P21" dT="2020-08-25T23:08:26.97" personId="{E9AB3D0A-316B-AD4A-AF94-04839F2D6E82}" id="{31927F29-7F48-F641-9356-23AC60CBACCC}">
    <text>2W RFA</text>
  </threadedComment>
  <threadedComment ref="P25" dT="2020-08-25T23:11:30.73" personId="{E9AB3D0A-316B-AD4A-AF94-04839F2D6E82}" id="{3E55BFF0-099A-4548-AE2F-4EE08958987A}">
    <text>7 players: Rudy Gobert / Bojan Bogdanovic / Joe Ingles / Royce O’Neale / Ed Davis / Donovan Mitchell / Tony Bradley
2020 1st (#23)
Mike Conley (ETO)
Jordan Clarkson (Bird)
Emmanuel Mudiay (Non Bird)
Georges Niang (NG)
Rayjon Tucker (PG)
Miye Oni (NG)
Juwan Morgan (NG)
Nigel Williams-Goss (NG)
Justin Wright-Foreman (2W RFA)
Jarrell Brantley (2W RFA)</text>
  </threadedComment>
  <threadedComment ref="P26" dT="2020-08-25T23:11:45.08" personId="{E9AB3D0A-316B-AD4A-AF94-04839F2D6E82}" id="{FA9CA3E7-0ECF-B64D-9045-904201604935}">
    <text>8 players: Mike Conley / Rudy Gobert / Bojan Bogdanovic / Joe Ingles / Royce O’Neale / Ed Davis / Donovan Mitchell / Tony Bradley
2020 1st (#23)
Jordan Clarkson (Bird)
Emmanuel Mudiay (Non Bird)
Georges Niang (NG)
Rayjon Tucker (PG)
Miye Oni (NG)
Juwan Morgan (NG)
Nigel Williams-Goss (NG)
Justin Wright-Foreman (2W RFA)
Jarrell Brantley (2W RFA)</text>
  </threadedComment>
  <threadedComment ref="P27" dT="2020-08-25T23:12:39.04" personId="{E9AB3D0A-316B-AD4A-AF94-04839F2D6E82}" id="{11E4C211-046E-144F-8975-11956B79108C}">
    <text>13 players: Mike Conley / Rudy Gobert / Bojan Bogdanovic / Joe Ingles / Royce O’Neale / Ed Davis / Donovan Mitchell / Tony Bradley / Georges Niang (NG) / Rayjon Tucker (PG) / Miye Oni (NG) / Nigel Williams-Goss (NG) / Juwan Morgan (NG)
2020 1st (#23)
Jordan Clarkson (Bird)
Emmanuel Mudiay (Non Bird)
Justin Wright-Foreman (2W RFA)
Jarrell Brantley (2W RFA)</text>
  </threadedComment>
  <threadedComment ref="P28" dT="2020-08-25T23:14:55.42" personId="{E9AB3D0A-316B-AD4A-AF94-04839F2D6E82}" id="{2B29DE7E-3A59-6F4B-97B3-D8BD852F7AD4}">
    <text>12 players: Mike Conley / Rudy Gobert / Bojan Bogdanovic / Joe Ingles / Royce O’Neale / Ed Davis / Donovan Mitchell / Tony Bradley / Georges Niang (NG) / Rayjon Tucker (PG) / Miye Oni (NG) / Juwan Morgan (NG)
2020 1st (#23)
Jordan Clarkson (Bird)
Emmanuel Mudiay (Non Bird)
Nigel Williams-Goss (NG)
Justin Wright-Foreman (2W RFA)
Jarrell Brantley (2W RFA)</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0-06-20T19:55:49.92" personId="{E9AB3D0A-316B-AD4A-AF94-04839F2D6E82}" id="{0A06010C-84CB-E747-81E2-F93017BD084F}">
    <text>per Cleaning The Glass</text>
  </threadedComment>
  <threadedComment ref="W1" dT="2020-06-20T21:07:04.55" personId="{E9AB3D0A-316B-AD4A-AF94-04839F2D6E82}" id="{7009C189-0131-FB43-B15E-DE5BC4C1AD0E}">
    <text>per Basketball Reference</text>
  </threadedComment>
  <threadedComment ref="R2" dT="2020-06-20T21:18:37.93" personId="{E9AB3D0A-316B-AD4A-AF94-04839F2D6E82}" id="{D6EAD2F0-820F-4249-B295-A3B52B129D4D}">
    <text>$45,937,500 cap hold
Bird</text>
  </threadedComment>
  <threadedComment ref="S2" dT="2020-06-20T21:34:00.97" personId="{E9AB3D0A-316B-AD4A-AF94-04839F2D6E82}" id="{E55C5748-2A1E-234D-8EB9-50F1A41DF1E1}">
    <text>Bird</text>
  </threadedComment>
  <threadedComment ref="R3" dT="2020-06-20T21:19:54.89" personId="{E9AB3D0A-316B-AD4A-AF94-04839F2D6E82}" id="{54DDCEC7-34D2-DA4E-932A-BE3EE892684B}">
    <text>$45,937,500 cap hold
Bird</text>
  </threadedComment>
  <threadedComment ref="S3" dT="2020-06-20T21:34:06.22" personId="{E9AB3D0A-316B-AD4A-AF94-04839F2D6E82}" id="{F44D2850-2824-6C4B-93E7-A62A93C72923}">
    <text>Bird</text>
  </threadedComment>
  <threadedComment ref="S4" dT="2020-06-21T01:53:51.29" personId="{E9AB3D0A-316B-AD4A-AF94-04839F2D6E82}" id="{D85EA0C9-FD9A-F843-A8CB-F07A29CA6727}">
    <text>Bird</text>
  </threadedComment>
  <threadedComment ref="R5" dT="2020-06-21T01:53:45.73" personId="{E9AB3D0A-316B-AD4A-AF94-04839F2D6E82}" id="{84CF9EEB-D34F-4D4E-8332-FECB982BD849}">
    <text>Bird</text>
  </threadedComment>
  <threadedComment ref="Q6" dT="2020-06-20T22:17:31.88" personId="{E9AB3D0A-316B-AD4A-AF94-04839F2D6E82}" id="{DB2F42E5-9102-CE44-B14B-CD8EA6B44A2E}">
    <text>$17,181,072 cap hold
Bird</text>
  </threadedComment>
  <threadedComment ref="R6" dT="2020-06-20T22:17:37.55" personId="{E9AB3D0A-316B-AD4A-AF94-04839F2D6E82}" id="{A535C1F8-99A7-8D41-91FD-036E392A8BA0}">
    <text>Bird</text>
  </threadedComment>
  <threadedComment ref="S7" dT="2020-06-20T22:17:44.17" personId="{E9AB3D0A-316B-AD4A-AF94-04839F2D6E82}" id="{F84DD596-AAD6-A149-B7C7-6AA9BC900086}">
    <text>Bird</text>
  </threadedComment>
  <threadedComment ref="P8" dT="2020-06-20T22:18:49.23" personId="{E9AB3D0A-316B-AD4A-AF94-04839F2D6E82}" id="{A5759D19-B4AE-E14E-9F0D-99049B195926}">
    <text xml:space="preserve">NEW: 10/17/20 deadline
If declined, Non Bird UFA
$5,720,400 cap hold
</text>
  </threadedComment>
  <threadedComment ref="Q8" dT="2020-06-20T22:19:00.34" personId="{E9AB3D0A-316B-AD4A-AF94-04839F2D6E82}" id="{7DEC9E51-0D74-A243-A158-B33A6BC08FF0}">
    <text>Early Bird</text>
  </threadedComment>
  <threadedComment ref="Q9" dT="2020-06-21T01:55:31.57" personId="{E9AB3D0A-316B-AD4A-AF94-04839F2D6E82}" id="{CBF98C93-3BF4-7948-B13F-C65E6A61E14A}">
    <text>$5,661,538 QO</text>
  </threadedComment>
  <threadedComment ref="R10" dT="2020-06-21T01:55:48.46" personId="{E9AB3D0A-316B-AD4A-AF94-04839F2D6E82}" id="{2C1946FB-7DFA-3340-8FD5-BCBBA85DD47A}">
    <text>$5,422,581 QO</text>
  </threadedComment>
  <threadedComment ref="P11" dT="2020-06-21T02:08:05.06" personId="{E9AB3D0A-316B-AD4A-AF94-04839F2D6E82}" id="{C30E17B9-2327-0B47-B40F-AA7CE6BA0A8B}">
    <text>fully NG, $150,000 gt on 8/1/20 (revised date TBD), $250,000 gt if on opening night roster, fully gt on 1/10/21 (revised date TBD)
If waived, Non Bird UFA</text>
  </threadedComment>
  <threadedComment ref="Q11" dT="2020-06-21T02:08:15.83" personId="{E9AB3D0A-316B-AD4A-AF94-04839F2D6E82}" id="{1626FC60-958C-8342-800B-839F829979F1}">
    <text>Early Bird</text>
  </threadedComment>
  <threadedComment ref="Q12" dT="2020-06-21T01:56:27.51" personId="{E9AB3D0A-316B-AD4A-AF94-04839F2D6E82}" id="{24CE887B-B656-4344-95B4-7F9A14D8E18C}">
    <text>If declined, Bird RFA
$2,225,190 QO</text>
  </threadedComment>
  <threadedComment ref="R12" dT="2020-06-21T01:57:24.45" personId="{E9AB3D0A-316B-AD4A-AF94-04839F2D6E82}" id="{F0F836A2-F3FF-AC4B-92A9-39B46C9CDEFF}">
    <text>Bird</text>
  </threadedComment>
  <threadedComment ref="R13" dT="2020-06-21T02:02:33.71" personId="{E9AB3D0A-316B-AD4A-AF94-04839F2D6E82}" id="{5262DDFE-6CFF-524E-BB8B-17EDAB739227}">
    <text>$2,228,276 QO
Bird</text>
  </threadedComment>
  <threadedComment ref="P19" dT="2020-06-20T22:18:28.31" personId="{E9AB3D0A-316B-AD4A-AF94-04839F2D6E82}" id="{41038FB6-BEB0-FE4C-AB17-3A87EF3BE9A2}">
    <text>Bird</text>
  </threadedComment>
  <threadedComment ref="P20" dT="2020-06-21T01:57:38.75" personId="{E9AB3D0A-316B-AD4A-AF94-04839F2D6E82}" id="{FBE5962E-9228-D049-B201-AA00EC1526C9}">
    <text>Non Bird</text>
  </threadedComment>
  <threadedComment ref="P21" dT="2020-06-21T01:57:38.75" personId="{E9AB3D0A-316B-AD4A-AF94-04839F2D6E82}" id="{9DBADD33-AE2E-9D43-A491-059F161D639F}">
    <text>Non Bird</text>
  </threadedComment>
  <threadedComment ref="Y21" dT="2020-06-24T03:10:37.28" personId="{E9AB3D0A-316B-AD4A-AF94-04839F2D6E82}" id="{B83A8DD0-B54A-DF40-9318-5CBC1D29EC44}">
    <text>all w/ PHX</text>
  </threadedComment>
  <threadedComment ref="P22" dT="2020-06-21T02:05:00.18" personId="{E9AB3D0A-316B-AD4A-AF94-04839F2D6E82}" id="{BAE3F19C-3A48-B448-8F81-FE1A6AAB1C99}">
    <text>2W RFA
Non Bird</text>
  </threadedComment>
  <threadedComment ref="P30" dT="2020-06-21T02:10:35.31" personId="{E9AB3D0A-316B-AD4A-AF94-04839F2D6E82}" id="{6C23A5F6-A257-4249-B326-D16769EA9ADE}">
    <text>11 players: Kevin Durant / Kyrie Irving / Caris LeVert / Taurean Prince / Spencer Dinwiddie / DeAndre Jordan / Jarrett Allen / Dzanan Musa / Rodions Kurucs / Nic Claxton / Jeremiah Martin
2020 PHI 1st (#19)
2020 DEN 2nd (#55)
Joe Harris (Bird UFA)
Garrett Temple (TO)
Timothe Luwawu-Cabarrot (NG)
Wilson Chandler (NB UFA)
Tyler Johnson
Justin Anderson
Donta Hall
Lance Thomas
Jamal Crawford
Chris Chiozza (2W RFA)</text>
  </threadedComment>
  <threadedComment ref="P31" dT="2020-06-21T02:11:16.85" personId="{E9AB3D0A-316B-AD4A-AF94-04839F2D6E82}" id="{37879F89-026C-5C49-B973-D287BEAC9923}">
    <text>13 players: Kevin Durant / Kyrie Irving / Caris LeVert / Taurean Prince / Spencer Dinwiddie / DeAndre Jordan / Garrett Temple (TO) / Jarrett Allen / Dzanan Musa / Timothe Luwawu-Cabarrot (NG) / Rodions Kurucs / Nic Claxton / Jeremiah Martin
2020 PHI 1st (#19)
2020 DEN 2nd (#55)
Joe Harris (Bird UFA)
Wilson Chandler (NB UFA)
Tyler Johnson
Justin Anderson
Donta Hall
Lance Thomas
Jamal Crawford
Chris Chiozza (2W RFA)</text>
  </threadedComment>
</ThreadedComments>
</file>

<file path=xl/threadedComments/threadedComment30.xml><?xml version="1.0" encoding="utf-8"?>
<ThreadedComments xmlns="http://schemas.microsoft.com/office/spreadsheetml/2018/threadedcomments" xmlns:x="http://schemas.openxmlformats.org/spreadsheetml/2006/main">
  <threadedComment ref="C1" dT="2020-06-20T19:55:49.92" personId="{E9AB3D0A-316B-AD4A-AF94-04839F2D6E82}" id="{A1880E68-AA42-4B42-BD29-A2E5258D42F7}">
    <text>per Cleaning The Glass</text>
  </threadedComment>
  <threadedComment ref="W1" dT="2020-06-20T21:07:04.55" personId="{E9AB3D0A-316B-AD4A-AF94-04839F2D6E82}" id="{251435DA-6ED6-FC48-A7BA-0F3DDDC57BED}">
    <text>per Basketball Reference</text>
  </threadedComment>
  <threadedComment ref="P27" dT="2020-08-31T19:44:02.19" personId="{E9AB3D0A-316B-AD4A-AF94-04839F2D6E82}" id="{BD839E84-DCB7-7F49-8490-C6AAEFD301D5}">
    <text>9 players: John Wall / Bradley Beal / Thomas Bryant / Ish Smith / Rui Hachimura / Jerome Robinson / Troy Brown Jr / Mo Wagner / Admiral Schofield
2020 1st (#9)
2020 CHI 2nd (#37)
Isaac Bonga (NG)
Anzejs Pasecniks (NG)
Ian Mahinmi (Bird)
Davis Bertans (Bird)
Shabazz Napier
Gary Payton II
Garrison Matthews
Jonathan Williams
Jerian Grant
Jared Uthoff</text>
  </threadedComment>
  <threadedComment ref="P28" dT="2020-08-31T19:44:25.60" personId="{E9AB3D0A-316B-AD4A-AF94-04839F2D6E82}" id="{9A87CFE4-A209-C24B-97EB-371F4DF320BB}">
    <text>11 players: John Wall / Bradley Beal / Thomas Bryant / Ish Smith / Rui Hachimura / Jerome Robinson / Troy Brown Jr / Mo Wagner / Isaac Bonga (NG) / Admiral Schofield / Anzejs Pasecniks (NG)
2020 1st (#9)
2020 CHI 2nd (#37)
Ian Mahinmi (Bird)
Davis Bertans (Bird)
Shabazz Napier
Gary Payton II
Garrison Matthews
Jonathan Williams
Jerian Grant
Jared Uthoff</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0-06-20T19:55:49.92" personId="{E9AB3D0A-316B-AD4A-AF94-04839F2D6E82}" id="{9FE5090C-C772-DB48-B9C4-C3136601F012}">
    <text>per Cleaning The Glass</text>
  </threadedComment>
  <threadedComment ref="W1" dT="2020-06-20T21:07:04.55" personId="{E9AB3D0A-316B-AD4A-AF94-04839F2D6E82}" id="{F9A0D5D7-F650-5549-96EE-33B718D560BA}">
    <text>per Basketball Reference</text>
  </threadedComment>
  <threadedComment ref="P2" dT="2020-06-21T02:49:44.12" personId="{E9AB3D0A-316B-AD4A-AF94-04839F2D6E82}" id="{6D50E042-78C8-194E-B44B-4FC8BE1F8C7A}">
    <text>NEW: 10/17/20 deadline
$38,347,826 cap hold
Bird</text>
  </threadedComment>
  <threadedComment ref="Q2" dT="2020-06-21T02:50:09.63" personId="{E9AB3D0A-316B-AD4A-AF94-04839F2D6E82}" id="{C6101677-97DB-A247-B0AB-34AFAD8773DB}">
    <text>Bird</text>
  </threadedComment>
  <threadedComment ref="R3" dT="2020-06-21T02:53:14.12" personId="{E9AB3D0A-316B-AD4A-AF94-04839F2D6E82}" id="{25276FA2-1136-0740-944C-DB69721BAE68}">
    <text>Bird</text>
  </threadedComment>
  <threadedComment ref="Q4" dT="2020-06-21T02:57:44.47" personId="{E9AB3D0A-316B-AD4A-AF94-04839F2D6E82}" id="{46A7E3F8-E7B5-4D4C-8CA7-179174DCB278}">
    <text>Bird</text>
  </threadedComment>
  <threadedComment ref="Q5" dT="2020-06-21T20:17:19.01" personId="{E9AB3D0A-316B-AD4A-AF94-04839F2D6E82}" id="{1641778E-FBFF-4847-B005-05CF63014778}">
    <text>$7,318,246 QO</text>
  </threadedComment>
  <threadedComment ref="S6" dT="2020-06-21T20:17:31.02" personId="{E9AB3D0A-316B-AD4A-AF94-04839F2D6E82}" id="{D502AAE4-5EB0-944D-AF28-5AB1E49B7AF0}">
    <text>$7.992,407 QO</text>
  </threadedComment>
  <threadedComment ref="R7" dT="2020-06-21T20:18:41.72" personId="{E9AB3D0A-316B-AD4A-AF94-04839F2D6E82}" id="{3A60A069-7DFC-1646-B1F4-D2C86B37AE37}">
    <text>$7,459,974 QO</text>
  </threadedComment>
  <threadedComment ref="P8" dT="2020-06-21T20:21:02.75" personId="{E9AB3D0A-316B-AD4A-AF94-04839F2D6E82}" id="{C6A4B9B1-5B7F-DF46-9311-57956E401FD5}">
    <text>NEW: fully NG, fully gt on 10/24/20
If waived, Early Bird RFA</text>
  </threadedComment>
  <threadedComment ref="Q8" dT="2020-06-21T20:21:17.61" personId="{E9AB3D0A-316B-AD4A-AF94-04839F2D6E82}" id="{3C29C3F4-5888-5F44-9260-E65699C50F44}">
    <text>$2,023,150 QO
Bird</text>
  </threadedComment>
  <threadedComment ref="Q9" dT="2020-06-21T20:22:42.13" personId="{E9AB3D0A-316B-AD4A-AF94-04839F2D6E82}" id="{062723C8-8B03-C748-981D-ADB480DAC4C1}">
    <text>OLD: fully NG, fully gt on 7/15/21
If waived, Early Bird RFA</text>
  </threadedComment>
  <threadedComment ref="R9" dT="2020-06-21T20:22:52.79" personId="{E9AB3D0A-316B-AD4A-AF94-04839F2D6E82}" id="{50A75944-6558-134F-8B25-FB6596CF081C}">
    <text>$2,228,276 QO
Bird</text>
  </threadedComment>
  <threadedComment ref="P10" dT="2020-06-21T20:24:34.08" personId="{E9AB3D0A-316B-AD4A-AF94-04839F2D6E82}" id="{812BE0B6-40AB-EE4B-963C-C7F5304A0470}">
    <text>OLD: fully NG, fully gt on 7/15/20
If waived, Non Bird RFA</text>
  </threadedComment>
  <threadedComment ref="Q10" dT="2020-06-21T20:24:59.42" personId="{E9AB3D0A-316B-AD4A-AF94-04839F2D6E82}" id="{AB8D9317-5AAF-0A48-BC2B-7F310423271B}">
    <text>OLD: fully NG, fully gt on 7/15/21
If waived, Early Bird RFA</text>
  </threadedComment>
  <threadedComment ref="R10" dT="2020-06-21T20:25:10.62" personId="{E9AB3D0A-316B-AD4A-AF94-04839F2D6E82}" id="{6664B0B4-8263-A64A-92CA-3FB26426DFB1}">
    <text>$2,228,276 QO
Bird</text>
  </threadedComment>
  <threadedComment ref="P11" dT="2020-06-21T20:26:44.57" personId="{E9AB3D0A-316B-AD4A-AF94-04839F2D6E82}" id="{CCD5362B-32A1-724E-861B-A0ED90E3F844}">
    <text>OLD: fully NG, $100,000 gt on 8/1/20, fully gt on 1/10/21
If waived, Non Bird RFA</text>
  </threadedComment>
  <threadedComment ref="Q11" dT="2020-06-21T20:27:08.98" personId="{E9AB3D0A-316B-AD4A-AF94-04839F2D6E82}" id="{38382338-6AD7-D446-BD6A-B278F245E059}">
    <text>OLD: fully NG, fully gt on 8/1/20
If waived, Early Bird RFA</text>
  </threadedComment>
  <threadedComment ref="R11" dT="2020-06-21T20:27:29.88" personId="{E9AB3D0A-316B-AD4A-AF94-04839F2D6E82}" id="{089E3C89-582D-C643-8E74-697CBBDDB8B8}">
    <text>OLD: 6/29/22 deadline
fully NG, fully gt on 8/1/22
If waived, Bird RFA</text>
  </threadedComment>
  <threadedComment ref="S11" dT="2020-06-21T20:27:35.76" personId="{E9AB3D0A-316B-AD4A-AF94-04839F2D6E82}" id="{C8F9FFDA-57C9-C84D-B167-D5BC1FDDB32D}">
    <text>Bird</text>
  </threadedComment>
  <threadedComment ref="P18" dT="2020-06-21T02:55:39.03" personId="{E9AB3D0A-316B-AD4A-AF94-04839F2D6E82}" id="{5885E5B2-E0EC-F745-9304-3ADE53086847}">
    <text>Bird</text>
  </threadedComment>
  <threadedComment ref="P19" dT="2020-06-21T20:18:49.74" personId="{E9AB3D0A-316B-AD4A-AF94-04839F2D6E82}" id="{CC4FAB29-E7AA-6B46-8537-5A596BE0C921}">
    <text>Bird</text>
  </threadedComment>
  <threadedComment ref="P20" dT="2020-06-21T20:20:06.20" personId="{E9AB3D0A-316B-AD4A-AF94-04839F2D6E82}" id="{6411BA38-E2EA-EC4B-BCCF-0FE6FEA2E522}">
    <text>NEW: 10/17/20 deadline
Bird
$2,023,150 QO</text>
  </threadedComment>
  <threadedComment ref="P21" dT="2020-06-22T15:51:18.19" personId="{E9AB3D0A-316B-AD4A-AF94-04839F2D6E82}" id="{9F235578-18F0-0648-9E09-9DF877A2B48B}">
    <text>2W QO
Non Bird</text>
  </threadedComment>
  <threadedComment ref="P25" dT="2020-06-21T20:31:53.88" personId="{E9AB3D0A-316B-AD4A-AF94-04839F2D6E82}" id="{B160BAF4-0D2A-E54F-8862-E23AFABEFD4E}">
    <text>7 players: Terry Rozier / Cody Zeller / Malik Monk / PJ Washington / Miles Bridges / Cody Martin / Ray Spalding (2W)
2020 1st (#3)
2020 CLE 2nd (#32)
2020 BOS 2nd (#56)
Nic Batum (PO)
Bismack Biyombo (Bird)
Willy Hernangomez (Bird)
Dwayne Bacon (Bird RFA if QO)
Devonte Graham (NG)
Caleb Martin (NG)
Jalen McDaniels (NG)
Kobi Simmons (2W RFA)</text>
  </threadedComment>
  <threadedComment ref="P26" dT="2020-06-21T20:32:42.24" personId="{E9AB3D0A-316B-AD4A-AF94-04839F2D6E82}" id="{978E4F03-D4CF-B049-977A-65422CFF37E8}">
    <text>8 players: Nic Batum (PO) / Terry Rozier / Cody Zeller / Malik Monk / PJ Washington / Miles Bridges / Cody Martin / Ray Spalding (2W)
2020 1st (#3)
2020 CLE 2nd (#32)
2020 BOS 2nd (#56)
Bismack Biyombo (Bird)
Willy Hernangomez (Bird)
Dwayne Bacon (Bird RFA if QO)
Devonte Graham (NG)
Caleb Martin (NG)
Jalen McDaniels (NG)
Kobi Simmons (2W RFA)</text>
  </threadedComment>
  <threadedComment ref="P27" dT="2020-06-21T20:34:33.55" personId="{E9AB3D0A-316B-AD4A-AF94-04839F2D6E82}" id="{9C38C619-F3B8-2149-B41C-D40888D661A8}">
    <text>11 players: Nic Batum (PO) / Terry Rozier / Cody Zeller / Malik Monk / PJ Washington / Miles Bridges / Devonte Graham (NG) / Cody Martin / Caleb Martin (NG) / Jalen McDaniels (NG) / Ray Spalding (2W)
2020 1st (#3)
2020 CLE 2nd (#32)
2020 BOS 2nd (#56)
Bismack Biyombo (Bird)
Willy Hernangomez (Bird)
Dwayne Bacon (Bird RFA if QO)
Kobi Simmons (2W RFA)</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0-06-20T19:55:49.92" personId="{E9AB3D0A-316B-AD4A-AF94-04839F2D6E82}" id="{EBE45EE4-6B02-364C-8782-C0613C715035}">
    <text>per Cleaning The Glass</text>
  </threadedComment>
  <threadedComment ref="W1" dT="2020-06-20T21:07:04.55" personId="{E9AB3D0A-316B-AD4A-AF94-04839F2D6E82}" id="{5DB3663C-E1E0-934B-AD57-661B0C7C79CD}">
    <text>per Basketball Reference</text>
  </threadedComment>
  <threadedComment ref="P2" dT="2020-06-22T03:10:41.03" personId="{E9AB3D0A-316B-AD4A-AF94-04839F2D6E82}" id="{3908C456-1B02-0640-B6F3-6EEEA4CCF052}">
    <text>NEW: 10/17/20 deadline
$34,500,000 cap hold
Bird</text>
  </threadedComment>
  <threadedComment ref="Q2" dT="2020-06-22T15:52:39.36" personId="{E9AB3D0A-316B-AD4A-AF94-04839F2D6E82}" id="{C1D86089-363C-2942-9FCA-DAE1BB0CBFB6}">
    <text>Bird</text>
  </threadedComment>
  <threadedComment ref="R3" dT="2020-06-22T15:54:20.61" personId="{E9AB3D0A-316B-AD4A-AF94-04839F2D6E82}" id="{92BA5416-418C-B14B-8DC2-1870BC56F3EA}">
    <text>Bird</text>
  </threadedComment>
  <threadedComment ref="Q4" dT="2020-06-22T16:03:07.67" personId="{E9AB3D0A-316B-AD4A-AF94-04839F2D6E82}" id="{AC24FD62-2BAE-1844-B1E8-0428884105B3}">
    <text>OLD: $6,000,000 gt, fully gt on 6/30/21
If waived, Early Bird</text>
  </threadedComment>
  <threadedComment ref="R4" dT="2020-06-22T16:03:13.95" personId="{E9AB3D0A-316B-AD4A-AF94-04839F2D6E82}" id="{86D45429-E43B-D24A-9A6F-980B9225B9DC}">
    <text>Bird</text>
  </threadedComment>
  <threadedComment ref="Q5" dT="2020-06-22T16:04:25.35" personId="{E9AB3D0A-316B-AD4A-AF94-04839F2D6E82}" id="{80D1494F-52AA-7D4E-8792-E62E3CE1D69D}">
    <text>OLD: $5,000,000 gt, fully gt on 6/30/21
If waived, Early Bird</text>
  </threadedComment>
  <threadedComment ref="R5" dT="2020-06-22T16:04:31.57" personId="{E9AB3D0A-316B-AD4A-AF94-04839F2D6E82}" id="{ED02CB4B-7018-2843-AAD7-09195A673C0A}">
    <text>Bird</text>
  </threadedComment>
  <threadedComment ref="Q6" dT="2020-06-22T16:05:07.39" personId="{E9AB3D0A-316B-AD4A-AF94-04839F2D6E82}" id="{48468BDB-5579-3B4F-89C2-5366801CFFD8}">
    <text>Bird</text>
  </threadedComment>
  <threadedComment ref="Q7" dT="2020-06-22T16:07:07.66" personId="{E9AB3D0A-316B-AD4A-AF94-04839F2D6E82}" id="{0A3FA96C-C217-BD43-9A49-FE0BCD1E89FE}">
    <text>$9,026,852 QO</text>
  </threadedComment>
  <threadedComment ref="S8" dT="2020-06-22T16:06:52.46" personId="{E9AB3D0A-316B-AD4A-AF94-04839F2D6E82}" id="{EADA75DE-1B3F-1241-9BA8-E0B56E4DCEC4}">
    <text>$9,942,114 QO</text>
  </threadedComment>
  <threadedComment ref="R9" dT="2020-06-22T16:07:22.41" personId="{E9AB3D0A-316B-AD4A-AF94-04839F2D6E82}" id="{E7D45FC7-7EA6-6F42-ADEE-A8615B8FBA69}">
    <text>$9,279,756 QO</text>
  </threadedComment>
  <threadedComment ref="Q10" dT="2020-06-22T16:08:22.97" personId="{E9AB3D0A-316B-AD4A-AF94-04839F2D6E82}" id="{A1AD459C-2F87-014D-B607-DDA082E97184}">
    <text>OLD: 6/29/21 deadline
If declined, Bird</text>
  </threadedComment>
  <threadedComment ref="R10" dT="2020-06-22T16:08:31.83" personId="{E9AB3D0A-316B-AD4A-AF94-04839F2D6E82}" id="{CF8EB2F4-FF09-1A4F-9F44-23C7E6616520}">
    <text>Bird</text>
  </threadedComment>
  <threadedComment ref="R11" dT="2020-06-22T16:08:53.99" personId="{E9AB3D0A-316B-AD4A-AF94-04839F2D6E82}" id="{CFBF1B6F-C431-BC43-B1C5-ECCF53A53E75}">
    <text>$5,820,177 QO</text>
  </threadedComment>
  <threadedComment ref="Q12" dT="2020-06-22T16:09:11.24" personId="{E9AB3D0A-316B-AD4A-AF94-04839F2D6E82}" id="{BC4F9412-7900-CF42-8EB3-16EE94D3B588}">
    <text>Early Bird</text>
  </threadedComment>
  <threadedComment ref="Q13" dT="2020-06-22T16:11:21.16" personId="{E9AB3D0A-316B-AD4A-AF94-04839F2D6E82}" id="{148980AC-23D1-4945-870F-49AB10842E96}">
    <text>OLD: fully NG, fully gt on 1/10/22
If waived, Early Bird RFA</text>
  </threadedComment>
  <threadedComment ref="R13" dT="2020-06-22T16:11:48.87" personId="{E9AB3D0A-316B-AD4A-AF94-04839F2D6E82}" id="{2A2CC1CB-73BE-874A-9004-5BDCC09AB86F}">
    <text>6/29/22 deadline
fully NG, fully gt on 1/10/23
If declined, Bird RFA</text>
  </threadedComment>
  <threadedComment ref="S13" dT="2020-06-22T16:12:00.92" personId="{E9AB3D0A-316B-AD4A-AF94-04839F2D6E82}" id="{679BA8F6-13E4-674C-84AC-0F29E0D52F79}">
    <text>Bird</text>
  </threadedComment>
  <threadedComment ref="P18" dT="2020-06-22T16:05:54.86" personId="{E9AB3D0A-316B-AD4A-AF94-04839F2D6E82}" id="{C62D75FF-14C8-0843-967E-42B135840CFD}">
    <text>$7,091,457 QO
NEW: 10/17/20 deadline
Bird</text>
  </threadedComment>
  <threadedComment ref="P19" dT="2020-06-22T16:07:36.01" personId="{E9AB3D0A-316B-AD4A-AF94-04839F2D6E82}" id="{DC5250FD-619C-3D45-BC22-B7BB8980DE49}">
    <text>$4,698,198 QO</text>
  </threadedComment>
  <threadedComment ref="P20" dT="2020-06-22T16:10:17.83" personId="{E9AB3D0A-316B-AD4A-AF94-04839F2D6E82}" id="{0969BDC5-1670-CD45-8387-51516F517EB2}">
    <text>$2,025,705 QO
NEW: 10/17/20 deadline
Early Bird</text>
  </threadedComment>
  <threadedComment ref="P21" dT="2020-06-22T15:52:07.36" personId="{E9AB3D0A-316B-AD4A-AF94-04839F2D6E82}" id="{E86153D5-BF55-104D-8EE7-0383193AD833}">
    <text>2W QO
Non Bird</text>
  </threadedComment>
  <threadedComment ref="P22" dT="2020-06-22T15:52:11.86" personId="{E9AB3D0A-316B-AD4A-AF94-04839F2D6E82}" id="{02BAF654-7609-4F41-BD5F-3B8380B0E45A}">
    <text>2W QO
Non Bird</text>
  </threadedComment>
  <threadedComment ref="P26" dT="2020-08-21T20:11:19.31" personId="{E9AB3D0A-316B-AD4A-AF94-04839F2D6E82}" id="{7C3C3B41-FCA8-054C-B5B4-2F2E5891920D}">
    <text>11 players: Zach LaVine / Thaddeus Young / Tomas Satoransky / Cristiano Felicio / Lauri Markkanen / Coby White / Wendell Carter Jr / Ryan Arcidiacano / Chandler Hutchinson / Luke Kornet / Daniel Gafford
2020 1st (#4)
2020 MEM 2nd (#44)
Otto Porter Jr (PO)
Kris Dunn (Bird RFA if QO)
Denzel Valentine (Bird RFA if QO)
Shaquille Harrison (EB RFA if QO)
Max Strus (2W RFA)
Adam Mokoka (2W RFA)</text>
  </threadedComment>
  <threadedComment ref="P27" dT="2020-08-21T20:12:12.58" personId="{E9AB3D0A-316B-AD4A-AF94-04839F2D6E82}" id="{B3436239-90AA-8F4F-8651-39FE6910B030}">
    <text>12 players: Otto Porter Jr (PO) / Zach LaVine / Thaddeus Young / Tomas Satoransky / Cristiano Felicio / Lauri Markkanen / Coby White / Wendell Carter Jr / Ryan Arcidiacano / Chandler Hutchinson / Luke Kornet / Daniel Gafford
2020 1st (#4)
2020 MEM 2nd (#44)
Kris Dunn (Bird RFA if QO)
Denzel Valentine (Bird RFA if QO)
Shaquille Harrison (EB RFA if QO)
Max Strus (2W RFA)
Adam Mokoka (2W RFA)</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0-06-20T19:55:49.92" personId="{E9AB3D0A-316B-AD4A-AF94-04839F2D6E82}" id="{745C8125-029B-254A-BBDC-CA15435E3F29}">
    <text>per Cleaning The Glass</text>
  </threadedComment>
  <threadedComment ref="W1" dT="2020-06-20T21:07:04.55" personId="{E9AB3D0A-316B-AD4A-AF94-04839F2D6E82}" id="{3BB13193-B0CB-3142-B078-55C5C1EC1E52}">
    <text>per Basketball Reference</text>
  </threadedComment>
  <threadedComment ref="S2" dT="2020-06-22T16:25:48.34" personId="{E9AB3D0A-316B-AD4A-AF94-04839F2D6E82}" id="{0A0EAB08-B3C7-D142-BB9A-40B8623B1ED0}">
    <text>Bird</text>
  </threadedComment>
  <threadedComment ref="Q3" dT="2020-06-22T16:33:56.39" personId="{E9AB3D0A-316B-AD4A-AF94-04839F2D6E82}" id="{6E99AD46-033B-4E45-9D09-52A5FAC6E954}">
    <text>Bird</text>
  </threadedComment>
  <threadedComment ref="S4" dT="2020-06-22T16:37:20.17" personId="{E9AB3D0A-316B-AD4A-AF94-04839F2D6E82}" id="{29FC440B-159E-474F-8CDE-38A832736190}">
    <text>Bird</text>
  </threadedComment>
  <threadedComment ref="Q5" dT="2020-06-22T16:39:36.30" personId="{E9AB3D0A-316B-AD4A-AF94-04839F2D6E82}" id="{F86E1261-06F5-5F4C-A0EF-C2991C25A0D6}">
    <text>Bird</text>
  </threadedComment>
  <threadedComment ref="S6" dT="2020-06-22T16:45:02.65" personId="{E9AB3D0A-316B-AD4A-AF94-04839F2D6E82}" id="{9B01E700-77C8-6443-ACE5-775854499132}">
    <text>OLD: fully NG, fully gt on 6/29/23
If waived, Bird
$14,109,567 cap hold</text>
  </threadedComment>
  <threadedComment ref="T6" dT="2020-06-22T16:45:30.84" personId="{E9AB3D0A-316B-AD4A-AF94-04839F2D6E82}" id="{67544A7D-0FB0-FE4C-BDCE-1EA2FB3C42CB}">
    <text>Bird</text>
  </threadedComment>
  <threadedComment ref="S7" dT="2020-06-22T16:42:59.39" personId="{E9AB3D0A-316B-AD4A-AF94-04839F2D6E82}" id="{D60BFADB-8172-2C42-B8EE-667AF0DCDD45}">
    <text>$11,828,974 QO</text>
  </threadedComment>
  <threadedComment ref="R8" dT="2020-06-22T16:43:12.25" personId="{E9AB3D0A-316B-AD4A-AF94-04839F2D6E82}" id="{86C4AE70-6EFD-AE41-B1BF-D082FAB5FADF}">
    <text>$8,559,357 QO</text>
  </threadedComment>
  <threadedComment ref="S9" dT="2020-06-23T15:00:55.01" personId="{E9AB3D0A-316B-AD4A-AF94-04839F2D6E82}" id="{0CFC017F-C1BA-5046-898F-73DD5D55ACF4}">
    <text>$5,959,022 QO</text>
  </threadedComment>
  <threadedComment ref="P10" dT="2020-06-23T15:18:51.13" personId="{E9AB3D0A-316B-AD4A-AF94-04839F2D6E82}" id="{95B98D68-365E-144C-834F-5CB4C0437AEC}">
    <text>OLD: fully NG, fully gt on 1/10/21
If waived, Non Bird RFA</text>
  </threadedComment>
  <threadedComment ref="Q10" dT="2020-06-23T15:19:01.54" personId="{E9AB3D0A-316B-AD4A-AF94-04839F2D6E82}" id="{903B378E-5B72-4E41-9B33-02D9348653FB}">
    <text>OLD: fully NG, fully gt on 1/10/22
If waived, Early Bird</text>
  </threadedComment>
  <threadedComment ref="R10" dT="2020-06-23T15:19:09.67" personId="{E9AB3D0A-316B-AD4A-AF94-04839F2D6E82}" id="{38FCF990-3CDC-7F4A-9796-42F31B3355B5}">
    <text>OLD: fully NG, fully gt on 1/10/23
If waived, Bird</text>
  </threadedComment>
  <threadedComment ref="S10" dT="2020-06-23T15:19:54.95" personId="{E9AB3D0A-316B-AD4A-AF94-04839F2D6E82}" id="{5F1BC7C2-F80E-034F-B324-88BA686DD91E}">
    <text>Bird</text>
  </threadedComment>
  <threadedComment ref="S12" dT="2020-06-23T15:20:09.80" personId="{E9AB3D0A-316B-AD4A-AF94-04839F2D6E82}" id="{73782FC0-AE83-A846-9225-E378EC5A5185}">
    <text>$4,826,447 QO</text>
  </threadedComment>
  <threadedComment ref="P15" dT="2020-06-23T15:25:39.74" personId="{E9AB3D0A-316B-AD4A-AF94-04839F2D6E82}" id="{82A2FAD9-E5BC-EA4E-9E08-2DF3102C298A}">
    <text>JR Smith</text>
  </threadedComment>
  <threadedComment ref="Q15" dT="2020-06-23T15:25:45.07" personId="{E9AB3D0A-316B-AD4A-AF94-04839F2D6E82}" id="{446B217F-F2A5-8F4D-8025-0F88E78F4445}">
    <text>JR Smith</text>
  </threadedComment>
  <threadedComment ref="P18" dT="2020-06-22T16:35:55.72" personId="{E9AB3D0A-316B-AD4A-AF94-04839F2D6E82}" id="{D9D70DE4-90A9-9946-9C89-94EB8FE28065}">
    <text>Bird</text>
  </threadedComment>
  <threadedComment ref="P19" dT="2020-06-22T16:39:05.42" personId="{E9AB3D0A-316B-AD4A-AF94-04839F2D6E82}" id="{48396350-4E93-8348-9651-CB8E79342488}">
    <text>Bird</text>
  </threadedComment>
  <threadedComment ref="P20" dT="2020-06-23T14:59:14.76" personId="{E9AB3D0A-316B-AD4A-AF94-04839F2D6E82}" id="{0553A1C4-E94E-C347-8201-0068A226D66E}">
    <text>Bird
(CLE cannot pay more than $3.872,215 in FA)</text>
  </threadedComment>
  <threadedComment ref="P24" dT="2020-08-22T01:15:30.78" personId="{E9AB3D0A-316B-AD4A-AF94-04839F2D6E82}" id="{CCD63B60-4A88-5E48-B544-4DE409D79534}">
    <text>9 players: Kevin Love / Larry Nance Jr / Dante Exum / Cedi Osman / Darius Garland / Collin Sexton / Dylan Windler / Kevin Porter Jr. / Matt Mooney (2W)
2020 1st (#5)
Andre Drummind (PO)
Tristan Thompson
Matthew Dellavedova
Ante Zizic
Alfonzo McKinnie (NG)
Jordan Bell (NG)
Dean Wade (NG)</text>
  </threadedComment>
  <threadedComment ref="P25" dT="2020-08-22T01:17:25.91" personId="{E9AB3D0A-316B-AD4A-AF94-04839F2D6E82}" id="{11D1E0A8-E1A8-CC4C-B70E-1AAAED234BC8}">
    <text>13 players: Kevin Love / Andre Drummond (PO) / Larry Nance Jr / Dante Exum / Cedi Osman / Darius Garland / Collin Sexton / Dylan Windler / Alfonzo McKinnie (NG) / Jordan Bell (NG) / Kevin Porter Jr. / Dean Wade (NG) / Matt Mooney (2W)
2020 1st (#5)
Tristan Thompson
Matthew Dellavedova
Ante Zizic</text>
  </threadedComment>
</ThreadedComments>
</file>

<file path=xl/threadedComments/threadedComment7.xml><?xml version="1.0" encoding="utf-8"?>
<ThreadedComments xmlns="http://schemas.microsoft.com/office/spreadsheetml/2018/threadedcomments" xmlns:x="http://schemas.openxmlformats.org/spreadsheetml/2006/main">
  <threadedComment ref="C1" dT="2020-06-20T19:55:49.92" personId="{E9AB3D0A-316B-AD4A-AF94-04839F2D6E82}" id="{25C6E902-6DF6-014B-BBA5-E7434820E89D}">
    <text>per Cleaning The Glass</text>
  </threadedComment>
  <threadedComment ref="W1" dT="2020-06-20T21:07:04.55" personId="{E9AB3D0A-316B-AD4A-AF94-04839F2D6E82}" id="{ACCB9569-9E1A-404F-A6F0-7EBCF9A0D73D}">
    <text>per Basketball Reference</text>
  </threadedComment>
  <threadedComment ref="S2" dT="2020-06-23T15:56:08.39" personId="{E9AB3D0A-316B-AD4A-AF94-04839F2D6E82}" id="{C48CDD8B-36A9-9A4D-BD8B-DDBAA98D0E34}">
    <text>OLD: 6/29/23 deadline
$41,343,900 cap hold
Bird</text>
  </threadedComment>
  <threadedComment ref="T2" dT="2020-06-23T15:56:12.88" personId="{E9AB3D0A-316B-AD4A-AF94-04839F2D6E82}" id="{B7C1E58D-C269-FA45-AE04-B2A81E41BA33}">
    <text>Bird</text>
  </threadedComment>
  <threadedComment ref="P3" dT="2020-06-23T15:58:28.13" personId="{E9AB3D0A-316B-AD4A-AF94-04839F2D6E82}" id="{41307FB7-8447-DF4D-B520-708A1A83CBE1}">
    <text>NEW: 10/17/20 deadline
$27,225,000 cap hold
Bird</text>
  </threadedComment>
  <threadedComment ref="Q3" dT="2020-06-23T15:58:36.81" personId="{E9AB3D0A-316B-AD4A-AF94-04839F2D6E82}" id="{B3F8462B-4A3A-AE47-A212-7082F2E42B85}">
    <text>Bird</text>
  </threadedComment>
  <threadedComment ref="S4" dT="2020-06-23T16:03:09.75" personId="{E9AB3D0A-316B-AD4A-AF94-04839F2D6E82}" id="{771F7486-FC99-C446-89E5-01615B4B36E9}">
    <text>Bird</text>
  </threadedComment>
  <threadedComment ref="R5" dT="2020-06-23T16:03:44.60" personId="{E9AB3D0A-316B-AD4A-AF94-04839F2D6E82}" id="{E9A935D2-55F9-F643-8061-431D26824C85}">
    <text>Bird</text>
  </threadedComment>
  <threadedComment ref="R6" dT="2020-06-24T17:18:53.10" personId="{E9AB3D0A-316B-AD4A-AF94-04839F2D6E82}" id="{59F3A3A5-E2EC-9540-B2F3-E5689E3F187A}">
    <text>OLD: fully NG, fully gt on 7/3/22
If waived, Bird
$16,957,500 cap hold</text>
  </threadedComment>
  <threadedComment ref="S6" dT="2020-06-24T17:19:03.57" personId="{E9AB3D0A-316B-AD4A-AF94-04839F2D6E82}" id="{9208A7DB-AEF0-FE4D-B2FB-6DA7F7C97FEB}">
    <text>Bird</text>
  </threadedComment>
  <threadedComment ref="R7" dT="2020-06-24T17:19:27.17" personId="{E9AB3D0A-316B-AD4A-AF94-04839F2D6E82}" id="{E96AF1E5-A26D-EC42-8E55-B583C73DBD82}">
    <text>$13,348,801 QO</text>
  </threadedComment>
  <threadedComment ref="S8" dT="2020-06-24T17:19:36.93" personId="{E9AB3D0A-316B-AD4A-AF94-04839F2D6E82}" id="{1C77124B-1D57-4B4F-A7B1-FCB8BAF3B090}">
    <text>Bird</text>
  </threadedComment>
  <threadedComment ref="Q9" dT="2020-06-24T17:21:52.59" personId="{E9AB3D0A-316B-AD4A-AF94-04839F2D6E82}" id="{756B5A9C-259B-D84B-8BFB-0D1543B847C7}">
    <text>$7,031,451 QO</text>
  </threadedComment>
  <threadedComment ref="R10" dT="2020-06-24T17:20:03.02" personId="{E9AB3D0A-316B-AD4A-AF94-04839F2D6E82}" id="{5A2CB85B-518C-394A-A451-48FCF5E9D5F9}">
    <text>Bird</text>
  </threadedComment>
  <threadedComment ref="Q11" dT="2020-06-24T17:21:29.12" personId="{E9AB3D0A-316B-AD4A-AF94-04839F2D6E82}" id="{F9152DEF-8E52-4945-83C1-7912E91AF058}">
    <text>Early Bird</text>
  </threadedComment>
  <threadedComment ref="P12" dT="2020-06-24T17:22:17.16" personId="{E9AB3D0A-316B-AD4A-AF94-04839F2D6E82}" id="{42D3EAF1-5D94-C34B-B125-C49E63101D7E}">
    <text>NEW: 10/17/20 deadline
$2,612,980 cap hold
Non Bird</text>
  </threadedComment>
  <threadedComment ref="Q12" dT="2020-06-24T17:22:24.22" personId="{E9AB3D0A-316B-AD4A-AF94-04839F2D6E82}" id="{BC47EBA1-E91E-E746-B748-461F8666C61B}">
    <text>Early Bird</text>
  </threadedComment>
  <threadedComment ref="Q13" dT="2020-06-24T17:23:55.07" personId="{E9AB3D0A-316B-AD4A-AF94-04839F2D6E82}" id="{C8766292-0AE9-F34E-9443-75C22E0AA4CF}">
    <text>OLD: fully NG, fully gt on 6/30/21
If waived, Bird RFA</text>
  </threadedComment>
  <threadedComment ref="R13" dT="2020-06-24T17:24:04.39" personId="{E9AB3D0A-316B-AD4A-AF94-04839F2D6E82}" id="{2A522AE2-7E39-BA4F-97F2-74294BC813AA}">
    <text>Bird</text>
  </threadedComment>
  <threadedComment ref="P18" dT="2020-06-23T16:02:26.28" personId="{E9AB3D0A-316B-AD4A-AF94-04839F2D6E82}" id="{C950B469-C34F-C74B-8BC0-C11B7E6D3A00}">
    <text>Bird</text>
  </threadedComment>
  <threadedComment ref="P19" dT="2020-06-24T17:23:22.86" personId="{E9AB3D0A-316B-AD4A-AF94-04839F2D6E82}" id="{182639E0-A16B-E944-A163-3833F03E6C73}">
    <text>Bird</text>
  </threadedComment>
  <threadedComment ref="P20" dT="2020-06-24T17:23:28.18" personId="{E9AB3D0A-316B-AD4A-AF94-04839F2D6E82}" id="{7ED19762-F296-5141-BD13-12BD6E107C8D}">
    <text>Non Bird</text>
  </threadedComment>
  <threadedComment ref="P21" dT="2020-08-18T03:03:49.74" personId="{E9AB3D0A-316B-AD4A-AF94-04839F2D6E82}" id="{FA41F7C9-C9D9-FD44-BC32-F1E1776BA736}">
    <text>No Rights</text>
  </threadedComment>
  <threadedComment ref="P22" dT="2020-06-24T17:24:17.60" personId="{E9AB3D0A-316B-AD4A-AF94-04839F2D6E82}" id="{65D3AE3E-A41F-3E4F-B95A-CD22ABB2AC51}">
    <text>2W QO
Min cap hold</text>
  </threadedComment>
  <threadedComment ref="P23" dT="2020-06-24T17:24:17.60" personId="{E9AB3D0A-316B-AD4A-AF94-04839F2D6E82}" id="{56EC9118-F529-F94B-99BA-BF94933F217F}">
    <text>2W QO
Min cap hold</text>
  </threadedComment>
  <threadedComment ref="P27" dT="2020-06-24T15:57:37.10" personId="{E9AB3D0A-316B-AD4A-AF94-04839F2D6E82}" id="{9B71EDAB-CAC1-C741-8B01-A8492EE21D6A}">
    <text>10 players: Kristaps Porzingis / Dwight Powell / Delon Wright / Maxi Kleber / Luka Doncic / Seth Curry / Justin Jackson / Dorian Finney-Smith / Boban Marjanovic / Jalen Brunson
2020 1st (#18)
2020 GSW 2nd (#31)
Tim Hardaway Jr (PO)
Courtney Lee
Willie Cauley-Stein (PO)
JJ Barea
Michael Kidd-Gilchrist
Trey Burke
Josh Reaves
Antonius Cleveland</text>
  </threadedComment>
  <threadedComment ref="Q27" dT="2020-08-18T03:09:59.14" personId="{E9AB3D0A-316B-AD4A-AF94-04839F2D6E82}" id="{2CEC51AD-0854-0A4B-B248-0F3EADDE2D4A}">
    <text>8 players: Kristaps Porzingis / Dwight Powell / Luka Doncic / Maxi Kleber / Delon Wright / Seth Curry / Dorian Finney-Smith / 2020 #18 pick</text>
  </threadedComment>
  <threadedComment ref="P28" dT="2020-06-24T15:58:11.18" personId="{E9AB3D0A-316B-AD4A-AF94-04839F2D6E82}" id="{E703AB8D-09AB-D24B-8062-556CE4779C8B}">
    <text>12 players: Kristaps Porzingis / Tim Hardaway Jr (PO) / Dwight Powell / Delon Wright / Maxi Kleber / Luka Doncic / Seth Curry / Justin Jackson / Dorian Finney-Smith / Boban Marjanovic / Willie Cauley-Stein (PO) / Jalen Brunson
2020 1st (#18)
2020 GSW 2nd (#31)
Courtney Lee (Bird)
JJ Barea (Bird)
Michael Kidd-Gilchrist (NB)
Trey Burke (None)
Josh Reaves (2W RFA)
Antonius Cleveland (2W RFA)</text>
  </threadedComment>
  <threadedComment ref="Q28" dT="2020-08-18T03:10:28.18" personId="{E9AB3D0A-316B-AD4A-AF94-04839F2D6E82}" id="{18F259EA-353E-E648-B48D-77B0817E1703}">
    <text>9 players: Kristaps Porzingis / Dwight Powell / Luka Doncic / Maxi Kleber / Delon Wright / Seth Curry / Dorian Finney-Smith / 2020 #18 pick / Jalen Brunson (NG)</text>
  </threadedComment>
</ThreadedComments>
</file>

<file path=xl/threadedComments/threadedComment8.xml><?xml version="1.0" encoding="utf-8"?>
<ThreadedComments xmlns="http://schemas.microsoft.com/office/spreadsheetml/2018/threadedcomments" xmlns:x="http://schemas.openxmlformats.org/spreadsheetml/2006/main">
  <threadedComment ref="C1" dT="2020-06-20T19:55:49.92" personId="{E9AB3D0A-316B-AD4A-AF94-04839F2D6E82}" id="{DB7291D7-1BB7-3142-A1B4-C246AF4C1226}">
    <text>per Cleaning The Glass</text>
  </threadedComment>
  <threadedComment ref="W1" dT="2020-06-20T21:07:04.55" personId="{E9AB3D0A-316B-AD4A-AF94-04839F2D6E82}" id="{3AAA308D-DB21-4749-BF12-878B3BA994DB}">
    <text>per Basketball Reference</text>
  </threadedComment>
  <threadedComment ref="S2" dT="2020-06-24T15:04:17.57" personId="{E9AB3D0A-316B-AD4A-AF94-04839F2D6E82}" id="{62782ABE-CAA7-B944-868A-650BBE00CED7}">
    <text>Bird</text>
  </threadedComment>
  <threadedComment ref="R4" dT="2020-06-24T15:11:01.23" personId="{E9AB3D0A-316B-AD4A-AF94-04839F2D6E82}" id="{425A42DC-B55D-F94C-AEBB-494E424E9D1D}">
    <text>Bird</text>
  </threadedComment>
  <threadedComment ref="Q5" dT="2020-06-24T15:36:59.38" personId="{E9AB3D0A-316B-AD4A-AF94-04839F2D6E82}" id="{6EAF1234-D0D3-184F-8394-2BF4770AE2AF}">
    <text>OLD: 6/29/21 deadline
$20,584,821 cap hold
Bird</text>
  </threadedComment>
  <threadedComment ref="R5" dT="2020-06-24T15:37:05.19" personId="{E9AB3D0A-316B-AD4A-AF94-04839F2D6E82}" id="{4A6819A7-65A3-194D-81EC-8985EC73BF3C}">
    <text>Bird</text>
  </threadedComment>
  <threadedComment ref="P6" dT="2020-06-24T15:37:43.66" personId="{E9AB3D0A-316B-AD4A-AF94-04839F2D6E82}" id="{1A370E55-BE2A-EA42-A3D0-BD84D6D811BB}">
    <text>NEW: 10/17/20 deadline
$17,757,691 cap hold
Bird
“Leaning towards opting out” - early June</text>
  </threadedComment>
  <threadedComment ref="Q6" dT="2020-06-24T15:37:48.93" personId="{E9AB3D0A-316B-AD4A-AF94-04839F2D6E82}" id="{D3A5FCA6-38DD-3348-BC9B-9D0D9D0C8D14}">
    <text>Bird</text>
  </threadedComment>
  <threadedComment ref="R7" dT="2020-06-24T15:42:38.24" personId="{E9AB3D0A-316B-AD4A-AF94-04839F2D6E82}" id="{221E9590-317B-FB4D-8883-A0041E03B095}">
    <text>$7,314,900 QO</text>
  </threadedComment>
  <threadedComment ref="P8" dT="2020-08-16T00:09:24.26" personId="{E9AB3D0A-316B-AD4A-AF94-04839F2D6E82}" id="{0C7AF2A9-6740-F54C-9D13-2BD9DAF03153}">
    <text>$1,200,000 gt, unknown gt date</text>
  </threadedComment>
  <threadedComment ref="P9" dT="2020-06-24T15:44:33.12" personId="{E9AB3D0A-316B-AD4A-AF94-04839F2D6E82}" id="{AEBC49E7-24D5-3046-A4C4-0922E2250B39}">
    <text>fully NG, fully gt on 10/18/20
If waived, Early Bird RFA</text>
  </threadedComment>
  <threadedComment ref="Q9" dT="2020-06-24T15:44:38.79" personId="{E9AB3D0A-316B-AD4A-AF94-04839F2D6E82}" id="{D12D13EC-7E21-A540-90FC-8DD7F6381874}">
    <text>Bird</text>
  </threadedComment>
  <threadedComment ref="P10" dT="2020-06-24T15:45:44.45" personId="{E9AB3D0A-316B-AD4A-AF94-04839F2D6E82}" id="{4726AE1A-0809-5640-AC60-6C229ABA3949}">
    <text>fully NG, fully gt on 10/24/20
If waived, Early Bird RFA</text>
  </threadedComment>
  <threadedComment ref="Q10" dT="2020-06-24T15:45:53.38" personId="{E9AB3D0A-316B-AD4A-AF94-04839F2D6E82}" id="{663ED9F0-983C-824A-9812-FF0431E47142}">
    <text>$2,122,822 QO
Bird</text>
  </threadedComment>
  <threadedComment ref="Q11" dT="2020-06-24T15:46:10.49" personId="{E9AB3D0A-316B-AD4A-AF94-04839F2D6E82}" id="{20429DDF-B379-AA46-A467-9FF287AF06C7}">
    <text>OLD: fully NG, fully gt on 7/1/21</text>
  </threadedComment>
  <threadedComment ref="R11" dT="2020-06-24T15:46:20.86" personId="{E9AB3D0A-316B-AD4A-AF94-04839F2D6E82}" id="{D877378C-47A4-3643-A8C9-264F9E7F899F}">
    <text>$2,228,276 QO
Bird</text>
  </threadedComment>
  <threadedComment ref="P16" dT="2020-06-24T14:53:07.34" personId="{E9AB3D0A-316B-AD4A-AF94-04839F2D6E82}" id="{51D24579-EFC5-E240-8B5A-266350B8E772}">
    <text>Bird</text>
  </threadedComment>
  <threadedComment ref="P17" dT="2020-06-24T15:19:24.71" personId="{E9AB3D0A-316B-AD4A-AF94-04839F2D6E82}" id="{178C6B20-BEBD-7E4E-8087-678C6DD9F0B6}">
    <text>Bird</text>
  </threadedComment>
  <threadedComment ref="P18" dT="2020-06-24T15:43:23.57" personId="{E9AB3D0A-316B-AD4A-AF94-04839F2D6E82}" id="{27E5AB96-CE3F-B047-89DF-7827886115D9}">
    <text>NEW: 10/17/20 deadline
$2,500,000 QO
Bird</text>
  </threadedComment>
  <threadedComment ref="P19" dT="2020-06-24T15:43:31.57" personId="{E9AB3D0A-316B-AD4A-AF94-04839F2D6E82}" id="{11755A51-A5D1-9549-BD90-DC276359759E}">
    <text>Non Bird</text>
  </threadedComment>
  <threadedComment ref="P20" dT="2020-06-24T15:46:27.94" personId="{E9AB3D0A-316B-AD4A-AF94-04839F2D6E82}" id="{997F9510-DE9A-B546-8722-9BAC32A19908}">
    <text>Non Bird
Minimum cap hold</text>
  </threadedComment>
  <threadedComment ref="P21" dT="2020-06-24T15:46:27.94" personId="{E9AB3D0A-316B-AD4A-AF94-04839F2D6E82}" id="{350F842B-9E23-4B49-9ED4-B8690BAAD2D1}">
    <text>Non Bird
Minimum cap hold</text>
  </threadedComment>
  <threadedComment ref="P25" dT="2020-06-24T15:48:35.02" personId="{E9AB3D0A-316B-AD4A-AF94-04839F2D6E82}" id="{11D04738-AB3E-DD4E-905D-54E580666FB6}">
    <text>7 players: Nikola Jokic / Jamal Murray / Gary Harris / Will Barton / Michael Porter Jr. / Vladko Cancar / Bol Bol (2W)
2020 HOU 1st (#22)
Paul Millsap
Mason Plumlee
Jerami Grant (PO)
Torrey Craig
Noah Vonleh
P.J. Dozier (PG)
Monte Morris (NG)
Keita Bates-Diop (NG)
Troy Daniels
Tyler Cook</text>
  </threadedComment>
  <threadedComment ref="P26" dT="2020-06-24T15:48:54.21" personId="{E9AB3D0A-316B-AD4A-AF94-04839F2D6E82}" id="{2FBB2F02-9AEA-884B-BF26-6359DA808FAA}">
    <text>8 players: Nikola Jokic / Jamal Murray / Gary Harris / Will Barton /  Jerami Grant (PO) / Michael Porter Jr. / Vladko Cancar / Bol Bol (2W)
2020 HOU 1st (#22)
Paul Millsap
Mason Plumlee
Torrey Craig
Noah Vonleh
P.J. Dozier (PG)
Monte Morris (NG)
Keita Bates-Diop (NG)
Troy Daniels
Tyler Cook</text>
  </threadedComment>
  <threadedComment ref="P27" dT="2020-06-24T15:51:22.99" personId="{E9AB3D0A-316B-AD4A-AF94-04839F2D6E82}" id="{FF7873C4-B6AF-8C40-A911-D37B938D8A9B}">
    <text>11 players: Nikola Jokic / Jamal Murray / Gary Harris / Will Barton / Jerami Grant (PO) / Michael Porter Jr. / P.J Dozier (PG) / Monte Morris (NG) / Keita Bates-Diop (NG) / Vladko Cancar / Bol Bol (2W)
2020 HOU 1st (#22)
Paul Millsap
Mason Plumlee
Torrey Craig
Noah Vonleh
Troy Daniels
Tyler Cook</text>
  </threadedComment>
  <threadedComment ref="P28" dT="2020-08-16T00:04:49.46" personId="{E9AB3D0A-316B-AD4A-AF94-04839F2D6E82}" id="{D340CC3B-BF51-5843-9A6C-98CD9712E9F6}">
    <text>10 players: Nikola Jokic / Jamal Murray / Gary Harris / Will Barton / Michael Porter Jr. / P.J Dozier (PG) / Monte Morris (NG) / Keita Bates-Diop (NG) / Vladko Cancar / Bol Bol (2W)
2020 HOU 1st (#22)
Paul Millsap
Mason Plumlee
Jerami Grant (declining PO)
Torrey Craig
Noah Vonleh
Troy Daniels
Tyler Cook</text>
  </threadedComment>
</ThreadedComments>
</file>

<file path=xl/threadedComments/threadedComment9.xml><?xml version="1.0" encoding="utf-8"?>
<ThreadedComments xmlns="http://schemas.microsoft.com/office/spreadsheetml/2018/threadedcomments" xmlns:x="http://schemas.openxmlformats.org/spreadsheetml/2006/main">
  <threadedComment ref="C1" dT="2020-06-20T19:55:49.92" personId="{E9AB3D0A-316B-AD4A-AF94-04839F2D6E82}" id="{6F7480B6-AD35-3E4C-B6D4-11DE1174D23C}">
    <text>per Cleaning The Glass</text>
  </threadedComment>
  <threadedComment ref="W1" dT="2020-06-20T21:07:04.55" personId="{E9AB3D0A-316B-AD4A-AF94-04839F2D6E82}" id="{1A748361-2B32-C74C-9866-50BFD70D621A}">
    <text>per Basketball Reference</text>
  </threadedComment>
  <threadedComment ref="Q2" dT="2020-06-25T15:49:54.12" personId="{E9AB3D0A-316B-AD4A-AF94-04839F2D6E82}" id="{3D47BBFF-0DEE-3041-8134-088717A67F36}">
    <text>OLD: 6/29/21 deadline
$43,750,000 cap hold
Bird</text>
  </threadedComment>
  <threadedComment ref="R2" dT="2020-06-25T15:49:59.84" personId="{E9AB3D0A-316B-AD4A-AF94-04839F2D6E82}" id="{6D647591-4692-4C40-90DE-9B92561FDF7F}">
    <text>Bird</text>
  </threadedComment>
  <threadedComment ref="P3" dT="2020-06-26T00:52:15.17" personId="{E9AB3D0A-316B-AD4A-AF94-04839F2D6E82}" id="{75D8C6C7-E831-4A43-80C3-6F61F38AADAB}">
    <text>NEW: 10/17/20 deadline
Bird
$18,267,857 cap hold</text>
  </threadedComment>
  <threadedComment ref="Q3" dT="2020-06-26T00:52:22.15" personId="{E9AB3D0A-316B-AD4A-AF94-04839F2D6E82}" id="{062D1191-D480-0A4D-BA6E-80CC836514AD}">
    <text>Bird</text>
  </threadedComment>
  <threadedComment ref="Q4" dT="2020-06-26T01:09:18.02" personId="{E9AB3D0A-316B-AD4A-AF94-04839F2D6E82}" id="{86E3F769-F227-2847-9401-F59E1DF78327}">
    <text>Early Bird</text>
  </threadedComment>
  <threadedComment ref="Q5" dT="2020-06-26T02:31:11.93" personId="{E9AB3D0A-316B-AD4A-AF94-04839F2D6E82}" id="{C02B1F97-A6BF-1249-92CC-35663E836835}">
    <text>$7,256,785 QO</text>
  </threadedComment>
  <threadedComment ref="S6" dT="2020-06-26T02:31:42.99" personId="{E9AB3D0A-316B-AD4A-AF94-04839F2D6E82}" id="{E207842B-99AA-8D41-85FA-0819613249E7}">
    <text>$7,744,600 QO</text>
  </threadedComment>
  <threadedComment ref="P7" dT="2020-06-27T04:51:02.94" personId="{E9AB3D0A-316B-AD4A-AF94-04839F2D6E82}" id="{14181F3F-D2BF-BB45-A989-095D9DB8F9A2}">
    <text>fully NG, fully gt on …
If waived, Non Bird RFA</text>
  </threadedComment>
  <threadedComment ref="Q7" dT="2020-06-27T04:50:32.73" personId="{E9AB3D0A-316B-AD4A-AF94-04839F2D6E82}" id="{411BC9EA-930A-B74C-B569-BE638F6911BC}">
    <text>Early Bird</text>
  </threadedComment>
  <threadedComment ref="P8" dT="2020-06-26T02:34:55.74" personId="{E9AB3D0A-316B-AD4A-AF94-04839F2D6E82}" id="{85449C82-97E2-DE47-80C1-D73ECE5FC629}">
    <text>OLD: fully NG, fully gt on 7/6/20 (probably now 10/23/20)
If waived, Early Bird RFA
Min Cap Hold</text>
  </threadedComment>
  <threadedComment ref="Q8" dT="2020-06-26T02:35:04.76" personId="{E9AB3D0A-316B-AD4A-AF94-04839F2D6E82}" id="{DAE79AC4-6C74-FD48-9CFB-A5761C003E79}">
    <text>$2,122,822 QO
Bird</text>
  </threadedComment>
  <threadedComment ref="P9" dT="2020-06-26T02:35:32.50" personId="{E9AB3D0A-316B-AD4A-AF94-04839F2D6E82}" id="{FA21097D-116E-9645-856D-DE3115936A84}">
    <text>OLD: fully NG, fully gt on 7/10/20 (probably now 10/27/20)
If waived, Early Bird RFA</text>
  </threadedComment>
  <threadedComment ref="Q9" dT="2020-06-26T02:36:02.44" personId="{E9AB3D0A-316B-AD4A-AF94-04839F2D6E82}" id="{702F602D-D06E-C945-8958-71762A4ADD46}">
    <text>$2,122,822 QO
Bird</text>
  </threadedComment>
  <threadedComment ref="P10" dT="2020-06-26T02:34:21.49" personId="{E9AB3D0A-316B-AD4A-AF94-04839F2D6E82}" id="{32CA346B-B547-924E-9647-EE838488CF6D}">
    <text>NEW: 10/17/20 deadline
fully NG, fully gt on 7/5/20 (probably now 10/22/20)
If declined, Early Bird RFA
Min Cap Hold</text>
  </threadedComment>
  <threadedComment ref="Q10" dT="2020-06-26T02:34:29.00" personId="{E9AB3D0A-316B-AD4A-AF94-04839F2D6E82}" id="{AB693815-EC48-7943-80BC-1DBE4FF5EFDE}">
    <text>$2,122,822 QO
Bird</text>
  </threadedComment>
  <threadedComment ref="P14" dT="2020-06-26T00:51:30.03" personId="{E9AB3D0A-316B-AD4A-AF94-04839F2D6E82}" id="{6DE41E25-0721-CC4C-9109-676257A83A47}">
    <text>Bird</text>
  </threadedComment>
  <threadedComment ref="P15" dT="2020-06-26T00:52:50.05" personId="{E9AB3D0A-316B-AD4A-AF94-04839F2D6E82}" id="{F60C360E-FDB2-F642-A819-CD42CC3F8D0F}">
    <text>Bird</text>
  </threadedComment>
  <threadedComment ref="P16" dT="2020-06-26T00:53:10.83" personId="{E9AB3D0A-316B-AD4A-AF94-04839F2D6E82}" id="{7B215A6C-2852-574B-8A14-36787CD03496}">
    <text>Bird</text>
  </threadedComment>
  <threadedComment ref="P17" dT="2020-06-26T02:31:30.83" personId="{E9AB3D0A-316B-AD4A-AF94-04839F2D6E82}" id="{F5D2BB47-86D9-1B4C-A36F-1E7119543813}">
    <text>NEW: 10/17/20 deadline
$4,861,854 QO
Bird</text>
  </threadedComment>
  <threadedComment ref="P18" dT="2020-06-26T01:09:25.98" personId="{E9AB3D0A-316B-AD4A-AF94-04839F2D6E82}" id="{83A6169D-1729-0645-9188-58A5CB851469}">
    <text>Early Bird</text>
  </threadedComment>
  <threadedComment ref="P19" dT="2020-06-26T01:09:32.93" personId="{E9AB3D0A-316B-AD4A-AF94-04839F2D6E82}" id="{236029F9-0FAC-E24F-97B5-98328F3818F6}">
    <text>Early Bird</text>
  </threadedComment>
  <threadedComment ref="P20" dT="2020-06-26T02:47:09.28" personId="{E9AB3D0A-316B-AD4A-AF94-04839F2D6E82}" id="{4BAE535A-9169-4D43-AFC8-9FA3CF437A6B}">
    <text>2W RFA
Min Cap Hold</text>
  </threadedComment>
  <threadedComment ref="P21" dT="2020-06-26T02:47:14.19" personId="{E9AB3D0A-316B-AD4A-AF94-04839F2D6E82}" id="{26218A42-3120-A641-A3F3-957D494AB4CF}">
    <text>2W RFA
Min Cap Hold</text>
  </threadedComment>
  <threadedComment ref="P25" dT="2020-08-22T02:45:26.29" personId="{E9AB3D0A-316B-AD4A-AF94-04839F2D6E82}" id="{E5250989-47EF-8F48-864E-7A4CD2BB5EB8}">
    <text>4 players: Blake Griffin / Derrick Rose / Luke Kennard / Sekou Doumbouya
2020 1st (#7)
Brandon Knight (Bird)
Tony Snell (PO, Bird)
John Henson (Bird)
Langston Galloway (Bird)
Thon Maker (Bird RFA if QO)
Christian Wood (Early Bird)
Jordan McRae (Early Bird)
Justin Patton (NG)
Khyri Thomas (PG)
Bruce Brown (NG)
Svi Mykhailiuk (TO)
Louis King (2W RFA)
Jordan Bone (2W RFA)</text>
  </threadedComment>
  <threadedComment ref="P26" dT="2020-08-22T02:47:46.70" personId="{E9AB3D0A-316B-AD4A-AF94-04839F2D6E82}" id="{C61A5DC3-91A4-0B43-AFB8-4BE584F7F314}">
    <text>5 players: Blake Griffin / Tony Snell (PO) / Derrick Rose / Luke Kennard / Sekou Doumbouya
2020 1st (#7)
Brandon Knight (Bird)
John Henson (Bird)
Langston Galloway (Bird)
Thon Maker (Bird RFA if QO)
Christian Wood (Early Bird)
Jordan McRae (Early Bird)
Justin Patton (NG)
Khyri Thomas (PG)
Bruce Brown (NG)
Svi Mykhailiuk (TO)
Louis King (2W RFA)
Jordan Bone (2W RFA)</text>
  </threadedComment>
  <threadedComment ref="P27" dT="2020-08-22T02:49:51.02" personId="{E9AB3D0A-316B-AD4A-AF94-04839F2D6E82}" id="{EDEC251B-F7B4-C04C-AAD5-2CD790ABBC0E}">
    <text>9 players: Blake Griffin / Tony Snell (PO) / Derrick Rose / Luke Kennard / Sekou Doumbouya / Justin Patton (NG) / Khyri Thomas (PG) / Bruce Brown (NG) / Svi Mykhailiuk (TO)
2020 1st (#7)
Brandon Knight (Bird)
John Henson (Bird)
Langston Galloway (Bird)
Thon Maker (Bird RFA if QO)
Christian Wood (Early Bird)
Jordan McRae (Early Bird)
Louis King (2W RFA)
Jordan Bone (2W RFA)</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10.xml"/><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8" Type="http://schemas.openxmlformats.org/officeDocument/2006/relationships/hyperlink" Target="https://www.basketball-reference.com/teams/HOU/2013.html" TargetMode="External"/><Relationship Id="rId13" Type="http://schemas.microsoft.com/office/2017/10/relationships/threadedComment" Target="../threadedComments/threadedComment11.xml"/><Relationship Id="rId3" Type="http://schemas.openxmlformats.org/officeDocument/2006/relationships/hyperlink" Target="https://www.basketball-reference.com/teams/HOU/2018.html" TargetMode="External"/><Relationship Id="rId7" Type="http://schemas.openxmlformats.org/officeDocument/2006/relationships/hyperlink" Target="https://www.basketball-reference.com/teams/HOU/2014.html" TargetMode="External"/><Relationship Id="rId12" Type="http://schemas.openxmlformats.org/officeDocument/2006/relationships/comments" Target="../comments11.xml"/><Relationship Id="rId2" Type="http://schemas.openxmlformats.org/officeDocument/2006/relationships/hyperlink" Target="https://www.basketball-reference.com/teams/HOU/2019.html" TargetMode="External"/><Relationship Id="rId1" Type="http://schemas.openxmlformats.org/officeDocument/2006/relationships/hyperlink" Target="https://www.basketball-reference.com/teams/HOU/2020.html" TargetMode="External"/><Relationship Id="rId6" Type="http://schemas.openxmlformats.org/officeDocument/2006/relationships/hyperlink" Target="https://www.basketball-reference.com/teams/HOU/2015.html" TargetMode="External"/><Relationship Id="rId11" Type="http://schemas.openxmlformats.org/officeDocument/2006/relationships/vmlDrawing" Target="../drawings/vmlDrawing11.vml"/><Relationship Id="rId5" Type="http://schemas.openxmlformats.org/officeDocument/2006/relationships/hyperlink" Target="https://www.basketball-reference.com/teams/HOU/2016.html" TargetMode="External"/><Relationship Id="rId10" Type="http://schemas.openxmlformats.org/officeDocument/2006/relationships/hyperlink" Target="https://www.basketball-reference.com/teams/HOU/2011.html" TargetMode="External"/><Relationship Id="rId4" Type="http://schemas.openxmlformats.org/officeDocument/2006/relationships/hyperlink" Target="https://www.basketball-reference.com/teams/HOU/2017.html" TargetMode="External"/><Relationship Id="rId9" Type="http://schemas.openxmlformats.org/officeDocument/2006/relationships/hyperlink" Target="https://www.basketball-reference.com/teams/HOU/2012.html"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www.basketball-reference.com/teams/IND/2013.html" TargetMode="External"/><Relationship Id="rId13" Type="http://schemas.microsoft.com/office/2017/10/relationships/threadedComment" Target="../threadedComments/threadedComment12.xml"/><Relationship Id="rId3" Type="http://schemas.openxmlformats.org/officeDocument/2006/relationships/hyperlink" Target="https://www.basketball-reference.com/teams/IND/2018.html" TargetMode="External"/><Relationship Id="rId7" Type="http://schemas.openxmlformats.org/officeDocument/2006/relationships/hyperlink" Target="https://www.basketball-reference.com/teams/IND/2014.html" TargetMode="External"/><Relationship Id="rId12" Type="http://schemas.openxmlformats.org/officeDocument/2006/relationships/comments" Target="../comments12.xml"/><Relationship Id="rId2" Type="http://schemas.openxmlformats.org/officeDocument/2006/relationships/hyperlink" Target="https://www.basketball-reference.com/teams/IND/2019.html" TargetMode="External"/><Relationship Id="rId1" Type="http://schemas.openxmlformats.org/officeDocument/2006/relationships/hyperlink" Target="https://www.basketball-reference.com/teams/IND/2020.html" TargetMode="External"/><Relationship Id="rId6" Type="http://schemas.openxmlformats.org/officeDocument/2006/relationships/hyperlink" Target="https://www.basketball-reference.com/teams/IND/2015.html" TargetMode="External"/><Relationship Id="rId11" Type="http://schemas.openxmlformats.org/officeDocument/2006/relationships/vmlDrawing" Target="../drawings/vmlDrawing12.vml"/><Relationship Id="rId5" Type="http://schemas.openxmlformats.org/officeDocument/2006/relationships/hyperlink" Target="https://www.basketball-reference.com/teams/IND/2016.html" TargetMode="External"/><Relationship Id="rId10" Type="http://schemas.openxmlformats.org/officeDocument/2006/relationships/hyperlink" Target="https://www.basketball-reference.com/teams/IND/2011.html" TargetMode="External"/><Relationship Id="rId4" Type="http://schemas.openxmlformats.org/officeDocument/2006/relationships/hyperlink" Target="https://www.basketball-reference.com/teams/IND/2017.html" TargetMode="External"/><Relationship Id="rId9" Type="http://schemas.openxmlformats.org/officeDocument/2006/relationships/hyperlink" Target="https://www.basketball-reference.com/teams/IND/2012.html" TargetMode="External"/></Relationships>
</file>

<file path=xl/worksheets/_rels/sheet13.xml.rels><?xml version="1.0" encoding="UTF-8" standalone="yes"?>
<Relationships xmlns="http://schemas.openxmlformats.org/package/2006/relationships"><Relationship Id="rId3" Type="http://schemas.microsoft.com/office/2017/10/relationships/threadedComment" Target="../threadedComments/threadedComment13.xml"/><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14.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15.xml"/><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8" Type="http://schemas.openxmlformats.org/officeDocument/2006/relationships/hyperlink" Target="https://www.basketball-reference.com/teams/MIA/2013.html" TargetMode="External"/><Relationship Id="rId13" Type="http://schemas.microsoft.com/office/2017/10/relationships/threadedComment" Target="../threadedComments/threadedComment16.xml"/><Relationship Id="rId3" Type="http://schemas.openxmlformats.org/officeDocument/2006/relationships/hyperlink" Target="https://www.basketball-reference.com/teams/MIA/2018.html" TargetMode="External"/><Relationship Id="rId7" Type="http://schemas.openxmlformats.org/officeDocument/2006/relationships/hyperlink" Target="https://www.basketball-reference.com/teams/MIA/2014.html" TargetMode="External"/><Relationship Id="rId12" Type="http://schemas.openxmlformats.org/officeDocument/2006/relationships/comments" Target="../comments16.xml"/><Relationship Id="rId2" Type="http://schemas.openxmlformats.org/officeDocument/2006/relationships/hyperlink" Target="https://www.basketball-reference.com/teams/MIA/2019.html" TargetMode="External"/><Relationship Id="rId1" Type="http://schemas.openxmlformats.org/officeDocument/2006/relationships/hyperlink" Target="https://www.basketball-reference.com/teams/MIA/2020.html" TargetMode="External"/><Relationship Id="rId6" Type="http://schemas.openxmlformats.org/officeDocument/2006/relationships/hyperlink" Target="https://www.basketball-reference.com/teams/MIA/2015.html" TargetMode="External"/><Relationship Id="rId11" Type="http://schemas.openxmlformats.org/officeDocument/2006/relationships/vmlDrawing" Target="../drawings/vmlDrawing16.vml"/><Relationship Id="rId5" Type="http://schemas.openxmlformats.org/officeDocument/2006/relationships/hyperlink" Target="https://www.basketball-reference.com/teams/MIA/2016.html" TargetMode="External"/><Relationship Id="rId10" Type="http://schemas.openxmlformats.org/officeDocument/2006/relationships/hyperlink" Target="https://www.basketball-reference.com/teams/MIA/2011.html" TargetMode="External"/><Relationship Id="rId4" Type="http://schemas.openxmlformats.org/officeDocument/2006/relationships/hyperlink" Target="https://www.basketball-reference.com/teams/MIA/2017.html" TargetMode="External"/><Relationship Id="rId9" Type="http://schemas.openxmlformats.org/officeDocument/2006/relationships/hyperlink" Target="https://www.basketball-reference.com/teams/MIA/2012.html"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www.basketball-reference.com/teams/MIL/2013.html" TargetMode="External"/><Relationship Id="rId13" Type="http://schemas.microsoft.com/office/2017/10/relationships/threadedComment" Target="../threadedComments/threadedComment17.xml"/><Relationship Id="rId3" Type="http://schemas.openxmlformats.org/officeDocument/2006/relationships/hyperlink" Target="https://www.basketball-reference.com/teams/MIL/2018.html" TargetMode="External"/><Relationship Id="rId7" Type="http://schemas.openxmlformats.org/officeDocument/2006/relationships/hyperlink" Target="https://www.basketball-reference.com/teams/MIL/2014.html" TargetMode="External"/><Relationship Id="rId12" Type="http://schemas.openxmlformats.org/officeDocument/2006/relationships/comments" Target="../comments17.xml"/><Relationship Id="rId2" Type="http://schemas.openxmlformats.org/officeDocument/2006/relationships/hyperlink" Target="https://www.basketball-reference.com/teams/MIL/2019.html" TargetMode="External"/><Relationship Id="rId1" Type="http://schemas.openxmlformats.org/officeDocument/2006/relationships/hyperlink" Target="https://www.basketball-reference.com/teams/MIL/2020.html" TargetMode="External"/><Relationship Id="rId6" Type="http://schemas.openxmlformats.org/officeDocument/2006/relationships/hyperlink" Target="https://www.basketball-reference.com/teams/MIL/2015.html" TargetMode="External"/><Relationship Id="rId11" Type="http://schemas.openxmlformats.org/officeDocument/2006/relationships/vmlDrawing" Target="../drawings/vmlDrawing17.vml"/><Relationship Id="rId5" Type="http://schemas.openxmlformats.org/officeDocument/2006/relationships/hyperlink" Target="https://www.basketball-reference.com/teams/MIL/2016.html" TargetMode="External"/><Relationship Id="rId10" Type="http://schemas.openxmlformats.org/officeDocument/2006/relationships/hyperlink" Target="https://www.basketball-reference.com/teams/MIL/2011.html" TargetMode="External"/><Relationship Id="rId4" Type="http://schemas.openxmlformats.org/officeDocument/2006/relationships/hyperlink" Target="https://www.basketball-reference.com/teams/MIL/2017.html" TargetMode="External"/><Relationship Id="rId9" Type="http://schemas.openxmlformats.org/officeDocument/2006/relationships/hyperlink" Target="https://www.basketball-reference.com/teams/MIL/2012.html"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www.basketball-reference.com/teams/MIN/2013.html" TargetMode="External"/><Relationship Id="rId13" Type="http://schemas.microsoft.com/office/2017/10/relationships/threadedComment" Target="../threadedComments/threadedComment18.xml"/><Relationship Id="rId3" Type="http://schemas.openxmlformats.org/officeDocument/2006/relationships/hyperlink" Target="https://www.basketball-reference.com/teams/MIN/2018.html" TargetMode="External"/><Relationship Id="rId7" Type="http://schemas.openxmlformats.org/officeDocument/2006/relationships/hyperlink" Target="https://www.basketball-reference.com/teams/MIN/2014.html" TargetMode="External"/><Relationship Id="rId12" Type="http://schemas.openxmlformats.org/officeDocument/2006/relationships/comments" Target="../comments18.xml"/><Relationship Id="rId2" Type="http://schemas.openxmlformats.org/officeDocument/2006/relationships/hyperlink" Target="https://www.basketball-reference.com/teams/MIN/2019.html" TargetMode="External"/><Relationship Id="rId1" Type="http://schemas.openxmlformats.org/officeDocument/2006/relationships/hyperlink" Target="https://www.basketball-reference.com/teams/MIN/2020.html" TargetMode="External"/><Relationship Id="rId6" Type="http://schemas.openxmlformats.org/officeDocument/2006/relationships/hyperlink" Target="https://www.basketball-reference.com/teams/MIN/2015.html" TargetMode="External"/><Relationship Id="rId11" Type="http://schemas.openxmlformats.org/officeDocument/2006/relationships/vmlDrawing" Target="../drawings/vmlDrawing18.vml"/><Relationship Id="rId5" Type="http://schemas.openxmlformats.org/officeDocument/2006/relationships/hyperlink" Target="https://www.basketball-reference.com/teams/MIN/2016.html" TargetMode="External"/><Relationship Id="rId10" Type="http://schemas.openxmlformats.org/officeDocument/2006/relationships/hyperlink" Target="https://www.basketball-reference.com/teams/MIN/2011.html" TargetMode="External"/><Relationship Id="rId4" Type="http://schemas.openxmlformats.org/officeDocument/2006/relationships/hyperlink" Target="https://www.basketball-reference.com/teams/MIN/2017.html" TargetMode="External"/><Relationship Id="rId9" Type="http://schemas.openxmlformats.org/officeDocument/2006/relationships/hyperlink" Target="https://www.basketball-reference.com/teams/MIN/2012.html"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s://www.basketball-reference.com/teams/NOH/2013.html" TargetMode="External"/><Relationship Id="rId13" Type="http://schemas.microsoft.com/office/2017/10/relationships/threadedComment" Target="../threadedComments/threadedComment19.xml"/><Relationship Id="rId3" Type="http://schemas.openxmlformats.org/officeDocument/2006/relationships/hyperlink" Target="https://www.basketball-reference.com/teams/NOP/2018.html" TargetMode="External"/><Relationship Id="rId7" Type="http://schemas.openxmlformats.org/officeDocument/2006/relationships/hyperlink" Target="https://www.basketball-reference.com/teams/NOP/2014.html" TargetMode="External"/><Relationship Id="rId12" Type="http://schemas.openxmlformats.org/officeDocument/2006/relationships/comments" Target="../comments19.xml"/><Relationship Id="rId2" Type="http://schemas.openxmlformats.org/officeDocument/2006/relationships/hyperlink" Target="https://www.basketball-reference.com/teams/NOP/2019.html" TargetMode="External"/><Relationship Id="rId1" Type="http://schemas.openxmlformats.org/officeDocument/2006/relationships/hyperlink" Target="https://www.basketball-reference.com/teams/NOP/2020.html" TargetMode="External"/><Relationship Id="rId6" Type="http://schemas.openxmlformats.org/officeDocument/2006/relationships/hyperlink" Target="https://www.basketball-reference.com/teams/NOP/2015.html" TargetMode="External"/><Relationship Id="rId11" Type="http://schemas.openxmlformats.org/officeDocument/2006/relationships/vmlDrawing" Target="../drawings/vmlDrawing19.vml"/><Relationship Id="rId5" Type="http://schemas.openxmlformats.org/officeDocument/2006/relationships/hyperlink" Target="https://www.basketball-reference.com/teams/NOP/2016.html" TargetMode="External"/><Relationship Id="rId10" Type="http://schemas.openxmlformats.org/officeDocument/2006/relationships/hyperlink" Target="https://www.basketball-reference.com/teams/NOH/2011.html" TargetMode="External"/><Relationship Id="rId4" Type="http://schemas.openxmlformats.org/officeDocument/2006/relationships/hyperlink" Target="https://www.basketball-reference.com/teams/NOP/2017.html" TargetMode="External"/><Relationship Id="rId9" Type="http://schemas.openxmlformats.org/officeDocument/2006/relationships/hyperlink" Target="https://www.basketball-reference.com/teams/NOH/2012.html" TargetMode="Externa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8" Type="http://schemas.openxmlformats.org/officeDocument/2006/relationships/hyperlink" Target="https://www.basketball-reference.com/teams/NYK/2013.html" TargetMode="External"/><Relationship Id="rId13" Type="http://schemas.microsoft.com/office/2017/10/relationships/threadedComment" Target="../threadedComments/threadedComment20.xml"/><Relationship Id="rId3" Type="http://schemas.openxmlformats.org/officeDocument/2006/relationships/hyperlink" Target="https://www.basketball-reference.com/teams/NYK/2018.html" TargetMode="External"/><Relationship Id="rId7" Type="http://schemas.openxmlformats.org/officeDocument/2006/relationships/hyperlink" Target="https://www.basketball-reference.com/teams/NYK/2014.html" TargetMode="External"/><Relationship Id="rId12" Type="http://schemas.openxmlformats.org/officeDocument/2006/relationships/comments" Target="../comments20.xml"/><Relationship Id="rId2" Type="http://schemas.openxmlformats.org/officeDocument/2006/relationships/hyperlink" Target="https://www.basketball-reference.com/teams/NYK/2019.html" TargetMode="External"/><Relationship Id="rId1" Type="http://schemas.openxmlformats.org/officeDocument/2006/relationships/hyperlink" Target="https://www.basketball-reference.com/teams/NYK/2020.html" TargetMode="External"/><Relationship Id="rId6" Type="http://schemas.openxmlformats.org/officeDocument/2006/relationships/hyperlink" Target="https://www.basketball-reference.com/teams/NYK/2015.html" TargetMode="External"/><Relationship Id="rId11" Type="http://schemas.openxmlformats.org/officeDocument/2006/relationships/vmlDrawing" Target="../drawings/vmlDrawing20.vml"/><Relationship Id="rId5" Type="http://schemas.openxmlformats.org/officeDocument/2006/relationships/hyperlink" Target="https://www.basketball-reference.com/teams/NYK/2016.html" TargetMode="External"/><Relationship Id="rId10" Type="http://schemas.openxmlformats.org/officeDocument/2006/relationships/hyperlink" Target="https://www.basketball-reference.com/teams/NYK/2011.html" TargetMode="External"/><Relationship Id="rId4" Type="http://schemas.openxmlformats.org/officeDocument/2006/relationships/hyperlink" Target="https://www.basketball-reference.com/teams/NYK/2017.html" TargetMode="External"/><Relationship Id="rId9" Type="http://schemas.openxmlformats.org/officeDocument/2006/relationships/hyperlink" Target="https://www.basketball-reference.com/teams/NYK/2012.html" TargetMode="External"/></Relationships>
</file>

<file path=xl/worksheets/_rels/sheet21.xml.rels><?xml version="1.0" encoding="UTF-8" standalone="yes"?>
<Relationships xmlns="http://schemas.openxmlformats.org/package/2006/relationships"><Relationship Id="rId8" Type="http://schemas.openxmlformats.org/officeDocument/2006/relationships/hyperlink" Target="https://www.basketball-reference.com/teams/OKC/2013.html" TargetMode="External"/><Relationship Id="rId13" Type="http://schemas.microsoft.com/office/2017/10/relationships/threadedComment" Target="../threadedComments/threadedComment21.xml"/><Relationship Id="rId3" Type="http://schemas.openxmlformats.org/officeDocument/2006/relationships/hyperlink" Target="https://www.basketball-reference.com/teams/OKC/2018.html" TargetMode="External"/><Relationship Id="rId7" Type="http://schemas.openxmlformats.org/officeDocument/2006/relationships/hyperlink" Target="https://www.basketball-reference.com/teams/OKC/2014.html" TargetMode="External"/><Relationship Id="rId12" Type="http://schemas.openxmlformats.org/officeDocument/2006/relationships/comments" Target="../comments21.xml"/><Relationship Id="rId2" Type="http://schemas.openxmlformats.org/officeDocument/2006/relationships/hyperlink" Target="https://www.basketball-reference.com/teams/OKC/2019.html" TargetMode="External"/><Relationship Id="rId1" Type="http://schemas.openxmlformats.org/officeDocument/2006/relationships/hyperlink" Target="https://www.basketball-reference.com/teams/OKC/2020.html" TargetMode="External"/><Relationship Id="rId6" Type="http://schemas.openxmlformats.org/officeDocument/2006/relationships/hyperlink" Target="https://www.basketball-reference.com/teams/OKC/2015.html" TargetMode="External"/><Relationship Id="rId11" Type="http://schemas.openxmlformats.org/officeDocument/2006/relationships/vmlDrawing" Target="../drawings/vmlDrawing21.vml"/><Relationship Id="rId5" Type="http://schemas.openxmlformats.org/officeDocument/2006/relationships/hyperlink" Target="https://www.basketball-reference.com/teams/OKC/2016.html" TargetMode="External"/><Relationship Id="rId10" Type="http://schemas.openxmlformats.org/officeDocument/2006/relationships/hyperlink" Target="https://www.basketball-reference.com/teams/OKC/2011.html" TargetMode="External"/><Relationship Id="rId4" Type="http://schemas.openxmlformats.org/officeDocument/2006/relationships/hyperlink" Target="https://www.basketball-reference.com/teams/OKC/2017.html" TargetMode="External"/><Relationship Id="rId9" Type="http://schemas.openxmlformats.org/officeDocument/2006/relationships/hyperlink" Target="https://www.basketball-reference.com/teams/OKC/2012.html" TargetMode="External"/></Relationships>
</file>

<file path=xl/worksheets/_rels/sheet22.xml.rels><?xml version="1.0" encoding="UTF-8" standalone="yes"?>
<Relationships xmlns="http://schemas.openxmlformats.org/package/2006/relationships"><Relationship Id="rId8" Type="http://schemas.openxmlformats.org/officeDocument/2006/relationships/hyperlink" Target="https://www.basketball-reference.com/teams/ORL/2012.html" TargetMode="External"/><Relationship Id="rId13" Type="http://schemas.microsoft.com/office/2017/10/relationships/threadedComment" Target="../threadedComments/threadedComment22.xml"/><Relationship Id="rId3" Type="http://schemas.openxmlformats.org/officeDocument/2006/relationships/hyperlink" Target="https://www.basketball-reference.com/teams/ORL/2017.html" TargetMode="External"/><Relationship Id="rId7" Type="http://schemas.openxmlformats.org/officeDocument/2006/relationships/hyperlink" Target="https://www.basketball-reference.com/teams/ORL/2013.html" TargetMode="External"/><Relationship Id="rId12" Type="http://schemas.openxmlformats.org/officeDocument/2006/relationships/comments" Target="../comments22.xml"/><Relationship Id="rId2" Type="http://schemas.openxmlformats.org/officeDocument/2006/relationships/hyperlink" Target="https://www.basketball-reference.com/teams/ORL/2018.html" TargetMode="External"/><Relationship Id="rId1" Type="http://schemas.openxmlformats.org/officeDocument/2006/relationships/hyperlink" Target="https://www.basketball-reference.com/teams/ORL/2019.html" TargetMode="External"/><Relationship Id="rId6" Type="http://schemas.openxmlformats.org/officeDocument/2006/relationships/hyperlink" Target="https://www.basketball-reference.com/teams/ORL/2014.html" TargetMode="External"/><Relationship Id="rId11" Type="http://schemas.openxmlformats.org/officeDocument/2006/relationships/vmlDrawing" Target="../drawings/vmlDrawing22.vml"/><Relationship Id="rId5" Type="http://schemas.openxmlformats.org/officeDocument/2006/relationships/hyperlink" Target="https://www.basketball-reference.com/teams/ORL/2015.html" TargetMode="External"/><Relationship Id="rId10" Type="http://schemas.openxmlformats.org/officeDocument/2006/relationships/hyperlink" Target="https://www.basketball-reference.com/teams/ORL/2020.html" TargetMode="External"/><Relationship Id="rId4" Type="http://schemas.openxmlformats.org/officeDocument/2006/relationships/hyperlink" Target="https://www.basketball-reference.com/teams/ORL/2016.html" TargetMode="External"/><Relationship Id="rId9" Type="http://schemas.openxmlformats.org/officeDocument/2006/relationships/hyperlink" Target="https://www.basketball-reference.com/teams/ORL/2011.html"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https://www.basketball-reference.com/teams/PHI/2013.html" TargetMode="External"/><Relationship Id="rId13" Type="http://schemas.microsoft.com/office/2017/10/relationships/threadedComment" Target="../threadedComments/threadedComment23.xml"/><Relationship Id="rId3" Type="http://schemas.openxmlformats.org/officeDocument/2006/relationships/hyperlink" Target="https://www.basketball-reference.com/teams/PHI/2018.html" TargetMode="External"/><Relationship Id="rId7" Type="http://schemas.openxmlformats.org/officeDocument/2006/relationships/hyperlink" Target="https://www.basketball-reference.com/teams/PHI/2014.html" TargetMode="External"/><Relationship Id="rId12" Type="http://schemas.openxmlformats.org/officeDocument/2006/relationships/comments" Target="../comments23.xml"/><Relationship Id="rId2" Type="http://schemas.openxmlformats.org/officeDocument/2006/relationships/hyperlink" Target="https://www.basketball-reference.com/teams/PHI/2019.html" TargetMode="External"/><Relationship Id="rId1" Type="http://schemas.openxmlformats.org/officeDocument/2006/relationships/hyperlink" Target="https://www.basketball-reference.com/teams/PHI/2020.html" TargetMode="External"/><Relationship Id="rId6" Type="http://schemas.openxmlformats.org/officeDocument/2006/relationships/hyperlink" Target="https://www.basketball-reference.com/teams/PHI/2015.html" TargetMode="External"/><Relationship Id="rId11" Type="http://schemas.openxmlformats.org/officeDocument/2006/relationships/vmlDrawing" Target="../drawings/vmlDrawing23.vml"/><Relationship Id="rId5" Type="http://schemas.openxmlformats.org/officeDocument/2006/relationships/hyperlink" Target="https://www.basketball-reference.com/teams/PHI/2016.html" TargetMode="External"/><Relationship Id="rId10" Type="http://schemas.openxmlformats.org/officeDocument/2006/relationships/hyperlink" Target="https://www.basketball-reference.com/teams/PHI/2011.html" TargetMode="External"/><Relationship Id="rId4" Type="http://schemas.openxmlformats.org/officeDocument/2006/relationships/hyperlink" Target="https://www.basketball-reference.com/teams/PHI/2017.html" TargetMode="External"/><Relationship Id="rId9" Type="http://schemas.openxmlformats.org/officeDocument/2006/relationships/hyperlink" Target="https://www.basketball-reference.com/teams/PHI/2012.html"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https://www.basketball-reference.com/teams/PHO/2013.html" TargetMode="External"/><Relationship Id="rId13" Type="http://schemas.microsoft.com/office/2017/10/relationships/threadedComment" Target="../threadedComments/threadedComment24.xml"/><Relationship Id="rId3" Type="http://schemas.openxmlformats.org/officeDocument/2006/relationships/hyperlink" Target="https://www.basketball-reference.com/teams/PHO/2018.html" TargetMode="External"/><Relationship Id="rId7" Type="http://schemas.openxmlformats.org/officeDocument/2006/relationships/hyperlink" Target="https://www.basketball-reference.com/teams/PHO/2014.html" TargetMode="External"/><Relationship Id="rId12" Type="http://schemas.openxmlformats.org/officeDocument/2006/relationships/comments" Target="../comments24.xml"/><Relationship Id="rId2" Type="http://schemas.openxmlformats.org/officeDocument/2006/relationships/hyperlink" Target="https://www.basketball-reference.com/teams/PHO/2019.html" TargetMode="External"/><Relationship Id="rId1" Type="http://schemas.openxmlformats.org/officeDocument/2006/relationships/hyperlink" Target="https://www.basketball-reference.com/teams/PHO/2020.html" TargetMode="External"/><Relationship Id="rId6" Type="http://schemas.openxmlformats.org/officeDocument/2006/relationships/hyperlink" Target="https://www.basketball-reference.com/teams/PHO/2015.html" TargetMode="External"/><Relationship Id="rId11" Type="http://schemas.openxmlformats.org/officeDocument/2006/relationships/vmlDrawing" Target="../drawings/vmlDrawing24.vml"/><Relationship Id="rId5" Type="http://schemas.openxmlformats.org/officeDocument/2006/relationships/hyperlink" Target="https://www.basketball-reference.com/teams/PHO/2016.html" TargetMode="External"/><Relationship Id="rId10" Type="http://schemas.openxmlformats.org/officeDocument/2006/relationships/hyperlink" Target="https://www.basketball-reference.com/teams/PHO/2011.html" TargetMode="External"/><Relationship Id="rId4" Type="http://schemas.openxmlformats.org/officeDocument/2006/relationships/hyperlink" Target="https://www.basketball-reference.com/teams/PHO/2017.html" TargetMode="External"/><Relationship Id="rId9" Type="http://schemas.openxmlformats.org/officeDocument/2006/relationships/hyperlink" Target="https://www.basketball-reference.com/teams/PHO/2012.html"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https://www.basketball-reference.com/teams/POR/2013.html" TargetMode="External"/><Relationship Id="rId13" Type="http://schemas.microsoft.com/office/2017/10/relationships/threadedComment" Target="../threadedComments/threadedComment25.xml"/><Relationship Id="rId3" Type="http://schemas.openxmlformats.org/officeDocument/2006/relationships/hyperlink" Target="https://www.basketball-reference.com/teams/POR/2018.html" TargetMode="External"/><Relationship Id="rId7" Type="http://schemas.openxmlformats.org/officeDocument/2006/relationships/hyperlink" Target="https://www.basketball-reference.com/teams/POR/2014.html" TargetMode="External"/><Relationship Id="rId12" Type="http://schemas.openxmlformats.org/officeDocument/2006/relationships/comments" Target="../comments25.xml"/><Relationship Id="rId2" Type="http://schemas.openxmlformats.org/officeDocument/2006/relationships/hyperlink" Target="https://www.basketball-reference.com/teams/POR/2019.html" TargetMode="External"/><Relationship Id="rId1" Type="http://schemas.openxmlformats.org/officeDocument/2006/relationships/hyperlink" Target="https://www.basketball-reference.com/teams/POR/2020.html" TargetMode="External"/><Relationship Id="rId6" Type="http://schemas.openxmlformats.org/officeDocument/2006/relationships/hyperlink" Target="https://www.basketball-reference.com/teams/POR/2015.html" TargetMode="External"/><Relationship Id="rId11" Type="http://schemas.openxmlformats.org/officeDocument/2006/relationships/vmlDrawing" Target="../drawings/vmlDrawing25.vml"/><Relationship Id="rId5" Type="http://schemas.openxmlformats.org/officeDocument/2006/relationships/hyperlink" Target="https://www.basketball-reference.com/teams/POR/2016.html" TargetMode="External"/><Relationship Id="rId10" Type="http://schemas.openxmlformats.org/officeDocument/2006/relationships/hyperlink" Target="https://www.basketball-reference.com/teams/POR/2011.html" TargetMode="External"/><Relationship Id="rId4" Type="http://schemas.openxmlformats.org/officeDocument/2006/relationships/hyperlink" Target="https://www.basketball-reference.com/teams/POR/2017.html" TargetMode="External"/><Relationship Id="rId9" Type="http://schemas.openxmlformats.org/officeDocument/2006/relationships/hyperlink" Target="https://www.basketball-reference.com/teams/POR/2012.html"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https://www.basketball-reference.com/teams/SAC/2013.html" TargetMode="External"/><Relationship Id="rId13" Type="http://schemas.microsoft.com/office/2017/10/relationships/threadedComment" Target="../threadedComments/threadedComment26.xml"/><Relationship Id="rId3" Type="http://schemas.openxmlformats.org/officeDocument/2006/relationships/hyperlink" Target="https://www.basketball-reference.com/teams/SAC/2018.html" TargetMode="External"/><Relationship Id="rId7" Type="http://schemas.openxmlformats.org/officeDocument/2006/relationships/hyperlink" Target="https://www.basketball-reference.com/teams/SAC/2014.html" TargetMode="External"/><Relationship Id="rId12" Type="http://schemas.openxmlformats.org/officeDocument/2006/relationships/comments" Target="../comments26.xml"/><Relationship Id="rId2" Type="http://schemas.openxmlformats.org/officeDocument/2006/relationships/hyperlink" Target="https://www.basketball-reference.com/teams/SAC/2019.html" TargetMode="External"/><Relationship Id="rId1" Type="http://schemas.openxmlformats.org/officeDocument/2006/relationships/hyperlink" Target="https://www.basketball-reference.com/teams/SAC/2020.html" TargetMode="External"/><Relationship Id="rId6" Type="http://schemas.openxmlformats.org/officeDocument/2006/relationships/hyperlink" Target="https://www.basketball-reference.com/teams/SAC/2015.html" TargetMode="External"/><Relationship Id="rId11" Type="http://schemas.openxmlformats.org/officeDocument/2006/relationships/vmlDrawing" Target="../drawings/vmlDrawing26.vml"/><Relationship Id="rId5" Type="http://schemas.openxmlformats.org/officeDocument/2006/relationships/hyperlink" Target="https://www.basketball-reference.com/teams/SAC/2016.html" TargetMode="External"/><Relationship Id="rId10" Type="http://schemas.openxmlformats.org/officeDocument/2006/relationships/hyperlink" Target="https://www.basketball-reference.com/teams/SAC/2011.html" TargetMode="External"/><Relationship Id="rId4" Type="http://schemas.openxmlformats.org/officeDocument/2006/relationships/hyperlink" Target="https://www.basketball-reference.com/teams/SAC/2017.html" TargetMode="External"/><Relationship Id="rId9" Type="http://schemas.openxmlformats.org/officeDocument/2006/relationships/hyperlink" Target="https://www.basketball-reference.com/teams/SAC/2012.html" TargetMode="External"/></Relationships>
</file>

<file path=xl/worksheets/_rels/sheet27.xml.rels><?xml version="1.0" encoding="UTF-8" standalone="yes"?>
<Relationships xmlns="http://schemas.openxmlformats.org/package/2006/relationships"><Relationship Id="rId8" Type="http://schemas.openxmlformats.org/officeDocument/2006/relationships/hyperlink" Target="https://www.basketball-reference.com/teams/SAS/2013.html" TargetMode="External"/><Relationship Id="rId13" Type="http://schemas.microsoft.com/office/2017/10/relationships/threadedComment" Target="../threadedComments/threadedComment27.xml"/><Relationship Id="rId3" Type="http://schemas.openxmlformats.org/officeDocument/2006/relationships/hyperlink" Target="https://www.basketball-reference.com/teams/SAS/2018.html" TargetMode="External"/><Relationship Id="rId7" Type="http://schemas.openxmlformats.org/officeDocument/2006/relationships/hyperlink" Target="https://www.basketball-reference.com/teams/SAS/2014.html" TargetMode="External"/><Relationship Id="rId12" Type="http://schemas.openxmlformats.org/officeDocument/2006/relationships/comments" Target="../comments27.xml"/><Relationship Id="rId2" Type="http://schemas.openxmlformats.org/officeDocument/2006/relationships/hyperlink" Target="https://www.basketball-reference.com/teams/SAS/2019.html" TargetMode="External"/><Relationship Id="rId1" Type="http://schemas.openxmlformats.org/officeDocument/2006/relationships/hyperlink" Target="https://www.basketball-reference.com/teams/SAS/2020.html" TargetMode="External"/><Relationship Id="rId6" Type="http://schemas.openxmlformats.org/officeDocument/2006/relationships/hyperlink" Target="https://www.basketball-reference.com/teams/SAS/2015.html" TargetMode="External"/><Relationship Id="rId11" Type="http://schemas.openxmlformats.org/officeDocument/2006/relationships/vmlDrawing" Target="../drawings/vmlDrawing27.vml"/><Relationship Id="rId5" Type="http://schemas.openxmlformats.org/officeDocument/2006/relationships/hyperlink" Target="https://www.basketball-reference.com/teams/SAS/2016.html" TargetMode="External"/><Relationship Id="rId10" Type="http://schemas.openxmlformats.org/officeDocument/2006/relationships/hyperlink" Target="https://www.basketball-reference.com/teams/SAS/2011.html" TargetMode="External"/><Relationship Id="rId4" Type="http://schemas.openxmlformats.org/officeDocument/2006/relationships/hyperlink" Target="https://www.basketball-reference.com/teams/SAS/2017.html" TargetMode="External"/><Relationship Id="rId9" Type="http://schemas.openxmlformats.org/officeDocument/2006/relationships/hyperlink" Target="https://www.basketball-reference.com/teams/SAS/2012.html" TargetMode="External"/></Relationships>
</file>

<file path=xl/worksheets/_rels/sheet28.xml.rels><?xml version="1.0" encoding="UTF-8" standalone="yes"?>
<Relationships xmlns="http://schemas.openxmlformats.org/package/2006/relationships"><Relationship Id="rId8" Type="http://schemas.openxmlformats.org/officeDocument/2006/relationships/hyperlink" Target="https://www.basketball-reference.com/teams/TOR/2013.html" TargetMode="External"/><Relationship Id="rId13" Type="http://schemas.microsoft.com/office/2017/10/relationships/threadedComment" Target="../threadedComments/threadedComment28.xml"/><Relationship Id="rId3" Type="http://schemas.openxmlformats.org/officeDocument/2006/relationships/hyperlink" Target="https://www.basketball-reference.com/teams/TOR/2018.html" TargetMode="External"/><Relationship Id="rId7" Type="http://schemas.openxmlformats.org/officeDocument/2006/relationships/hyperlink" Target="https://www.basketball-reference.com/teams/TOR/2014.html" TargetMode="External"/><Relationship Id="rId12" Type="http://schemas.openxmlformats.org/officeDocument/2006/relationships/comments" Target="../comments28.xml"/><Relationship Id="rId2" Type="http://schemas.openxmlformats.org/officeDocument/2006/relationships/hyperlink" Target="https://www.basketball-reference.com/teams/TOR/2019.html" TargetMode="External"/><Relationship Id="rId1" Type="http://schemas.openxmlformats.org/officeDocument/2006/relationships/hyperlink" Target="https://www.basketball-reference.com/teams/TOR/2020.html" TargetMode="External"/><Relationship Id="rId6" Type="http://schemas.openxmlformats.org/officeDocument/2006/relationships/hyperlink" Target="https://www.basketball-reference.com/teams/TOR/2015.html" TargetMode="External"/><Relationship Id="rId11" Type="http://schemas.openxmlformats.org/officeDocument/2006/relationships/vmlDrawing" Target="../drawings/vmlDrawing28.vml"/><Relationship Id="rId5" Type="http://schemas.openxmlformats.org/officeDocument/2006/relationships/hyperlink" Target="https://www.basketball-reference.com/teams/TOR/2016.html" TargetMode="External"/><Relationship Id="rId10" Type="http://schemas.openxmlformats.org/officeDocument/2006/relationships/hyperlink" Target="https://www.basketball-reference.com/teams/TOR/2011.html" TargetMode="External"/><Relationship Id="rId4" Type="http://schemas.openxmlformats.org/officeDocument/2006/relationships/hyperlink" Target="https://www.basketball-reference.com/teams/TOR/2017.html" TargetMode="External"/><Relationship Id="rId9" Type="http://schemas.openxmlformats.org/officeDocument/2006/relationships/hyperlink" Target="https://www.basketball-reference.com/teams/TOR/2012.html" TargetMode="External"/></Relationships>
</file>

<file path=xl/worksheets/_rels/sheet29.xml.rels><?xml version="1.0" encoding="UTF-8" standalone="yes"?>
<Relationships xmlns="http://schemas.openxmlformats.org/package/2006/relationships"><Relationship Id="rId3" Type="http://schemas.microsoft.com/office/2017/10/relationships/threadedComment" Target="../threadedComments/threadedComment29.xml"/><Relationship Id="rId2" Type="http://schemas.openxmlformats.org/officeDocument/2006/relationships/comments" Target="../comments29.xml"/><Relationship Id="rId1" Type="http://schemas.openxmlformats.org/officeDocument/2006/relationships/vmlDrawing" Target="../drawings/vmlDrawing29.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0.xml.rels><?xml version="1.0" encoding="UTF-8" standalone="yes"?>
<Relationships xmlns="http://schemas.openxmlformats.org/package/2006/relationships"><Relationship Id="rId8" Type="http://schemas.openxmlformats.org/officeDocument/2006/relationships/hyperlink" Target="https://www.basketball-reference.com/teams/WAS/2013.html" TargetMode="External"/><Relationship Id="rId13" Type="http://schemas.microsoft.com/office/2017/10/relationships/threadedComment" Target="../threadedComments/threadedComment30.xml"/><Relationship Id="rId3" Type="http://schemas.openxmlformats.org/officeDocument/2006/relationships/hyperlink" Target="https://www.basketball-reference.com/teams/WAS/2018.html" TargetMode="External"/><Relationship Id="rId7" Type="http://schemas.openxmlformats.org/officeDocument/2006/relationships/hyperlink" Target="https://www.basketball-reference.com/teams/WAS/2014.html" TargetMode="External"/><Relationship Id="rId12" Type="http://schemas.openxmlformats.org/officeDocument/2006/relationships/comments" Target="../comments30.xml"/><Relationship Id="rId2" Type="http://schemas.openxmlformats.org/officeDocument/2006/relationships/hyperlink" Target="https://www.basketball-reference.com/teams/WAS/2019.html" TargetMode="External"/><Relationship Id="rId1" Type="http://schemas.openxmlformats.org/officeDocument/2006/relationships/hyperlink" Target="https://www.basketball-reference.com/teams/WAS/2020.html" TargetMode="External"/><Relationship Id="rId6" Type="http://schemas.openxmlformats.org/officeDocument/2006/relationships/hyperlink" Target="https://www.basketball-reference.com/teams/WAS/2015.html" TargetMode="External"/><Relationship Id="rId11" Type="http://schemas.openxmlformats.org/officeDocument/2006/relationships/vmlDrawing" Target="../drawings/vmlDrawing30.vml"/><Relationship Id="rId5" Type="http://schemas.openxmlformats.org/officeDocument/2006/relationships/hyperlink" Target="https://www.basketball-reference.com/teams/WAS/2016.html" TargetMode="External"/><Relationship Id="rId10" Type="http://schemas.openxmlformats.org/officeDocument/2006/relationships/hyperlink" Target="https://www.basketball-reference.com/teams/WAS/2011.html" TargetMode="External"/><Relationship Id="rId4" Type="http://schemas.openxmlformats.org/officeDocument/2006/relationships/hyperlink" Target="https://www.basketball-reference.com/teams/WAS/2017.html" TargetMode="External"/><Relationship Id="rId9" Type="http://schemas.openxmlformats.org/officeDocument/2006/relationships/hyperlink" Target="https://www.basketball-reference.com/teams/WAS/2012.html" TargetMode="Externa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8" Type="http://schemas.openxmlformats.org/officeDocument/2006/relationships/hyperlink" Target="https://www.basketball-reference.com/teams/DET/2013.html" TargetMode="External"/><Relationship Id="rId13" Type="http://schemas.microsoft.com/office/2017/10/relationships/threadedComment" Target="../threadedComments/threadedComment9.xml"/><Relationship Id="rId3" Type="http://schemas.openxmlformats.org/officeDocument/2006/relationships/hyperlink" Target="https://www.basketball-reference.com/teams/DET/2018.html" TargetMode="External"/><Relationship Id="rId7" Type="http://schemas.openxmlformats.org/officeDocument/2006/relationships/hyperlink" Target="https://www.basketball-reference.com/teams/DET/2014.html" TargetMode="External"/><Relationship Id="rId12" Type="http://schemas.openxmlformats.org/officeDocument/2006/relationships/comments" Target="../comments9.xml"/><Relationship Id="rId2" Type="http://schemas.openxmlformats.org/officeDocument/2006/relationships/hyperlink" Target="https://www.basketball-reference.com/teams/DET/2019.html" TargetMode="External"/><Relationship Id="rId1" Type="http://schemas.openxmlformats.org/officeDocument/2006/relationships/hyperlink" Target="https://www.basketball-reference.com/teams/DET/2020.html" TargetMode="External"/><Relationship Id="rId6" Type="http://schemas.openxmlformats.org/officeDocument/2006/relationships/hyperlink" Target="https://www.basketball-reference.com/teams/DET/2015.html" TargetMode="External"/><Relationship Id="rId11" Type="http://schemas.openxmlformats.org/officeDocument/2006/relationships/vmlDrawing" Target="../drawings/vmlDrawing9.vml"/><Relationship Id="rId5" Type="http://schemas.openxmlformats.org/officeDocument/2006/relationships/hyperlink" Target="https://www.basketball-reference.com/teams/DET/2016.html" TargetMode="External"/><Relationship Id="rId10" Type="http://schemas.openxmlformats.org/officeDocument/2006/relationships/hyperlink" Target="https://www.basketball-reference.com/leagues/NBA_2011.html" TargetMode="External"/><Relationship Id="rId4" Type="http://schemas.openxmlformats.org/officeDocument/2006/relationships/hyperlink" Target="https://www.basketball-reference.com/teams/DET/2017.html" TargetMode="External"/><Relationship Id="rId9" Type="http://schemas.openxmlformats.org/officeDocument/2006/relationships/hyperlink" Target="https://www.basketball-reference.com/teams/DET/2012.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5C8D4-1BD3-CE43-8BD3-E95E25400646}">
  <dimension ref="A1:AS65"/>
  <sheetViews>
    <sheetView zoomScaleNormal="100" workbookViewId="0"/>
  </sheetViews>
  <sheetFormatPr baseColWidth="10" defaultColWidth="10.83203125" defaultRowHeight="16" x14ac:dyDescent="0.2"/>
  <cols>
    <col min="1" max="1" width="4.33203125" style="3" customWidth="1"/>
    <col min="2" max="2" width="18.5" style="3" customWidth="1"/>
    <col min="3" max="3" width="10.83203125" style="3" customWidth="1"/>
    <col min="4" max="4" width="7.33203125" style="3" customWidth="1"/>
    <col min="5" max="5" width="10.6640625" style="3" customWidth="1"/>
    <col min="6" max="6" width="7.83203125" style="3" customWidth="1"/>
    <col min="7" max="7" width="10.5" style="3" customWidth="1"/>
    <col min="8" max="8" width="6.1640625" style="3" customWidth="1"/>
    <col min="9" max="9" width="19.6640625" style="3" customWidth="1"/>
    <col min="10" max="10" width="11.1640625" style="3" customWidth="1"/>
    <col min="11" max="11" width="11.6640625" style="3" customWidth="1"/>
    <col min="12" max="12" width="4.83203125" style="3" customWidth="1"/>
    <col min="13" max="13" width="24.83203125" style="3" customWidth="1"/>
    <col min="14" max="14" width="16.83203125" style="3" customWidth="1"/>
    <col min="15" max="15" width="42" style="3" customWidth="1"/>
    <col min="16" max="16" width="12.6640625" style="3" customWidth="1"/>
    <col min="17" max="17" width="12.5" style="3" customWidth="1"/>
    <col min="18" max="18" width="13.5" style="3" customWidth="1"/>
    <col min="19" max="19" width="12.1640625" style="3" customWidth="1"/>
    <col min="20" max="20" width="12" style="3" customWidth="1"/>
    <col min="21" max="21" width="10.33203125" style="3" customWidth="1"/>
    <col min="22" max="22" width="90.1640625" style="3" customWidth="1"/>
    <col min="23" max="23" width="26.1640625" style="3" customWidth="1"/>
    <col min="24" max="24" width="9.6640625" style="3" customWidth="1"/>
    <col min="25" max="25" width="4.6640625" style="3" customWidth="1"/>
    <col min="26" max="26" width="8.33203125" style="3" customWidth="1"/>
    <col min="27" max="28" width="5.83203125" style="3" customWidth="1"/>
    <col min="29" max="29" width="7.6640625" style="3" customWidth="1"/>
    <col min="30" max="30" width="4.83203125" style="3" customWidth="1"/>
    <col min="31" max="31" width="5" style="3" customWidth="1"/>
    <col min="32" max="32" width="6.1640625" style="3" customWidth="1"/>
    <col min="33" max="33" width="7.83203125" style="3" customWidth="1"/>
    <col min="34" max="34" width="5.1640625" style="3" customWidth="1"/>
    <col min="35" max="35" width="5" style="3" customWidth="1"/>
    <col min="36" max="36" width="7" style="3" customWidth="1"/>
    <col min="37" max="38" width="6.1640625" style="3" customWidth="1"/>
    <col min="39" max="39" width="5.83203125" style="3" customWidth="1"/>
    <col min="40" max="40" width="5.1640625" style="3" customWidth="1"/>
    <col min="41" max="16384" width="10.83203125" style="3"/>
  </cols>
  <sheetData>
    <row r="1" spans="1:45" x14ac:dyDescent="0.2">
      <c r="A1" s="223" t="s">
        <v>2394</v>
      </c>
      <c r="B1" s="223" t="s">
        <v>2395</v>
      </c>
      <c r="C1" s="223" t="s">
        <v>2396</v>
      </c>
      <c r="D1" s="223" t="s">
        <v>2397</v>
      </c>
      <c r="E1" s="223" t="s">
        <v>2398</v>
      </c>
      <c r="F1" s="223" t="s">
        <v>2399</v>
      </c>
      <c r="G1" s="223" t="s">
        <v>2400</v>
      </c>
      <c r="H1" s="223" t="s">
        <v>2401</v>
      </c>
      <c r="I1" s="223" t="s">
        <v>2402</v>
      </c>
      <c r="J1" s="223" t="s">
        <v>2403</v>
      </c>
      <c r="K1" s="223" t="s">
        <v>2404</v>
      </c>
      <c r="L1" s="223" t="s">
        <v>2405</v>
      </c>
      <c r="M1" s="223" t="s">
        <v>2406</v>
      </c>
      <c r="N1" s="223" t="s">
        <v>2407</v>
      </c>
      <c r="O1" s="223" t="s">
        <v>2408</v>
      </c>
      <c r="P1" s="223" t="s">
        <v>2409</v>
      </c>
      <c r="Q1" s="223" t="s">
        <v>2410</v>
      </c>
      <c r="R1" s="223" t="s">
        <v>2411</v>
      </c>
      <c r="S1" s="223" t="s">
        <v>2412</v>
      </c>
      <c r="T1" s="223" t="s">
        <v>2413</v>
      </c>
      <c r="U1" s="223" t="s">
        <v>2414</v>
      </c>
      <c r="V1" s="223" t="s">
        <v>2415</v>
      </c>
      <c r="W1" s="223" t="s">
        <v>2416</v>
      </c>
      <c r="X1" s="223" t="s">
        <v>2433</v>
      </c>
      <c r="Y1" s="223" t="s">
        <v>2417</v>
      </c>
      <c r="Z1" s="223" t="s">
        <v>2418</v>
      </c>
      <c r="AA1" s="223" t="s">
        <v>2419</v>
      </c>
      <c r="AB1" s="223" t="s">
        <v>2420</v>
      </c>
      <c r="AC1" s="223" t="s">
        <v>2421</v>
      </c>
      <c r="AD1" s="223" t="s">
        <v>2422</v>
      </c>
      <c r="AE1" s="223" t="s">
        <v>2423</v>
      </c>
      <c r="AF1" s="223" t="s">
        <v>2424</v>
      </c>
      <c r="AG1" s="223" t="s">
        <v>2425</v>
      </c>
      <c r="AH1" s="223" t="s">
        <v>2426</v>
      </c>
      <c r="AI1" s="223" t="s">
        <v>2427</v>
      </c>
      <c r="AJ1" s="223" t="s">
        <v>2428</v>
      </c>
      <c r="AK1" s="223" t="s">
        <v>2429</v>
      </c>
      <c r="AL1" s="223" t="s">
        <v>2430</v>
      </c>
      <c r="AM1" s="223" t="s">
        <v>2431</v>
      </c>
      <c r="AN1" s="223" t="s">
        <v>2432</v>
      </c>
      <c r="AO1" s="224"/>
      <c r="AP1" s="225"/>
      <c r="AQ1" s="6"/>
      <c r="AR1" s="6"/>
      <c r="AS1" s="6"/>
    </row>
    <row r="2" spans="1:45" x14ac:dyDescent="0.2">
      <c r="A2" s="110">
        <v>17</v>
      </c>
      <c r="B2" s="3" t="s">
        <v>192</v>
      </c>
      <c r="C2" s="3" t="s">
        <v>236</v>
      </c>
      <c r="D2" s="108">
        <v>610</v>
      </c>
      <c r="E2" s="108">
        <v>75</v>
      </c>
      <c r="F2" s="109">
        <v>240</v>
      </c>
      <c r="G2" s="4">
        <v>34472</v>
      </c>
      <c r="H2" s="113">
        <f t="shared" ref="H2:H10" ca="1" si="0">ROUNDDOWN(YEARFRAC($G$22,G2),1)</f>
        <v>26.4</v>
      </c>
      <c r="I2" s="3" t="s">
        <v>237</v>
      </c>
      <c r="J2" s="3">
        <v>7</v>
      </c>
      <c r="K2" s="110">
        <v>2014</v>
      </c>
      <c r="L2" s="112">
        <v>25</v>
      </c>
      <c r="M2" s="3" t="s">
        <v>238</v>
      </c>
      <c r="N2" s="3" t="s">
        <v>239</v>
      </c>
      <c r="O2" s="3" t="s">
        <v>2035</v>
      </c>
      <c r="P2" s="11">
        <v>16000000</v>
      </c>
      <c r="Q2" s="11">
        <v>17103448</v>
      </c>
      <c r="R2" s="11">
        <v>18206896</v>
      </c>
      <c r="S2" s="18">
        <f>R2*1.5</f>
        <v>27310344</v>
      </c>
      <c r="T2" s="17"/>
      <c r="V2" s="24" t="s">
        <v>2031</v>
      </c>
      <c r="W2" s="5" t="s">
        <v>240</v>
      </c>
      <c r="X2" s="110">
        <v>5</v>
      </c>
      <c r="Y2" s="110">
        <v>39</v>
      </c>
      <c r="Z2" s="41">
        <f>22/39</f>
        <v>0.5641025641025641</v>
      </c>
      <c r="AA2" s="113">
        <v>110</v>
      </c>
      <c r="AB2" s="113">
        <v>107.4</v>
      </c>
      <c r="AC2" s="113">
        <f t="shared" ref="AC2:AC10" si="1">AA2-AB2</f>
        <v>2.5999999999999943</v>
      </c>
      <c r="AD2" s="113">
        <v>32.799999999999997</v>
      </c>
      <c r="AE2" s="113">
        <v>20.7</v>
      </c>
      <c r="AF2" s="3">
        <v>0.626</v>
      </c>
      <c r="AG2" s="3">
        <v>16</v>
      </c>
      <c r="AH2" s="3">
        <v>2.9</v>
      </c>
      <c r="AI2" s="3">
        <v>2.1</v>
      </c>
      <c r="AJ2" s="41">
        <v>0.186</v>
      </c>
      <c r="AK2" s="113">
        <v>1.1000000000000001</v>
      </c>
      <c r="AL2" s="113">
        <v>0.4</v>
      </c>
      <c r="AM2" s="113">
        <v>1.1000000000000001</v>
      </c>
      <c r="AN2" s="113">
        <v>14.3</v>
      </c>
    </row>
    <row r="3" spans="1:45" x14ac:dyDescent="0.2">
      <c r="A3" s="110">
        <v>14</v>
      </c>
      <c r="B3" s="3" t="s">
        <v>193</v>
      </c>
      <c r="C3" s="3" t="s">
        <v>236</v>
      </c>
      <c r="D3" s="108">
        <v>70</v>
      </c>
      <c r="E3" s="108">
        <v>74</v>
      </c>
      <c r="F3" s="109">
        <v>245</v>
      </c>
      <c r="G3" s="4">
        <v>32732</v>
      </c>
      <c r="H3" s="113">
        <f t="shared" ca="1" si="0"/>
        <v>31.2</v>
      </c>
      <c r="I3" s="3" t="s">
        <v>226</v>
      </c>
      <c r="J3" s="3">
        <v>8</v>
      </c>
      <c r="K3" s="110">
        <v>2013</v>
      </c>
      <c r="L3" s="112"/>
      <c r="M3" s="3" t="s">
        <v>241</v>
      </c>
      <c r="N3" s="3" t="s">
        <v>242</v>
      </c>
      <c r="O3" s="3" t="s">
        <v>2220</v>
      </c>
      <c r="P3" s="11">
        <v>13333333</v>
      </c>
      <c r="Q3" s="30">
        <v>13333333</v>
      </c>
      <c r="R3" s="18">
        <f>Q3*1.5</f>
        <v>19999999.5</v>
      </c>
      <c r="V3" s="24" t="s">
        <v>2038</v>
      </c>
      <c r="W3" s="5" t="s">
        <v>240</v>
      </c>
      <c r="X3" s="110">
        <v>5</v>
      </c>
      <c r="Y3" s="110">
        <v>10</v>
      </c>
      <c r="Z3" s="41">
        <f>4/10</f>
        <v>0.4</v>
      </c>
      <c r="AA3" s="113">
        <v>114.1</v>
      </c>
      <c r="AB3" s="113">
        <v>112</v>
      </c>
      <c r="AC3" s="113">
        <f t="shared" si="1"/>
        <v>2.0999999999999943</v>
      </c>
      <c r="AD3" s="113">
        <v>23.3</v>
      </c>
      <c r="AE3" s="113">
        <v>11.4</v>
      </c>
      <c r="AF3" s="3">
        <v>0.46300000000000002</v>
      </c>
      <c r="AG3" s="3">
        <v>17.399999999999999</v>
      </c>
      <c r="AH3" s="3">
        <v>-0.2</v>
      </c>
      <c r="AI3" s="3">
        <v>0.3</v>
      </c>
      <c r="AJ3" s="41">
        <v>3.2000000000000001E-2</v>
      </c>
      <c r="AK3" s="113">
        <v>-4.5</v>
      </c>
      <c r="AL3" s="113">
        <v>0.1</v>
      </c>
      <c r="AM3" s="113">
        <v>-0.1</v>
      </c>
      <c r="AN3" s="113">
        <v>7.9</v>
      </c>
    </row>
    <row r="4" spans="1:45" x14ac:dyDescent="0.2">
      <c r="A4" s="110">
        <v>12</v>
      </c>
      <c r="B4" s="3" t="s">
        <v>243</v>
      </c>
      <c r="C4" s="3" t="s">
        <v>244</v>
      </c>
      <c r="D4" s="108">
        <v>67</v>
      </c>
      <c r="E4" s="108">
        <v>70</v>
      </c>
      <c r="F4" s="109">
        <v>225</v>
      </c>
      <c r="G4" s="4">
        <v>35765</v>
      </c>
      <c r="H4" s="113">
        <f t="shared" ca="1" si="0"/>
        <v>22.8</v>
      </c>
      <c r="I4" s="3" t="s">
        <v>245</v>
      </c>
      <c r="J4" s="3">
        <v>2</v>
      </c>
      <c r="K4" s="110">
        <v>2019</v>
      </c>
      <c r="L4" s="112">
        <v>4</v>
      </c>
      <c r="M4" s="3" t="s">
        <v>246</v>
      </c>
      <c r="N4" s="3" t="s">
        <v>247</v>
      </c>
      <c r="O4" s="3" t="s">
        <v>2210</v>
      </c>
      <c r="P4" s="11">
        <v>7422000</v>
      </c>
      <c r="Q4" s="31">
        <v>7775400</v>
      </c>
      <c r="R4" s="31">
        <v>9835881</v>
      </c>
      <c r="S4" s="32">
        <f>R4*3</f>
        <v>29507643</v>
      </c>
      <c r="T4" s="21"/>
      <c r="W4" s="3" t="s">
        <v>248</v>
      </c>
      <c r="X4" s="110">
        <v>3</v>
      </c>
      <c r="Y4" s="110">
        <v>63</v>
      </c>
      <c r="Z4" s="41">
        <f>19/63</f>
        <v>0.30158730158730157</v>
      </c>
      <c r="AA4" s="113">
        <v>108</v>
      </c>
      <c r="AB4" s="113">
        <v>113.6</v>
      </c>
      <c r="AC4" s="113">
        <f t="shared" si="1"/>
        <v>-5.5999999999999943</v>
      </c>
      <c r="AD4" s="113">
        <v>32</v>
      </c>
      <c r="AE4" s="113">
        <v>8.6</v>
      </c>
      <c r="AF4" s="3">
        <v>0.52100000000000002</v>
      </c>
      <c r="AG4" s="3">
        <v>17.5</v>
      </c>
      <c r="AH4" s="3">
        <v>-0.4</v>
      </c>
      <c r="AI4" s="3">
        <v>0.5</v>
      </c>
      <c r="AJ4" s="41">
        <v>1E-3</v>
      </c>
      <c r="AK4" s="113">
        <v>-2.8</v>
      </c>
      <c r="AL4" s="113">
        <v>-1.8</v>
      </c>
      <c r="AM4" s="113">
        <v>-1.4</v>
      </c>
      <c r="AN4" s="113">
        <v>5.8</v>
      </c>
    </row>
    <row r="5" spans="1:45" x14ac:dyDescent="0.2">
      <c r="A5" s="110">
        <v>11</v>
      </c>
      <c r="B5" s="3" t="s">
        <v>249</v>
      </c>
      <c r="C5" s="3" t="s">
        <v>250</v>
      </c>
      <c r="D5" s="108">
        <v>61</v>
      </c>
      <c r="E5" s="108">
        <v>62</v>
      </c>
      <c r="F5" s="109">
        <v>180</v>
      </c>
      <c r="G5" s="4">
        <v>36057</v>
      </c>
      <c r="H5" s="113">
        <f t="shared" ca="1" si="0"/>
        <v>22</v>
      </c>
      <c r="I5" s="3" t="s">
        <v>251</v>
      </c>
      <c r="J5" s="3">
        <v>3</v>
      </c>
      <c r="K5" s="110">
        <v>2018</v>
      </c>
      <c r="L5" s="112">
        <v>5</v>
      </c>
      <c r="M5" s="3" t="s">
        <v>252</v>
      </c>
      <c r="N5" s="3" t="s">
        <v>247</v>
      </c>
      <c r="O5" s="3" t="s">
        <v>2221</v>
      </c>
      <c r="P5" s="11">
        <v>6571800</v>
      </c>
      <c r="Q5" s="31">
        <v>8326471</v>
      </c>
      <c r="R5" s="32">
        <f>Q5*3</f>
        <v>24979413</v>
      </c>
      <c r="W5" s="3" t="s">
        <v>253</v>
      </c>
      <c r="X5" s="110">
        <v>1</v>
      </c>
      <c r="Y5" s="110">
        <v>60</v>
      </c>
      <c r="Z5" s="41">
        <f>18/60</f>
        <v>0.3</v>
      </c>
      <c r="AA5" s="113">
        <v>111.2</v>
      </c>
      <c r="AB5" s="113">
        <v>116.1</v>
      </c>
      <c r="AC5" s="113">
        <f t="shared" si="1"/>
        <v>-4.8999999999999915</v>
      </c>
      <c r="AD5" s="113">
        <v>35.299999999999997</v>
      </c>
      <c r="AE5" s="113">
        <v>23.9</v>
      </c>
      <c r="AF5" s="3">
        <v>0.59499999999999997</v>
      </c>
      <c r="AG5" s="3">
        <v>34.9</v>
      </c>
      <c r="AH5" s="3">
        <v>5.4</v>
      </c>
      <c r="AI5" s="3">
        <v>0.5</v>
      </c>
      <c r="AJ5" s="41">
        <v>0.13400000000000001</v>
      </c>
      <c r="AK5" s="113">
        <v>6.3</v>
      </c>
      <c r="AL5" s="113">
        <v>-2.2999999999999998</v>
      </c>
      <c r="AM5" s="113">
        <v>3.2</v>
      </c>
      <c r="AN5" s="113">
        <v>16</v>
      </c>
    </row>
    <row r="6" spans="1:45" x14ac:dyDescent="0.2">
      <c r="A6" s="110">
        <v>22</v>
      </c>
      <c r="B6" s="3" t="s">
        <v>254</v>
      </c>
      <c r="C6" s="3" t="s">
        <v>255</v>
      </c>
      <c r="D6" s="108">
        <v>68</v>
      </c>
      <c r="E6" s="108">
        <v>71</v>
      </c>
      <c r="F6" s="109">
        <v>218</v>
      </c>
      <c r="G6" s="4">
        <v>36404</v>
      </c>
      <c r="H6" s="113">
        <f t="shared" ca="1" si="0"/>
        <v>21.1</v>
      </c>
      <c r="I6" s="3" t="s">
        <v>256</v>
      </c>
      <c r="J6" s="3">
        <v>2</v>
      </c>
      <c r="K6" s="110">
        <v>2019</v>
      </c>
      <c r="L6" s="112">
        <v>10</v>
      </c>
      <c r="M6" s="3" t="s">
        <v>257</v>
      </c>
      <c r="N6" s="3" t="s">
        <v>247</v>
      </c>
      <c r="O6" s="11" t="s">
        <v>2222</v>
      </c>
      <c r="P6" s="11">
        <v>4458000</v>
      </c>
      <c r="Q6" s="31">
        <v>4670160</v>
      </c>
      <c r="R6" s="31">
        <v>5954454</v>
      </c>
      <c r="S6" s="33">
        <f>R6*3</f>
        <v>17863362</v>
      </c>
      <c r="T6" s="21"/>
      <c r="W6" s="3" t="s">
        <v>258</v>
      </c>
      <c r="X6" s="110">
        <v>4</v>
      </c>
      <c r="Y6" s="110">
        <v>58</v>
      </c>
      <c r="Z6" s="41">
        <f>17/58</f>
        <v>0.29310344827586204</v>
      </c>
      <c r="AA6" s="113">
        <v>106.9</v>
      </c>
      <c r="AB6" s="113">
        <v>113.2</v>
      </c>
      <c r="AC6" s="113">
        <f t="shared" si="1"/>
        <v>-6.2999999999999972</v>
      </c>
      <c r="AD6" s="113">
        <v>26.7</v>
      </c>
      <c r="AE6" s="113">
        <v>9</v>
      </c>
      <c r="AF6" s="3">
        <v>0.5</v>
      </c>
      <c r="AG6" s="3">
        <v>18.899999999999999</v>
      </c>
      <c r="AH6" s="3">
        <v>-1.2</v>
      </c>
      <c r="AI6" s="3">
        <v>0.8</v>
      </c>
      <c r="AJ6" s="41">
        <v>-1.0999999999999999E-2</v>
      </c>
      <c r="AK6" s="113">
        <v>-3.2</v>
      </c>
      <c r="AL6" s="113">
        <v>-1</v>
      </c>
      <c r="AM6" s="113">
        <v>-0.9</v>
      </c>
      <c r="AN6" s="113">
        <v>5.9</v>
      </c>
    </row>
    <row r="7" spans="1:45" x14ac:dyDescent="0.2">
      <c r="A7" s="110">
        <v>20</v>
      </c>
      <c r="B7" s="3" t="s">
        <v>259</v>
      </c>
      <c r="C7" s="3" t="s">
        <v>236</v>
      </c>
      <c r="D7" s="108">
        <v>69</v>
      </c>
      <c r="E7" s="108">
        <v>611</v>
      </c>
      <c r="F7" s="109">
        <v>235</v>
      </c>
      <c r="G7" s="4">
        <v>35696</v>
      </c>
      <c r="H7" s="113">
        <f t="shared" ca="1" si="0"/>
        <v>23</v>
      </c>
      <c r="I7" s="3" t="s">
        <v>233</v>
      </c>
      <c r="J7" s="3">
        <v>4</v>
      </c>
      <c r="K7" s="110">
        <v>2017</v>
      </c>
      <c r="L7" s="112">
        <v>19</v>
      </c>
      <c r="M7" s="3" t="s">
        <v>260</v>
      </c>
      <c r="N7" s="3" t="s">
        <v>247</v>
      </c>
      <c r="O7" s="3" t="s">
        <v>2211</v>
      </c>
      <c r="P7" s="11">
        <v>4137302</v>
      </c>
      <c r="Q7" s="32">
        <f>P7*3</f>
        <v>12411906</v>
      </c>
      <c r="W7" s="3" t="s">
        <v>261</v>
      </c>
      <c r="X7" s="110">
        <v>4</v>
      </c>
      <c r="Y7" s="110">
        <v>41</v>
      </c>
      <c r="Z7" s="41">
        <f>15/41</f>
        <v>0.36585365853658536</v>
      </c>
      <c r="AA7" s="113">
        <v>107</v>
      </c>
      <c r="AB7" s="113">
        <v>112.1</v>
      </c>
      <c r="AC7" s="113">
        <f t="shared" si="1"/>
        <v>-5.0999999999999943</v>
      </c>
      <c r="AD7" s="113">
        <v>33.200000000000003</v>
      </c>
      <c r="AE7" s="113">
        <v>23.5</v>
      </c>
      <c r="AF7" s="3">
        <v>0.65900000000000003</v>
      </c>
      <c r="AG7" s="3">
        <v>22.7</v>
      </c>
      <c r="AH7" s="3">
        <v>3.8</v>
      </c>
      <c r="AI7" s="3">
        <v>1.1000000000000001</v>
      </c>
      <c r="AJ7" s="41">
        <v>0.17399999999999999</v>
      </c>
      <c r="AK7" s="113">
        <v>3.7</v>
      </c>
      <c r="AL7" s="113">
        <v>-0.7</v>
      </c>
      <c r="AM7" s="113">
        <v>1.7</v>
      </c>
      <c r="AN7" s="113">
        <v>15.2</v>
      </c>
    </row>
    <row r="8" spans="1:45" x14ac:dyDescent="0.2">
      <c r="A8" s="110">
        <v>3</v>
      </c>
      <c r="B8" s="3" t="s">
        <v>262</v>
      </c>
      <c r="C8" s="3" t="s">
        <v>255</v>
      </c>
      <c r="D8" s="108">
        <v>67</v>
      </c>
      <c r="E8" s="108">
        <v>68</v>
      </c>
      <c r="F8" s="109">
        <v>190</v>
      </c>
      <c r="G8" s="4">
        <v>36034</v>
      </c>
      <c r="H8" s="113">
        <f t="shared" ca="1" si="0"/>
        <v>22.1</v>
      </c>
      <c r="I8" s="3" t="s">
        <v>263</v>
      </c>
      <c r="J8" s="3">
        <v>3</v>
      </c>
      <c r="K8" s="110">
        <v>2018</v>
      </c>
      <c r="L8" s="112">
        <v>19</v>
      </c>
      <c r="M8" s="3" t="s">
        <v>264</v>
      </c>
      <c r="N8" s="3" t="s">
        <v>247</v>
      </c>
      <c r="O8" s="3" t="s">
        <v>2162</v>
      </c>
      <c r="P8" s="11">
        <v>2761920</v>
      </c>
      <c r="Q8" s="31">
        <v>4253357</v>
      </c>
      <c r="R8" s="32">
        <f>Q8*3</f>
        <v>12760071</v>
      </c>
      <c r="W8" s="3" t="s">
        <v>265</v>
      </c>
      <c r="X8" s="110">
        <v>2</v>
      </c>
      <c r="Y8" s="110">
        <v>56</v>
      </c>
      <c r="Z8" s="41">
        <f>19/56</f>
        <v>0.3392857142857143</v>
      </c>
      <c r="AA8" s="113">
        <v>107.5</v>
      </c>
      <c r="AB8" s="113">
        <v>113.6</v>
      </c>
      <c r="AC8" s="113">
        <f t="shared" si="1"/>
        <v>-6.0999999999999943</v>
      </c>
      <c r="AD8" s="113">
        <v>31.4</v>
      </c>
      <c r="AE8" s="113">
        <v>11.5</v>
      </c>
      <c r="AF8" s="3">
        <v>0.53600000000000003</v>
      </c>
      <c r="AG8" s="3">
        <v>17.100000000000001</v>
      </c>
      <c r="AH8" s="3">
        <v>1</v>
      </c>
      <c r="AI8" s="3">
        <v>0.6</v>
      </c>
      <c r="AJ8" s="41">
        <v>4.2000000000000003E-2</v>
      </c>
      <c r="AK8" s="113">
        <v>-0.6</v>
      </c>
      <c r="AL8" s="113">
        <v>-0.9</v>
      </c>
      <c r="AM8" s="113">
        <v>0.2</v>
      </c>
      <c r="AN8" s="113">
        <v>7.8</v>
      </c>
    </row>
    <row r="9" spans="1:45" x14ac:dyDescent="0.2">
      <c r="A9" s="110">
        <v>0</v>
      </c>
      <c r="B9" s="3" t="s">
        <v>6</v>
      </c>
      <c r="C9" s="3" t="s">
        <v>232</v>
      </c>
      <c r="D9" s="108">
        <v>60</v>
      </c>
      <c r="E9" s="108"/>
      <c r="F9" s="109">
        <v>180</v>
      </c>
      <c r="G9" s="4">
        <v>34974</v>
      </c>
      <c r="H9" s="113">
        <f t="shared" ca="1" si="0"/>
        <v>25</v>
      </c>
      <c r="I9" s="3" t="s">
        <v>288</v>
      </c>
      <c r="J9" s="3">
        <v>3</v>
      </c>
      <c r="K9" s="110">
        <v>2018</v>
      </c>
      <c r="L9" s="111"/>
      <c r="M9" s="3" t="s">
        <v>289</v>
      </c>
      <c r="N9" s="3" t="s">
        <v>282</v>
      </c>
      <c r="O9" s="163" t="s">
        <v>290</v>
      </c>
      <c r="P9" s="30">
        <v>1701593</v>
      </c>
      <c r="Q9" s="32">
        <v>2126991</v>
      </c>
      <c r="W9" s="5" t="s">
        <v>291</v>
      </c>
      <c r="X9" s="110">
        <v>1</v>
      </c>
      <c r="Y9" s="110">
        <v>34</v>
      </c>
      <c r="Z9" s="41">
        <f>13/34</f>
        <v>0.38235294117647056</v>
      </c>
      <c r="AA9" s="113">
        <v>94.5</v>
      </c>
      <c r="AB9" s="113">
        <v>108.2</v>
      </c>
      <c r="AC9" s="113">
        <f t="shared" si="1"/>
        <v>-13.700000000000003</v>
      </c>
      <c r="AD9" s="113">
        <v>12.7</v>
      </c>
      <c r="AE9" s="113">
        <v>11.7</v>
      </c>
      <c r="AF9" s="3">
        <v>0.50700000000000001</v>
      </c>
      <c r="AG9" s="3">
        <v>22.4</v>
      </c>
      <c r="AH9" s="3">
        <v>-0.1</v>
      </c>
      <c r="AI9" s="3">
        <v>0.2</v>
      </c>
      <c r="AJ9" s="41">
        <v>1.2999999999999999E-2</v>
      </c>
      <c r="AK9" s="113">
        <v>-1.5</v>
      </c>
      <c r="AL9" s="113">
        <v>-1.3</v>
      </c>
      <c r="AM9" s="113">
        <v>-0.1</v>
      </c>
      <c r="AN9" s="113">
        <v>9.4</v>
      </c>
    </row>
    <row r="10" spans="1:45" x14ac:dyDescent="0.2">
      <c r="A10" s="110">
        <v>24</v>
      </c>
      <c r="B10" s="3" t="s">
        <v>283</v>
      </c>
      <c r="C10" s="3" t="s">
        <v>236</v>
      </c>
      <c r="D10" s="108">
        <v>69</v>
      </c>
      <c r="E10" s="108">
        <v>73</v>
      </c>
      <c r="F10" s="109">
        <v>240</v>
      </c>
      <c r="G10" s="4">
        <v>36022</v>
      </c>
      <c r="H10" s="113">
        <f t="shared" ca="1" si="0"/>
        <v>22.1</v>
      </c>
      <c r="I10" s="3" t="s">
        <v>263</v>
      </c>
      <c r="J10" s="3">
        <v>2</v>
      </c>
      <c r="K10" s="110">
        <v>2019</v>
      </c>
      <c r="L10" s="112">
        <v>34</v>
      </c>
      <c r="M10" s="3" t="s">
        <v>284</v>
      </c>
      <c r="N10" s="3" t="s">
        <v>285</v>
      </c>
      <c r="O10" s="3" t="s">
        <v>2223</v>
      </c>
      <c r="P10" s="11">
        <v>1517981</v>
      </c>
      <c r="Q10" s="11">
        <v>1782621</v>
      </c>
      <c r="R10" s="32">
        <v>2288276</v>
      </c>
      <c r="W10" s="3" t="s">
        <v>287</v>
      </c>
      <c r="X10" s="110">
        <v>5</v>
      </c>
      <c r="Y10" s="110">
        <v>56</v>
      </c>
      <c r="Z10" s="41">
        <f>18/56</f>
        <v>0.32142857142857145</v>
      </c>
      <c r="AA10" s="113">
        <v>102</v>
      </c>
      <c r="AB10" s="113">
        <v>107.6</v>
      </c>
      <c r="AC10" s="113">
        <f t="shared" si="1"/>
        <v>-5.5999999999999943</v>
      </c>
      <c r="AD10" s="113">
        <v>12.7</v>
      </c>
      <c r="AE10" s="113">
        <v>11.9</v>
      </c>
      <c r="AF10" s="3">
        <v>0.54200000000000004</v>
      </c>
      <c r="AG10" s="3">
        <v>15.3</v>
      </c>
      <c r="AH10" s="3">
        <v>0.4</v>
      </c>
      <c r="AI10" s="3">
        <v>0.4</v>
      </c>
      <c r="AJ10" s="41">
        <v>5.5E-2</v>
      </c>
      <c r="AK10" s="113">
        <v>-3.2</v>
      </c>
      <c r="AL10" s="113">
        <v>-1</v>
      </c>
      <c r="AM10" s="113">
        <v>-0.4</v>
      </c>
      <c r="AN10" s="113">
        <v>7.9</v>
      </c>
    </row>
    <row r="11" spans="1:45" x14ac:dyDescent="0.2">
      <c r="A11" s="110"/>
      <c r="B11" s="3" t="s">
        <v>297</v>
      </c>
      <c r="D11" s="108"/>
      <c r="E11" s="108"/>
      <c r="F11" s="109"/>
      <c r="G11" s="4"/>
      <c r="H11" s="113"/>
      <c r="K11" s="110"/>
      <c r="L11" s="112"/>
      <c r="O11" s="163"/>
      <c r="P11" s="11"/>
      <c r="Q11" s="11"/>
      <c r="R11" s="32"/>
      <c r="X11" s="110"/>
      <c r="Y11" s="110"/>
      <c r="Z11" s="41"/>
      <c r="AA11" s="113"/>
      <c r="AB11" s="113"/>
      <c r="AC11" s="113"/>
      <c r="AD11" s="113"/>
      <c r="AE11" s="113"/>
      <c r="AJ11" s="41"/>
      <c r="AK11" s="113"/>
      <c r="AL11" s="113"/>
      <c r="AM11" s="113"/>
      <c r="AN11" s="113"/>
    </row>
    <row r="12" spans="1:45" x14ac:dyDescent="0.2">
      <c r="B12" s="3" t="s">
        <v>1505</v>
      </c>
      <c r="H12" s="113"/>
      <c r="L12" s="16"/>
      <c r="M12" s="16"/>
      <c r="N12" s="19"/>
      <c r="O12" s="19"/>
      <c r="P12" s="11">
        <v>5813640</v>
      </c>
      <c r="Q12" s="11">
        <v>6104280</v>
      </c>
      <c r="R12" s="51">
        <v>6395160</v>
      </c>
      <c r="S12" s="51">
        <f>R12*1.268</f>
        <v>8109062.8799999999</v>
      </c>
      <c r="T12" s="50">
        <f>S12*3</f>
        <v>24327188.640000001</v>
      </c>
      <c r="X12" s="110"/>
      <c r="Y12" s="110"/>
      <c r="Z12" s="41"/>
      <c r="AA12" s="113"/>
      <c r="AB12" s="113"/>
      <c r="AC12" s="113"/>
      <c r="AD12" s="113"/>
      <c r="AE12" s="113"/>
      <c r="AJ12" s="41"/>
      <c r="AK12" s="113"/>
      <c r="AL12" s="113"/>
      <c r="AM12" s="113"/>
      <c r="AN12" s="113"/>
    </row>
    <row r="13" spans="1:45" x14ac:dyDescent="0.2">
      <c r="B13" s="3" t="s">
        <v>2166</v>
      </c>
      <c r="H13" s="113"/>
      <c r="L13" s="16"/>
      <c r="M13" s="16"/>
      <c r="N13" s="16"/>
      <c r="O13" s="16"/>
      <c r="P13" s="183">
        <v>898310</v>
      </c>
      <c r="Q13" s="11"/>
      <c r="R13" s="11"/>
      <c r="S13" s="11"/>
      <c r="T13" s="11"/>
      <c r="X13" s="110"/>
      <c r="Y13" s="110"/>
      <c r="Z13" s="41"/>
      <c r="AA13" s="113"/>
      <c r="AB13" s="113"/>
      <c r="AC13" s="113"/>
      <c r="AD13" s="113"/>
      <c r="AE13" s="113"/>
      <c r="AJ13" s="41"/>
      <c r="AK13" s="113"/>
      <c r="AL13" s="113"/>
      <c r="AM13" s="113"/>
      <c r="AN13" s="113"/>
    </row>
    <row r="14" spans="1:45" x14ac:dyDescent="0.2">
      <c r="A14" s="110"/>
      <c r="D14" s="108"/>
      <c r="E14" s="108"/>
      <c r="F14" s="109"/>
      <c r="G14" s="4"/>
      <c r="H14" s="113"/>
      <c r="K14" s="110"/>
      <c r="L14" s="112"/>
      <c r="P14" s="58"/>
      <c r="X14" s="110"/>
      <c r="Y14" s="110"/>
      <c r="Z14" s="41"/>
      <c r="AA14" s="113"/>
      <c r="AB14" s="113"/>
      <c r="AC14" s="113"/>
      <c r="AD14" s="113"/>
      <c r="AE14" s="113"/>
      <c r="AJ14" s="41"/>
      <c r="AK14" s="113"/>
      <c r="AL14" s="113"/>
      <c r="AM14" s="113"/>
      <c r="AN14" s="113"/>
    </row>
    <row r="15" spans="1:45" x14ac:dyDescent="0.2">
      <c r="A15" s="110" t="s">
        <v>231</v>
      </c>
      <c r="B15" s="3" t="s">
        <v>0</v>
      </c>
      <c r="C15" s="3" t="s">
        <v>232</v>
      </c>
      <c r="D15" s="108">
        <v>63</v>
      </c>
      <c r="E15" s="108">
        <v>67</v>
      </c>
      <c r="F15" s="109">
        <v>195</v>
      </c>
      <c r="G15" s="4">
        <v>32304</v>
      </c>
      <c r="H15" s="113">
        <f t="shared" ref="H15:H20" ca="1" si="2">ROUNDDOWN(YEARFRAC($G$22,G15),1)</f>
        <v>32.299999999999997</v>
      </c>
      <c r="I15" s="3" t="s">
        <v>233</v>
      </c>
      <c r="J15" s="3">
        <v>12</v>
      </c>
      <c r="K15" s="110">
        <v>2009</v>
      </c>
      <c r="L15" s="111">
        <v>19</v>
      </c>
      <c r="M15" s="3" t="s">
        <v>234</v>
      </c>
      <c r="P15" s="18">
        <f>28500000</f>
        <v>28500000</v>
      </c>
      <c r="W15" s="3" t="s">
        <v>235</v>
      </c>
      <c r="X15" s="110">
        <v>2</v>
      </c>
      <c r="Y15" s="110">
        <v>25</v>
      </c>
      <c r="Z15" s="41">
        <f>10/25</f>
        <v>0.4</v>
      </c>
      <c r="AA15" s="113">
        <v>108.2</v>
      </c>
      <c r="AB15" s="113">
        <v>117</v>
      </c>
      <c r="AC15" s="113">
        <f>AA15-AB15</f>
        <v>-8.7999999999999972</v>
      </c>
      <c r="AD15" s="113">
        <v>20.8</v>
      </c>
      <c r="AE15" s="113">
        <v>12.2</v>
      </c>
      <c r="AF15" s="3">
        <v>0.51200000000000001</v>
      </c>
      <c r="AG15" s="3">
        <v>18.3</v>
      </c>
      <c r="AH15" s="3">
        <v>0.2</v>
      </c>
      <c r="AI15" s="3">
        <v>0.2</v>
      </c>
      <c r="AJ15" s="41">
        <v>3.5000000000000003E-2</v>
      </c>
      <c r="AK15" s="113">
        <v>-1.6</v>
      </c>
      <c r="AL15" s="113">
        <v>-1.5</v>
      </c>
      <c r="AM15" s="113">
        <v>-0.2</v>
      </c>
      <c r="AN15" s="113">
        <v>8.4</v>
      </c>
    </row>
    <row r="16" spans="1:45" x14ac:dyDescent="0.2">
      <c r="A16" s="110">
        <v>95</v>
      </c>
      <c r="B16" s="3" t="s">
        <v>266</v>
      </c>
      <c r="C16" s="3" t="s">
        <v>232</v>
      </c>
      <c r="D16" s="108">
        <v>65</v>
      </c>
      <c r="E16" s="108">
        <v>70</v>
      </c>
      <c r="F16" s="109">
        <v>210</v>
      </c>
      <c r="G16" s="4">
        <v>34519</v>
      </c>
      <c r="H16" s="113">
        <f t="shared" ca="1" si="2"/>
        <v>26.3</v>
      </c>
      <c r="I16" s="3" t="s">
        <v>267</v>
      </c>
      <c r="J16" s="3">
        <v>5</v>
      </c>
      <c r="K16" s="110">
        <v>2016</v>
      </c>
      <c r="L16" s="111">
        <v>21</v>
      </c>
      <c r="M16" s="3" t="s">
        <v>268</v>
      </c>
      <c r="P16" s="32">
        <f>7811946</f>
        <v>7811946</v>
      </c>
      <c r="W16" s="3" t="s">
        <v>269</v>
      </c>
      <c r="X16" s="110">
        <v>2</v>
      </c>
      <c r="Y16" s="110">
        <v>43</v>
      </c>
      <c r="Z16" s="41">
        <f>10/43</f>
        <v>0.23255813953488372</v>
      </c>
      <c r="AA16" s="113">
        <v>98.9</v>
      </c>
      <c r="AB16" s="113">
        <v>110.6</v>
      </c>
      <c r="AC16" s="113">
        <f t="shared" ref="AC16:AC20" si="3">AA16-AB16</f>
        <v>-11.699999999999989</v>
      </c>
      <c r="AD16" s="113">
        <v>21.3</v>
      </c>
      <c r="AE16" s="113">
        <v>9.6</v>
      </c>
      <c r="AF16" s="3">
        <v>0.5</v>
      </c>
      <c r="AG16" s="3">
        <v>14</v>
      </c>
      <c r="AH16" s="3">
        <v>-0.5</v>
      </c>
      <c r="AI16" s="3">
        <v>0.7</v>
      </c>
      <c r="AJ16" s="41">
        <v>1.0999999999999999E-2</v>
      </c>
      <c r="AK16" s="113">
        <v>-3.5</v>
      </c>
      <c r="AL16" s="113">
        <v>1</v>
      </c>
      <c r="AM16" s="113">
        <v>-0.1</v>
      </c>
      <c r="AN16" s="113">
        <v>6.9</v>
      </c>
    </row>
    <row r="17" spans="1:42" x14ac:dyDescent="0.2">
      <c r="A17" s="110">
        <v>7</v>
      </c>
      <c r="B17" s="3" t="s">
        <v>2</v>
      </c>
      <c r="C17" s="3" t="s">
        <v>236</v>
      </c>
      <c r="D17" s="108">
        <v>610</v>
      </c>
      <c r="E17" s="108">
        <v>72</v>
      </c>
      <c r="F17" s="109">
        <v>235</v>
      </c>
      <c r="G17" s="4">
        <v>35142</v>
      </c>
      <c r="H17" s="113">
        <f t="shared" ca="1" si="2"/>
        <v>24.6</v>
      </c>
      <c r="I17" s="3" t="s">
        <v>270</v>
      </c>
      <c r="J17" s="3">
        <v>5</v>
      </c>
      <c r="K17" s="110">
        <v>2016</v>
      </c>
      <c r="L17" s="111">
        <v>28</v>
      </c>
      <c r="M17" s="3" t="s">
        <v>271</v>
      </c>
      <c r="P17" s="32">
        <f>7016541</f>
        <v>7016541</v>
      </c>
      <c r="W17" s="3" t="s">
        <v>273</v>
      </c>
      <c r="X17" s="110">
        <v>5</v>
      </c>
      <c r="Y17" s="110">
        <v>33</v>
      </c>
      <c r="Z17" s="41">
        <f>14/33</f>
        <v>0.42424242424242425</v>
      </c>
      <c r="AA17" s="113">
        <v>107.8</v>
      </c>
      <c r="AB17" s="113">
        <v>106.5</v>
      </c>
      <c r="AC17" s="113">
        <f t="shared" si="3"/>
        <v>1.2999999999999972</v>
      </c>
      <c r="AD17" s="113">
        <v>17.2</v>
      </c>
      <c r="AE17" s="113">
        <v>15.4</v>
      </c>
      <c r="AF17" s="3">
        <v>0.58799999999999997</v>
      </c>
      <c r="AG17" s="3">
        <v>14.3</v>
      </c>
      <c r="AH17" s="3">
        <v>1</v>
      </c>
      <c r="AI17" s="3">
        <v>0.4</v>
      </c>
      <c r="AJ17" s="41">
        <v>0.122</v>
      </c>
      <c r="AK17" s="113">
        <v>-1.5</v>
      </c>
      <c r="AL17" s="113">
        <v>0.3</v>
      </c>
      <c r="AM17" s="113">
        <v>0.1</v>
      </c>
      <c r="AN17" s="113">
        <v>9.3000000000000007</v>
      </c>
    </row>
    <row r="18" spans="1:42" s="110" customFormat="1" x14ac:dyDescent="0.2">
      <c r="A18" s="110">
        <v>30</v>
      </c>
      <c r="B18" s="3" t="s">
        <v>3</v>
      </c>
      <c r="C18" s="3" t="s">
        <v>236</v>
      </c>
      <c r="D18" s="108">
        <v>611</v>
      </c>
      <c r="E18" s="108">
        <v>74</v>
      </c>
      <c r="F18" s="109">
        <v>245</v>
      </c>
      <c r="G18" s="4">
        <v>34880</v>
      </c>
      <c r="H18" s="113">
        <f t="shared" ca="1" si="2"/>
        <v>25.3</v>
      </c>
      <c r="I18" s="3" t="s">
        <v>274</v>
      </c>
      <c r="J18" s="3">
        <v>5</v>
      </c>
      <c r="K18" s="110">
        <v>2016</v>
      </c>
      <c r="L18" s="111">
        <v>30</v>
      </c>
      <c r="M18" s="3" t="s">
        <v>275</v>
      </c>
      <c r="N18" s="3"/>
      <c r="O18" s="3"/>
      <c r="P18" s="32">
        <f>6915172</f>
        <v>6915172</v>
      </c>
      <c r="Q18" s="3"/>
      <c r="R18" s="3"/>
      <c r="S18" s="3"/>
      <c r="T18" s="3"/>
      <c r="U18" s="3"/>
      <c r="V18" s="3"/>
      <c r="W18" s="3" t="s">
        <v>277</v>
      </c>
      <c r="X18" s="110">
        <v>5</v>
      </c>
      <c r="Y18" s="110">
        <v>55</v>
      </c>
      <c r="Z18" s="41">
        <f>15/55</f>
        <v>0.27272727272727271</v>
      </c>
      <c r="AA18" s="113">
        <v>104.7</v>
      </c>
      <c r="AB18" s="113">
        <v>117.3</v>
      </c>
      <c r="AC18" s="113">
        <f t="shared" si="3"/>
        <v>-12.599999999999994</v>
      </c>
      <c r="AD18" s="113">
        <v>16.100000000000001</v>
      </c>
      <c r="AE18" s="113">
        <v>15.5</v>
      </c>
      <c r="AF18" s="3">
        <v>0.71199999999999997</v>
      </c>
      <c r="AG18" s="3">
        <v>11.4</v>
      </c>
      <c r="AH18" s="3">
        <v>2.2000000000000002</v>
      </c>
      <c r="AI18" s="3">
        <v>0.6</v>
      </c>
      <c r="AJ18" s="41">
        <v>0.152</v>
      </c>
      <c r="AK18" s="113">
        <v>-1.6</v>
      </c>
      <c r="AL18" s="113">
        <v>0.1</v>
      </c>
      <c r="AM18" s="113">
        <v>0.1</v>
      </c>
      <c r="AN18" s="113">
        <v>8</v>
      </c>
      <c r="AO18" s="3"/>
      <c r="AP18" s="3"/>
    </row>
    <row r="19" spans="1:42" x14ac:dyDescent="0.2">
      <c r="A19" s="110">
        <v>2</v>
      </c>
      <c r="B19" s="3" t="s">
        <v>4</v>
      </c>
      <c r="C19" s="3" t="s">
        <v>244</v>
      </c>
      <c r="D19" s="108">
        <v>65</v>
      </c>
      <c r="E19" s="108">
        <v>611</v>
      </c>
      <c r="F19" s="109">
        <v>219</v>
      </c>
      <c r="G19" s="4">
        <v>34270</v>
      </c>
      <c r="H19" s="113">
        <f t="shared" ca="1" si="2"/>
        <v>26.9</v>
      </c>
      <c r="I19" s="3" t="s">
        <v>278</v>
      </c>
      <c r="J19" s="3">
        <v>5</v>
      </c>
      <c r="K19" s="110">
        <v>2015</v>
      </c>
      <c r="L19" s="111"/>
      <c r="M19" s="3" t="s">
        <v>234</v>
      </c>
      <c r="P19" s="18">
        <v>1620564</v>
      </c>
      <c r="W19" s="3" t="s">
        <v>280</v>
      </c>
      <c r="X19" s="110">
        <v>2</v>
      </c>
      <c r="Y19" s="110">
        <v>22</v>
      </c>
      <c r="Z19" s="41">
        <f>9/22</f>
        <v>0.40909090909090912</v>
      </c>
      <c r="AA19" s="113">
        <v>108.2</v>
      </c>
      <c r="AB19" s="113">
        <v>113.3</v>
      </c>
      <c r="AC19" s="113">
        <f t="shared" si="3"/>
        <v>-5.0999999999999943</v>
      </c>
      <c r="AD19" s="113">
        <v>12.1</v>
      </c>
      <c r="AE19" s="113">
        <v>8</v>
      </c>
      <c r="AF19" s="3">
        <v>0.47799999999999998</v>
      </c>
      <c r="AG19" s="3">
        <v>13.3</v>
      </c>
      <c r="AH19" s="3">
        <v>0</v>
      </c>
      <c r="AI19" s="3">
        <v>0.1</v>
      </c>
      <c r="AJ19" s="41">
        <v>2.1999999999999999E-2</v>
      </c>
      <c r="AK19" s="113">
        <v>-3.2</v>
      </c>
      <c r="AL19" s="113">
        <v>-1.7</v>
      </c>
      <c r="AM19" s="113">
        <v>-0.2</v>
      </c>
      <c r="AN19" s="113">
        <v>3.5</v>
      </c>
    </row>
    <row r="20" spans="1:42" x14ac:dyDescent="0.2">
      <c r="A20" s="110">
        <v>4</v>
      </c>
      <c r="B20" s="3" t="s">
        <v>292</v>
      </c>
      <c r="C20" s="3" t="s">
        <v>255</v>
      </c>
      <c r="D20" s="108">
        <v>66</v>
      </c>
      <c r="E20" s="108">
        <v>67</v>
      </c>
      <c r="F20" s="109">
        <v>199</v>
      </c>
      <c r="G20" s="4">
        <v>35463</v>
      </c>
      <c r="H20" s="113">
        <f t="shared" ca="1" si="2"/>
        <v>23.7</v>
      </c>
      <c r="I20" s="3" t="s">
        <v>293</v>
      </c>
      <c r="J20" s="3">
        <v>2</v>
      </c>
      <c r="K20" s="110">
        <v>2019</v>
      </c>
      <c r="L20" s="112"/>
      <c r="M20" s="3" t="s">
        <v>294</v>
      </c>
      <c r="P20" s="68"/>
      <c r="W20" s="3" t="s">
        <v>296</v>
      </c>
      <c r="X20" s="110">
        <v>2</v>
      </c>
      <c r="Y20" s="110">
        <v>10</v>
      </c>
      <c r="Z20" s="41">
        <f>1/10</f>
        <v>0.1</v>
      </c>
      <c r="AA20" s="113">
        <v>106.9</v>
      </c>
      <c r="AB20" s="113">
        <v>73</v>
      </c>
      <c r="AC20" s="113">
        <f t="shared" si="3"/>
        <v>33.900000000000006</v>
      </c>
      <c r="AD20" s="113">
        <v>4</v>
      </c>
      <c r="AE20" s="113">
        <v>11.1</v>
      </c>
      <c r="AF20" s="3">
        <v>0.47199999999999998</v>
      </c>
      <c r="AG20" s="3">
        <v>25.1</v>
      </c>
      <c r="AH20" s="3">
        <v>0</v>
      </c>
      <c r="AI20" s="3">
        <v>0</v>
      </c>
      <c r="AJ20" s="41">
        <v>-2.8000000000000001E-2</v>
      </c>
      <c r="AK20" s="113">
        <v>-1.1000000000000001</v>
      </c>
      <c r="AL20" s="113">
        <v>-1.4</v>
      </c>
      <c r="AM20" s="113">
        <v>0</v>
      </c>
      <c r="AN20" s="113">
        <v>7.8</v>
      </c>
    </row>
    <row r="21" spans="1:42" x14ac:dyDescent="0.2">
      <c r="A21" s="110"/>
      <c r="D21" s="108"/>
      <c r="E21" s="108"/>
      <c r="F21" s="109"/>
      <c r="G21" s="4"/>
      <c r="H21" s="113"/>
      <c r="K21" s="110"/>
      <c r="L21" s="112"/>
      <c r="P21" s="58"/>
      <c r="X21" s="110"/>
      <c r="Y21" s="110"/>
      <c r="Z21" s="41"/>
      <c r="AA21" s="113"/>
      <c r="AB21" s="113"/>
      <c r="AC21" s="113"/>
      <c r="AD21" s="113"/>
      <c r="AE21" s="113"/>
      <c r="AJ21" s="41"/>
      <c r="AK21" s="113"/>
      <c r="AL21" s="113"/>
      <c r="AM21" s="113"/>
      <c r="AN21" s="113"/>
    </row>
    <row r="22" spans="1:42" x14ac:dyDescent="0.2">
      <c r="E22" s="4"/>
      <c r="F22" s="36"/>
      <c r="G22" s="4">
        <f ca="1">TODAY()</f>
        <v>44128</v>
      </c>
      <c r="H22" s="36">
        <f ca="1">AVERAGE(H2:H10)</f>
        <v>23.966666666666665</v>
      </c>
      <c r="J22" s="36">
        <f>AVERAGE(J2:J10)</f>
        <v>3.7777777777777777</v>
      </c>
      <c r="K22" s="23"/>
      <c r="L22" s="55"/>
      <c r="M22" s="55"/>
      <c r="N22" s="55"/>
      <c r="O22" s="55"/>
    </row>
    <row r="23" spans="1:42" x14ac:dyDescent="0.2">
      <c r="E23" s="4"/>
      <c r="F23" s="36"/>
      <c r="G23" s="4"/>
      <c r="H23" s="36">
        <f ca="1">MEDIAN(H2:H10)</f>
        <v>22.8</v>
      </c>
      <c r="J23" s="36">
        <f>MEDIAN(J2:J10)</f>
        <v>3</v>
      </c>
      <c r="K23" s="23"/>
      <c r="L23" s="55"/>
      <c r="M23" s="55"/>
      <c r="N23" s="55"/>
      <c r="O23" s="55"/>
    </row>
    <row r="24" spans="1:42" x14ac:dyDescent="0.2">
      <c r="B24" s="5" t="s">
        <v>2224</v>
      </c>
      <c r="H24" s="36"/>
      <c r="K24" s="29"/>
      <c r="L24" s="16"/>
      <c r="M24" s="16"/>
      <c r="N24" s="16"/>
      <c r="O24" s="105"/>
      <c r="P24" s="29">
        <f>P2+P3+P4+P5+P12+P6+P7+P8+P10+100000</f>
        <v>62115976</v>
      </c>
      <c r="Q24" s="11"/>
      <c r="R24" s="11"/>
      <c r="S24" s="47"/>
    </row>
    <row r="25" spans="1:42" x14ac:dyDescent="0.2">
      <c r="B25" s="3" t="s">
        <v>2085</v>
      </c>
      <c r="C25" s="3">
        <v>8</v>
      </c>
      <c r="K25" s="29"/>
      <c r="L25" s="16"/>
      <c r="M25" s="16"/>
      <c r="N25" s="16"/>
      <c r="O25" s="105"/>
      <c r="P25" s="11">
        <f>P2+P3+P4+P5+P12+P6+P7+P8+P9+P10</f>
        <v>63717569</v>
      </c>
      <c r="Q25" s="11"/>
      <c r="R25" s="11"/>
      <c r="S25" s="47"/>
    </row>
    <row r="26" spans="1:42" x14ac:dyDescent="0.2">
      <c r="B26" s="3" t="s">
        <v>2088</v>
      </c>
      <c r="C26" s="3">
        <v>1</v>
      </c>
      <c r="L26" s="16"/>
      <c r="M26" s="16"/>
      <c r="N26" s="16"/>
      <c r="O26" s="16"/>
      <c r="P26" s="11"/>
      <c r="Q26" s="11"/>
      <c r="R26" s="11"/>
      <c r="S26" s="11"/>
      <c r="T26" s="11"/>
    </row>
    <row r="27" spans="1:42" x14ac:dyDescent="0.2">
      <c r="B27" s="3" t="s">
        <v>2086</v>
      </c>
      <c r="C27" s="3">
        <v>2</v>
      </c>
      <c r="L27" s="16"/>
      <c r="M27" s="16"/>
      <c r="N27" s="16"/>
      <c r="O27" s="3" t="s">
        <v>300</v>
      </c>
      <c r="P27" s="22">
        <v>109140000</v>
      </c>
      <c r="Q27" s="11"/>
      <c r="R27" s="11"/>
      <c r="S27" s="11"/>
      <c r="T27" s="11"/>
    </row>
    <row r="28" spans="1:42" x14ac:dyDescent="0.2">
      <c r="B28" s="3" t="s">
        <v>2219</v>
      </c>
      <c r="C28" s="3" t="s">
        <v>2385</v>
      </c>
      <c r="J28" s="4"/>
      <c r="L28" s="106"/>
      <c r="M28" s="16"/>
      <c r="N28" s="16"/>
      <c r="O28" s="55" t="s">
        <v>302</v>
      </c>
      <c r="P28" s="22">
        <v>132627000</v>
      </c>
      <c r="Q28" s="11"/>
      <c r="R28" s="11"/>
      <c r="S28" s="11"/>
      <c r="T28" s="11"/>
    </row>
    <row r="29" spans="1:42" x14ac:dyDescent="0.2">
      <c r="B29" s="24" t="s">
        <v>301</v>
      </c>
      <c r="C29" s="22">
        <v>0</v>
      </c>
      <c r="I29" s="11"/>
      <c r="J29" s="4"/>
      <c r="L29" s="106"/>
      <c r="M29" s="16"/>
      <c r="N29" s="16"/>
      <c r="O29" s="55"/>
      <c r="P29" s="22"/>
      <c r="Q29" s="11"/>
      <c r="R29" s="11"/>
      <c r="S29" s="11"/>
      <c r="T29" s="11"/>
    </row>
    <row r="30" spans="1:42" x14ac:dyDescent="0.2">
      <c r="B30" s="3" t="s">
        <v>303</v>
      </c>
      <c r="C30" s="22">
        <v>0</v>
      </c>
      <c r="J30" s="4"/>
      <c r="K30" s="186"/>
      <c r="L30" s="58"/>
      <c r="M30" s="107"/>
      <c r="N30" s="55"/>
      <c r="O30" s="55"/>
      <c r="P30" s="22"/>
      <c r="Q30" s="5"/>
    </row>
    <row r="31" spans="1:42" x14ac:dyDescent="0.2">
      <c r="C31" s="22"/>
      <c r="K31" s="22"/>
      <c r="L31" s="55"/>
      <c r="M31" s="55"/>
      <c r="N31" s="55"/>
      <c r="O31" s="55"/>
      <c r="P31" s="22"/>
    </row>
    <row r="32" spans="1:42" x14ac:dyDescent="0.2">
      <c r="B32" s="5" t="s">
        <v>2084</v>
      </c>
      <c r="K32" s="22"/>
      <c r="L32" s="55"/>
      <c r="M32" s="55"/>
      <c r="N32" s="55"/>
      <c r="O32" s="55"/>
    </row>
    <row r="33" spans="2:15" x14ac:dyDescent="0.2">
      <c r="B33" s="3" t="s">
        <v>304</v>
      </c>
      <c r="C33" s="41">
        <f>20/67</f>
        <v>0.29850746268656714</v>
      </c>
      <c r="D33" s="3" t="s">
        <v>323</v>
      </c>
      <c r="J33" s="22"/>
      <c r="K33" s="22"/>
      <c r="L33" s="55"/>
      <c r="M33" s="55"/>
      <c r="N33" s="55"/>
      <c r="O33" s="55"/>
    </row>
    <row r="34" spans="2:15" x14ac:dyDescent="0.2">
      <c r="B34" s="3" t="s">
        <v>306</v>
      </c>
      <c r="C34" s="113">
        <v>107</v>
      </c>
      <c r="D34" s="3" t="s">
        <v>1881</v>
      </c>
    </row>
    <row r="35" spans="2:15" x14ac:dyDescent="0.2">
      <c r="B35" s="3" t="s">
        <v>307</v>
      </c>
      <c r="C35" s="113">
        <v>114.4</v>
      </c>
      <c r="D35" s="3" t="s">
        <v>2171</v>
      </c>
      <c r="K35" s="222"/>
    </row>
    <row r="36" spans="2:15" x14ac:dyDescent="0.2">
      <c r="B36" s="3" t="s">
        <v>308</v>
      </c>
      <c r="C36" s="113">
        <f>C34-C35</f>
        <v>-7.4000000000000057</v>
      </c>
      <c r="D36" s="3" t="s">
        <v>2171</v>
      </c>
    </row>
    <row r="37" spans="2:15" x14ac:dyDescent="0.2">
      <c r="B37" s="3" t="s">
        <v>309</v>
      </c>
      <c r="C37" s="36">
        <v>103.28</v>
      </c>
      <c r="D37" s="3" t="s">
        <v>2218</v>
      </c>
    </row>
    <row r="39" spans="2:15" x14ac:dyDescent="0.2">
      <c r="B39" s="24" t="s">
        <v>310</v>
      </c>
    </row>
    <row r="40" spans="2:15" x14ac:dyDescent="0.2">
      <c r="B40" s="3" t="s">
        <v>311</v>
      </c>
    </row>
    <row r="41" spans="2:15" x14ac:dyDescent="0.2">
      <c r="B41" s="3" t="s">
        <v>312</v>
      </c>
      <c r="L41" s="222"/>
    </row>
    <row r="42" spans="2:15" x14ac:dyDescent="0.2">
      <c r="B42" s="3" t="s">
        <v>313</v>
      </c>
    </row>
    <row r="43" spans="2:15" x14ac:dyDescent="0.2">
      <c r="B43" s="3" t="s">
        <v>314</v>
      </c>
    </row>
    <row r="44" spans="2:15" x14ac:dyDescent="0.2">
      <c r="B44" s="3" t="s">
        <v>315</v>
      </c>
    </row>
    <row r="45" spans="2:15" x14ac:dyDescent="0.2">
      <c r="B45" s="3" t="s">
        <v>316</v>
      </c>
    </row>
    <row r="46" spans="2:15" x14ac:dyDescent="0.2">
      <c r="B46" s="3" t="s">
        <v>317</v>
      </c>
    </row>
    <row r="48" spans="2:15" x14ac:dyDescent="0.2">
      <c r="B48" s="3" t="s">
        <v>318</v>
      </c>
    </row>
    <row r="49" spans="2:9" x14ac:dyDescent="0.2">
      <c r="B49" s="3" t="s">
        <v>319</v>
      </c>
    </row>
    <row r="50" spans="2:9" x14ac:dyDescent="0.2">
      <c r="B50" s="3" t="s">
        <v>320</v>
      </c>
    </row>
    <row r="51" spans="2:9" x14ac:dyDescent="0.2">
      <c r="B51" s="3" t="s">
        <v>321</v>
      </c>
    </row>
    <row r="53" spans="2:9" x14ac:dyDescent="0.2">
      <c r="B53" s="5" t="s">
        <v>2228</v>
      </c>
      <c r="H53" s="38"/>
      <c r="I53" s="38"/>
    </row>
    <row r="54" spans="2:9" x14ac:dyDescent="0.2">
      <c r="B54" s="40" t="s">
        <v>322</v>
      </c>
      <c r="C54" s="3">
        <v>20</v>
      </c>
      <c r="D54" s="3">
        <v>47</v>
      </c>
      <c r="E54" s="3" t="s">
        <v>323</v>
      </c>
      <c r="G54" s="3" t="s">
        <v>305</v>
      </c>
      <c r="H54" s="38"/>
      <c r="I54" s="38" t="s">
        <v>324</v>
      </c>
    </row>
    <row r="55" spans="2:9" x14ac:dyDescent="0.2">
      <c r="B55" s="40" t="s">
        <v>325</v>
      </c>
      <c r="C55" s="3">
        <v>29</v>
      </c>
      <c r="D55" s="3">
        <v>53</v>
      </c>
      <c r="E55" s="3" t="s">
        <v>326</v>
      </c>
      <c r="G55" s="3" t="s">
        <v>305</v>
      </c>
      <c r="I55" s="3" t="s">
        <v>324</v>
      </c>
    </row>
    <row r="56" spans="2:9" x14ac:dyDescent="0.2">
      <c r="B56" s="40" t="s">
        <v>327</v>
      </c>
      <c r="C56" s="3">
        <v>24</v>
      </c>
      <c r="D56" s="3">
        <v>58</v>
      </c>
      <c r="E56" s="3" t="s">
        <v>328</v>
      </c>
      <c r="G56" s="3" t="s">
        <v>329</v>
      </c>
      <c r="I56" s="3" t="s">
        <v>324</v>
      </c>
    </row>
    <row r="57" spans="2:9" x14ac:dyDescent="0.2">
      <c r="B57" s="40" t="s">
        <v>330</v>
      </c>
      <c r="C57" s="3">
        <v>43</v>
      </c>
      <c r="D57" s="3">
        <v>39</v>
      </c>
      <c r="E57" s="3" t="s">
        <v>331</v>
      </c>
      <c r="G57" s="3" t="s">
        <v>329</v>
      </c>
      <c r="I57" s="3" t="s">
        <v>332</v>
      </c>
    </row>
    <row r="58" spans="2:9" x14ac:dyDescent="0.2">
      <c r="B58" s="40" t="s">
        <v>333</v>
      </c>
      <c r="C58" s="3">
        <v>48</v>
      </c>
      <c r="D58" s="3">
        <v>34</v>
      </c>
      <c r="E58" s="3" t="s">
        <v>334</v>
      </c>
      <c r="G58" s="3" t="s">
        <v>329</v>
      </c>
      <c r="I58" s="3" t="s">
        <v>335</v>
      </c>
    </row>
    <row r="59" spans="2:9" x14ac:dyDescent="0.2">
      <c r="B59" s="40" t="s">
        <v>336</v>
      </c>
      <c r="C59" s="3">
        <v>60</v>
      </c>
      <c r="D59" s="3">
        <v>22</v>
      </c>
      <c r="E59" s="3" t="s">
        <v>337</v>
      </c>
      <c r="G59" s="3" t="s">
        <v>329</v>
      </c>
      <c r="I59" s="3" t="s">
        <v>338</v>
      </c>
    </row>
    <row r="60" spans="2:9" x14ac:dyDescent="0.2">
      <c r="B60" s="40" t="s">
        <v>339</v>
      </c>
      <c r="C60" s="3">
        <v>38</v>
      </c>
      <c r="D60" s="3">
        <v>44</v>
      </c>
      <c r="E60" s="3" t="s">
        <v>340</v>
      </c>
      <c r="G60" s="3" t="s">
        <v>329</v>
      </c>
      <c r="I60" s="3" t="s">
        <v>341</v>
      </c>
    </row>
    <row r="61" spans="2:9" x14ac:dyDescent="0.2">
      <c r="B61" s="40" t="s">
        <v>342</v>
      </c>
      <c r="C61" s="3">
        <v>44</v>
      </c>
      <c r="D61" s="3">
        <v>38</v>
      </c>
      <c r="E61" s="3" t="s">
        <v>343</v>
      </c>
      <c r="G61" s="3" t="s">
        <v>344</v>
      </c>
      <c r="I61" s="3" t="s">
        <v>345</v>
      </c>
    </row>
    <row r="62" spans="2:9" x14ac:dyDescent="0.2">
      <c r="B62" s="40" t="s">
        <v>346</v>
      </c>
      <c r="C62" s="3">
        <v>40</v>
      </c>
      <c r="D62" s="3">
        <v>26</v>
      </c>
      <c r="E62" s="3" t="s">
        <v>331</v>
      </c>
      <c r="G62" s="3" t="s">
        <v>344</v>
      </c>
      <c r="I62" s="3" t="s">
        <v>347</v>
      </c>
    </row>
    <row r="63" spans="2:9" x14ac:dyDescent="0.2">
      <c r="B63" s="40" t="s">
        <v>348</v>
      </c>
      <c r="C63" s="3">
        <v>44</v>
      </c>
      <c r="D63" s="3">
        <v>38</v>
      </c>
      <c r="E63" s="3" t="s">
        <v>331</v>
      </c>
      <c r="G63" s="3" t="s">
        <v>344</v>
      </c>
      <c r="I63" s="3" t="s">
        <v>349</v>
      </c>
    </row>
    <row r="64" spans="2:9" x14ac:dyDescent="0.2">
      <c r="B64" s="3" t="s">
        <v>350</v>
      </c>
      <c r="C64" s="3">
        <f>SUM(C54:C63)</f>
        <v>390</v>
      </c>
      <c r="D64" s="3">
        <f>SUM(D54:D63)</f>
        <v>399</v>
      </c>
      <c r="E64" s="41">
        <f>C64/(D64+C64)</f>
        <v>0.49429657794676807</v>
      </c>
    </row>
    <row r="65" spans="5:5" x14ac:dyDescent="0.2">
      <c r="E65" s="41"/>
    </row>
  </sheetData>
  <pageMargins left="0.7" right="0.7" top="0.75" bottom="0.75" header="0.3" footer="0.3"/>
  <ignoredErrors>
    <ignoredError sqref="A15" numberStoredAsText="1"/>
  </ignoredErrors>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FD232-5D92-654F-907F-46FE4D106AE6}">
  <dimension ref="A1:AR63"/>
  <sheetViews>
    <sheetView zoomScaleNormal="100" workbookViewId="0">
      <selection sqref="A1:AR1"/>
    </sheetView>
  </sheetViews>
  <sheetFormatPr baseColWidth="10" defaultColWidth="11" defaultRowHeight="16" x14ac:dyDescent="0.2"/>
  <cols>
    <col min="1" max="1" width="3.5" customWidth="1"/>
    <col min="2" max="2" width="20.6640625" customWidth="1"/>
    <col min="3" max="3" width="12.1640625" customWidth="1"/>
    <col min="4" max="4" width="9.5" customWidth="1"/>
    <col min="5" max="5" width="10.6640625" customWidth="1"/>
    <col min="6" max="6" width="8.5" customWidth="1"/>
    <col min="7" max="7" width="10.83203125" customWidth="1"/>
    <col min="8" max="8" width="6.1640625" customWidth="1"/>
    <col min="9" max="9" width="26.5" customWidth="1"/>
    <col min="10" max="10" width="10.6640625" customWidth="1"/>
    <col min="11" max="11" width="13.33203125" bestFit="1" customWidth="1"/>
    <col min="12" max="12" width="5.5" customWidth="1"/>
    <col min="13" max="13" width="24.5" customWidth="1"/>
    <col min="14" max="14" width="14.83203125" customWidth="1"/>
    <col min="15" max="15" width="47.83203125" customWidth="1"/>
    <col min="16" max="16" width="13.5" customWidth="1"/>
    <col min="17" max="17" width="13.33203125" customWidth="1"/>
    <col min="18" max="18" width="13.6640625" customWidth="1"/>
    <col min="19" max="20" width="13" customWidth="1"/>
    <col min="21" max="21" width="10.1640625" customWidth="1"/>
    <col min="22" max="22" width="17" customWidth="1"/>
    <col min="23" max="23" width="26.1640625" customWidth="1"/>
    <col min="25" max="25" width="4.5" customWidth="1"/>
    <col min="26" max="26" width="7.83203125" customWidth="1"/>
    <col min="27" max="27" width="6.1640625" customWidth="1"/>
    <col min="28" max="28" width="6.33203125" customWidth="1"/>
    <col min="29" max="29" width="7.6640625" customWidth="1"/>
    <col min="30" max="30" width="5.33203125" customWidth="1"/>
    <col min="31" max="31" width="5.1640625" customWidth="1"/>
    <col min="32" max="32" width="6.5" customWidth="1"/>
    <col min="33" max="33" width="7.6640625" customWidth="1"/>
    <col min="34" max="34" width="5.1640625" customWidth="1"/>
    <col min="35" max="35" width="5" customWidth="1"/>
    <col min="36" max="36" width="6.83203125" customWidth="1"/>
    <col min="37" max="37" width="6.1640625" customWidth="1"/>
    <col min="38" max="38" width="5.83203125" customWidth="1"/>
    <col min="39" max="39" width="5.5" customWidth="1"/>
    <col min="40" max="40" width="4.83203125" customWidth="1"/>
  </cols>
  <sheetData>
    <row r="1" spans="1:44" x14ac:dyDescent="0.2">
      <c r="A1" s="223" t="s">
        <v>2394</v>
      </c>
      <c r="B1" s="223" t="s">
        <v>2395</v>
      </c>
      <c r="C1" s="223" t="s">
        <v>2396</v>
      </c>
      <c r="D1" s="223" t="s">
        <v>2397</v>
      </c>
      <c r="E1" s="223" t="s">
        <v>2398</v>
      </c>
      <c r="F1" s="223" t="s">
        <v>2399</v>
      </c>
      <c r="G1" s="223" t="s">
        <v>2400</v>
      </c>
      <c r="H1" s="223" t="s">
        <v>2401</v>
      </c>
      <c r="I1" s="223" t="s">
        <v>2402</v>
      </c>
      <c r="J1" s="223" t="s">
        <v>2403</v>
      </c>
      <c r="K1" s="223" t="s">
        <v>2404</v>
      </c>
      <c r="L1" s="223" t="s">
        <v>2405</v>
      </c>
      <c r="M1" s="223" t="s">
        <v>2406</v>
      </c>
      <c r="N1" s="223" t="s">
        <v>2407</v>
      </c>
      <c r="O1" s="223" t="s">
        <v>2408</v>
      </c>
      <c r="P1" s="223" t="s">
        <v>2409</v>
      </c>
      <c r="Q1" s="223" t="s">
        <v>2410</v>
      </c>
      <c r="R1" s="223" t="s">
        <v>2411</v>
      </c>
      <c r="S1" s="223" t="s">
        <v>2412</v>
      </c>
      <c r="T1" s="223" t="s">
        <v>2413</v>
      </c>
      <c r="U1" s="223" t="s">
        <v>2414</v>
      </c>
      <c r="V1" s="223" t="s">
        <v>2415</v>
      </c>
      <c r="W1" s="223" t="s">
        <v>2416</v>
      </c>
      <c r="X1" s="223" t="s">
        <v>2433</v>
      </c>
      <c r="Y1" s="223" t="s">
        <v>2417</v>
      </c>
      <c r="Z1" s="223" t="s">
        <v>2418</v>
      </c>
      <c r="AA1" s="223" t="s">
        <v>2419</v>
      </c>
      <c r="AB1" s="223" t="s">
        <v>2420</v>
      </c>
      <c r="AC1" s="223" t="s">
        <v>2421</v>
      </c>
      <c r="AD1" s="223" t="s">
        <v>2422</v>
      </c>
      <c r="AE1" s="223" t="s">
        <v>2423</v>
      </c>
      <c r="AF1" s="223" t="s">
        <v>2424</v>
      </c>
      <c r="AG1" s="223" t="s">
        <v>2425</v>
      </c>
      <c r="AH1" s="223" t="s">
        <v>2426</v>
      </c>
      <c r="AI1" s="223" t="s">
        <v>2427</v>
      </c>
      <c r="AJ1" s="223" t="s">
        <v>2428</v>
      </c>
      <c r="AK1" s="223" t="s">
        <v>2429</v>
      </c>
      <c r="AL1" s="223" t="s">
        <v>2430</v>
      </c>
      <c r="AM1" s="223" t="s">
        <v>2431</v>
      </c>
      <c r="AN1" s="223" t="s">
        <v>2432</v>
      </c>
      <c r="AO1" s="224"/>
      <c r="AP1" s="225"/>
      <c r="AQ1" s="6"/>
      <c r="AR1" s="6"/>
    </row>
    <row r="2" spans="1:44" x14ac:dyDescent="0.2">
      <c r="A2" s="3">
        <v>30</v>
      </c>
      <c r="B2" s="3" t="s">
        <v>884</v>
      </c>
      <c r="C2" s="3" t="s">
        <v>250</v>
      </c>
      <c r="D2" s="108">
        <v>63</v>
      </c>
      <c r="E2" s="108">
        <v>64</v>
      </c>
      <c r="F2" s="109">
        <v>185</v>
      </c>
      <c r="G2" s="4">
        <v>32216</v>
      </c>
      <c r="H2" s="113">
        <f t="shared" ref="H2:H14" ca="1" si="0">ROUNDDOWN(YEARFRAC($G$19,G2),1)</f>
        <v>32.6</v>
      </c>
      <c r="I2" s="3" t="s">
        <v>885</v>
      </c>
      <c r="J2" s="3">
        <v>12</v>
      </c>
      <c r="K2" s="112">
        <v>2009</v>
      </c>
      <c r="L2" s="112">
        <v>7</v>
      </c>
      <c r="M2" s="3" t="s">
        <v>886</v>
      </c>
      <c r="N2" s="3" t="s">
        <v>1</v>
      </c>
      <c r="O2" s="3" t="s">
        <v>2104</v>
      </c>
      <c r="P2" s="11">
        <v>43006362</v>
      </c>
      <c r="Q2" s="11">
        <v>45780966</v>
      </c>
      <c r="R2" s="14">
        <v>48070014</v>
      </c>
      <c r="S2" s="12"/>
      <c r="T2" s="12"/>
      <c r="U2" s="60"/>
      <c r="V2" s="60" t="s">
        <v>355</v>
      </c>
      <c r="W2" s="98" t="s">
        <v>291</v>
      </c>
      <c r="X2" s="69">
        <v>1</v>
      </c>
      <c r="Y2" s="69">
        <v>5</v>
      </c>
      <c r="Z2" s="65">
        <f>1/5</f>
        <v>0.2</v>
      </c>
      <c r="AA2" s="122">
        <v>108.5</v>
      </c>
      <c r="AB2" s="122">
        <v>123.7</v>
      </c>
      <c r="AC2" s="122">
        <f t="shared" ref="AC2:AC14" si="1">AA2-AB2</f>
        <v>-15.200000000000003</v>
      </c>
      <c r="AD2" s="122">
        <v>27.9</v>
      </c>
      <c r="AE2" s="122">
        <v>21.7</v>
      </c>
      <c r="AF2" s="65">
        <v>0.55700000000000005</v>
      </c>
      <c r="AG2" s="122">
        <v>33.6</v>
      </c>
      <c r="AH2" s="122">
        <v>0.2</v>
      </c>
      <c r="AI2" s="122">
        <v>0.1</v>
      </c>
      <c r="AJ2" s="65">
        <v>0.104</v>
      </c>
      <c r="AK2" s="122">
        <v>4.5</v>
      </c>
      <c r="AL2" s="122">
        <v>-0.6</v>
      </c>
      <c r="AM2" s="122">
        <v>0.2</v>
      </c>
      <c r="AN2" s="122">
        <v>13.3</v>
      </c>
    </row>
    <row r="3" spans="1:44" x14ac:dyDescent="0.2">
      <c r="A3" s="3">
        <v>11</v>
      </c>
      <c r="B3" s="3" t="s">
        <v>887</v>
      </c>
      <c r="C3" s="3" t="s">
        <v>255</v>
      </c>
      <c r="D3" s="108">
        <v>66</v>
      </c>
      <c r="E3" s="108">
        <v>69</v>
      </c>
      <c r="F3" s="109">
        <v>215</v>
      </c>
      <c r="G3" s="4">
        <v>32912</v>
      </c>
      <c r="H3" s="113">
        <f t="shared" ca="1" si="0"/>
        <v>30.7</v>
      </c>
      <c r="I3" s="3" t="s">
        <v>888</v>
      </c>
      <c r="J3" s="3">
        <v>10</v>
      </c>
      <c r="K3" s="112">
        <v>2011</v>
      </c>
      <c r="L3" s="112">
        <v>11</v>
      </c>
      <c r="M3" s="3" t="s">
        <v>889</v>
      </c>
      <c r="N3" s="3" t="s">
        <v>1</v>
      </c>
      <c r="O3" s="3" t="s">
        <v>2105</v>
      </c>
      <c r="P3" s="11">
        <v>35361460</v>
      </c>
      <c r="Q3" s="11">
        <v>37980720</v>
      </c>
      <c r="R3" s="11">
        <v>40600080</v>
      </c>
      <c r="S3" s="11">
        <v>43219440</v>
      </c>
      <c r="T3" s="14">
        <v>49926100</v>
      </c>
      <c r="U3" s="60"/>
      <c r="V3" s="60" t="s">
        <v>355</v>
      </c>
      <c r="W3" s="60" t="s">
        <v>890</v>
      </c>
      <c r="X3" s="69">
        <v>2</v>
      </c>
      <c r="Y3" s="69">
        <v>78</v>
      </c>
      <c r="Z3" s="65">
        <f>54/78</f>
        <v>0.69230769230769229</v>
      </c>
      <c r="AA3" s="122">
        <v>115</v>
      </c>
      <c r="AB3" s="122">
        <v>108.5</v>
      </c>
      <c r="AC3" s="122">
        <f t="shared" si="1"/>
        <v>6.5</v>
      </c>
      <c r="AD3" s="122">
        <v>34</v>
      </c>
      <c r="AE3" s="122">
        <v>16.600000000000001</v>
      </c>
      <c r="AF3" s="65">
        <v>0.57099999999999995</v>
      </c>
      <c r="AG3" s="122">
        <v>25.6</v>
      </c>
      <c r="AH3" s="122">
        <v>2.9</v>
      </c>
      <c r="AI3" s="122">
        <v>2.2999999999999998</v>
      </c>
      <c r="AJ3" s="65">
        <v>9.5000000000000001E-2</v>
      </c>
      <c r="AK3" s="122">
        <v>1.1000000000000001</v>
      </c>
      <c r="AL3" s="122">
        <v>-1.4</v>
      </c>
      <c r="AM3" s="122">
        <v>1.2</v>
      </c>
      <c r="AN3" s="122">
        <v>10.3</v>
      </c>
    </row>
    <row r="4" spans="1:44" x14ac:dyDescent="0.2">
      <c r="A4" s="3">
        <v>22</v>
      </c>
      <c r="B4" s="3" t="s">
        <v>891</v>
      </c>
      <c r="C4" s="3" t="s">
        <v>244</v>
      </c>
      <c r="D4" s="108">
        <v>67</v>
      </c>
      <c r="E4" s="108">
        <v>70</v>
      </c>
      <c r="F4" s="109">
        <v>197</v>
      </c>
      <c r="G4" s="4">
        <v>34753</v>
      </c>
      <c r="H4" s="113">
        <f t="shared" ca="1" si="0"/>
        <v>25.6</v>
      </c>
      <c r="I4" s="3" t="s">
        <v>524</v>
      </c>
      <c r="J4" s="3">
        <v>7</v>
      </c>
      <c r="K4" s="112">
        <v>2014</v>
      </c>
      <c r="L4" s="112">
        <v>1</v>
      </c>
      <c r="M4" s="3" t="s">
        <v>892</v>
      </c>
      <c r="N4" s="3" t="s">
        <v>893</v>
      </c>
      <c r="O4" s="3" t="s">
        <v>2106</v>
      </c>
      <c r="P4" s="11">
        <v>29542010</v>
      </c>
      <c r="Q4" s="11">
        <v>31579390</v>
      </c>
      <c r="R4" s="11">
        <v>33616770</v>
      </c>
      <c r="S4" s="14">
        <v>40979925</v>
      </c>
      <c r="T4" s="3"/>
      <c r="U4" s="60"/>
      <c r="V4" s="60"/>
      <c r="W4" s="60" t="s">
        <v>894</v>
      </c>
      <c r="X4" s="69">
        <v>3</v>
      </c>
      <c r="Y4" s="69">
        <v>12</v>
      </c>
      <c r="Z4" s="65">
        <f>3/12</f>
        <v>0.25</v>
      </c>
      <c r="AA4" s="122">
        <v>106.7</v>
      </c>
      <c r="AB4" s="122">
        <v>116.5</v>
      </c>
      <c r="AC4" s="122">
        <f t="shared" si="1"/>
        <v>-9.7999999999999972</v>
      </c>
      <c r="AD4" s="122">
        <v>33.6</v>
      </c>
      <c r="AE4" s="122">
        <v>17.5</v>
      </c>
      <c r="AF4" s="65">
        <v>0.54200000000000004</v>
      </c>
      <c r="AG4" s="122">
        <v>25.4</v>
      </c>
      <c r="AH4" s="122">
        <v>0.2</v>
      </c>
      <c r="AI4" s="122">
        <v>0.3</v>
      </c>
      <c r="AJ4" s="65">
        <v>6.4000000000000001E-2</v>
      </c>
      <c r="AK4" s="122">
        <v>1</v>
      </c>
      <c r="AL4" s="122">
        <v>-1.1000000000000001</v>
      </c>
      <c r="AM4" s="122">
        <v>0.2</v>
      </c>
      <c r="AN4" s="122">
        <v>9.9</v>
      </c>
    </row>
    <row r="5" spans="1:44" x14ac:dyDescent="0.2">
      <c r="A5" s="3">
        <v>23</v>
      </c>
      <c r="B5" s="3" t="s">
        <v>895</v>
      </c>
      <c r="C5" s="3" t="s">
        <v>244</v>
      </c>
      <c r="D5" s="108">
        <v>66</v>
      </c>
      <c r="E5" s="108">
        <v>71</v>
      </c>
      <c r="F5" s="109">
        <v>230</v>
      </c>
      <c r="G5" s="4">
        <v>32936</v>
      </c>
      <c r="H5" s="113">
        <f t="shared" ca="1" si="0"/>
        <v>30.6</v>
      </c>
      <c r="I5" s="3" t="s">
        <v>513</v>
      </c>
      <c r="J5" s="3">
        <v>9</v>
      </c>
      <c r="K5" s="112">
        <v>2012</v>
      </c>
      <c r="L5" s="112">
        <v>35</v>
      </c>
      <c r="M5" s="3" t="s">
        <v>896</v>
      </c>
      <c r="N5" s="3" t="s">
        <v>1</v>
      </c>
      <c r="O5" s="3" t="s">
        <v>2103</v>
      </c>
      <c r="P5" s="11">
        <v>22246956</v>
      </c>
      <c r="Q5" s="11">
        <v>24026712</v>
      </c>
      <c r="R5" s="11">
        <v>25806468</v>
      </c>
      <c r="S5" s="48">
        <v>27586224</v>
      </c>
      <c r="T5" s="14">
        <f>S5*1.5</f>
        <v>41379336</v>
      </c>
      <c r="U5" s="60"/>
      <c r="V5" s="60" t="s">
        <v>355</v>
      </c>
      <c r="W5" s="60" t="s">
        <v>897</v>
      </c>
      <c r="X5" s="69">
        <v>4</v>
      </c>
      <c r="Y5" s="69">
        <v>43</v>
      </c>
      <c r="Z5" s="65">
        <f>10/43</f>
        <v>0.23255813953488372</v>
      </c>
      <c r="AA5" s="122">
        <v>103.2</v>
      </c>
      <c r="AB5" s="122">
        <v>110.4</v>
      </c>
      <c r="AC5" s="122">
        <f t="shared" si="1"/>
        <v>-7.2000000000000028</v>
      </c>
      <c r="AD5" s="122">
        <v>28.4</v>
      </c>
      <c r="AE5" s="122">
        <v>12.6</v>
      </c>
      <c r="AF5" s="65">
        <v>0.48899999999999999</v>
      </c>
      <c r="AG5" s="122">
        <v>15.7</v>
      </c>
      <c r="AH5" s="122">
        <v>-0.2</v>
      </c>
      <c r="AI5" s="122">
        <v>1.3</v>
      </c>
      <c r="AJ5" s="65">
        <v>4.3999999999999997E-2</v>
      </c>
      <c r="AK5" s="122">
        <v>-2</v>
      </c>
      <c r="AL5" s="122">
        <v>1.9</v>
      </c>
      <c r="AM5" s="122">
        <v>0.6</v>
      </c>
      <c r="AN5" s="122">
        <v>10</v>
      </c>
    </row>
    <row r="6" spans="1:44" x14ac:dyDescent="0.2">
      <c r="A6" s="3">
        <v>5</v>
      </c>
      <c r="B6" s="3" t="s">
        <v>898</v>
      </c>
      <c r="C6" s="3" t="s">
        <v>236</v>
      </c>
      <c r="D6" s="108">
        <v>69</v>
      </c>
      <c r="E6" s="108">
        <v>74</v>
      </c>
      <c r="F6" s="109">
        <v>222</v>
      </c>
      <c r="G6" s="4">
        <v>35101</v>
      </c>
      <c r="H6" s="113">
        <f t="shared" ca="1" si="0"/>
        <v>24.7</v>
      </c>
      <c r="I6" s="3" t="s">
        <v>564</v>
      </c>
      <c r="J6" s="3">
        <v>6</v>
      </c>
      <c r="K6" s="112">
        <v>2015</v>
      </c>
      <c r="L6" s="112">
        <v>30</v>
      </c>
      <c r="M6" s="3" t="s">
        <v>899</v>
      </c>
      <c r="N6" s="3" t="s">
        <v>1</v>
      </c>
      <c r="O6" s="3" t="s">
        <v>2107</v>
      </c>
      <c r="P6" s="11">
        <v>4821429</v>
      </c>
      <c r="Q6" s="48">
        <v>5178572</v>
      </c>
      <c r="R6" s="14">
        <f>Q6*1.9</f>
        <v>9839286.7999999989</v>
      </c>
      <c r="S6" s="12"/>
      <c r="T6" s="12"/>
      <c r="U6" s="60"/>
      <c r="V6" s="60"/>
      <c r="W6" s="60" t="s">
        <v>900</v>
      </c>
      <c r="X6" s="69">
        <v>5</v>
      </c>
      <c r="Y6" s="69">
        <v>20</v>
      </c>
      <c r="Z6" s="65">
        <f>6/20</f>
        <v>0.3</v>
      </c>
      <c r="AA6" s="122">
        <v>92.6</v>
      </c>
      <c r="AB6" s="122">
        <v>110.9</v>
      </c>
      <c r="AC6" s="122">
        <f t="shared" si="1"/>
        <v>-18.300000000000011</v>
      </c>
      <c r="AD6" s="122">
        <v>13.1</v>
      </c>
      <c r="AE6" s="122">
        <v>9.4</v>
      </c>
      <c r="AF6" s="65">
        <v>0.40300000000000002</v>
      </c>
      <c r="AG6" s="122">
        <v>15.7</v>
      </c>
      <c r="AH6" s="122">
        <v>-0.2</v>
      </c>
      <c r="AI6" s="122">
        <v>0.2</v>
      </c>
      <c r="AJ6" s="65">
        <v>5.0000000000000001E-3</v>
      </c>
      <c r="AK6" s="122">
        <v>-4.8</v>
      </c>
      <c r="AL6" s="122">
        <v>-0.8</v>
      </c>
      <c r="AM6" s="122">
        <v>-0.2</v>
      </c>
      <c r="AN6" s="122">
        <v>5.6</v>
      </c>
    </row>
    <row r="7" spans="1:44" x14ac:dyDescent="0.2">
      <c r="A7" s="3">
        <v>3</v>
      </c>
      <c r="B7" s="3" t="s">
        <v>901</v>
      </c>
      <c r="C7" s="3" t="s">
        <v>232</v>
      </c>
      <c r="D7" s="108">
        <v>64</v>
      </c>
      <c r="E7" s="108">
        <v>67</v>
      </c>
      <c r="F7" s="109">
        <v>194</v>
      </c>
      <c r="G7" s="4">
        <v>36330</v>
      </c>
      <c r="H7" s="113">
        <f t="shared" ca="1" si="0"/>
        <v>21.3</v>
      </c>
      <c r="I7" s="3" t="s">
        <v>443</v>
      </c>
      <c r="J7" s="3">
        <v>2</v>
      </c>
      <c r="K7" s="112">
        <v>2019</v>
      </c>
      <c r="L7" s="112">
        <v>28</v>
      </c>
      <c r="M7" s="3" t="s">
        <v>902</v>
      </c>
      <c r="N7" s="3" t="s">
        <v>247</v>
      </c>
      <c r="O7" s="3" t="s">
        <v>2108</v>
      </c>
      <c r="P7" s="11">
        <v>2063280</v>
      </c>
      <c r="Q7" s="51">
        <v>2161440</v>
      </c>
      <c r="R7" s="51">
        <v>3901399</v>
      </c>
      <c r="S7" s="50">
        <v>11704197</v>
      </c>
      <c r="T7" s="3"/>
      <c r="U7" s="60"/>
      <c r="V7" s="60"/>
      <c r="W7" s="60" t="s">
        <v>903</v>
      </c>
      <c r="X7" s="69">
        <v>2</v>
      </c>
      <c r="Y7" s="69">
        <v>57</v>
      </c>
      <c r="Z7" s="65">
        <f>12/57</f>
        <v>0.21052631578947367</v>
      </c>
      <c r="AA7" s="122">
        <v>101.8</v>
      </c>
      <c r="AB7" s="122">
        <v>110</v>
      </c>
      <c r="AC7" s="122">
        <f t="shared" si="1"/>
        <v>-8.2000000000000028</v>
      </c>
      <c r="AD7" s="122">
        <v>22.3</v>
      </c>
      <c r="AE7" s="122">
        <v>7.2</v>
      </c>
      <c r="AF7" s="65">
        <v>0.45400000000000001</v>
      </c>
      <c r="AG7" s="122">
        <v>21.1</v>
      </c>
      <c r="AH7" s="122">
        <v>-1.6</v>
      </c>
      <c r="AI7" s="122">
        <v>0.4</v>
      </c>
      <c r="AJ7" s="65">
        <v>-4.7E-2</v>
      </c>
      <c r="AK7" s="122">
        <v>-4.4000000000000004</v>
      </c>
      <c r="AL7" s="122">
        <v>-2.2000000000000002</v>
      </c>
      <c r="AM7" s="122">
        <v>-1.5</v>
      </c>
      <c r="AN7" s="122">
        <v>5.0999999999999996</v>
      </c>
    </row>
    <row r="8" spans="1:44" x14ac:dyDescent="0.2">
      <c r="A8" s="3">
        <v>32</v>
      </c>
      <c r="B8" s="3" t="s">
        <v>55</v>
      </c>
      <c r="C8" s="3" t="s">
        <v>236</v>
      </c>
      <c r="D8" s="108">
        <v>69</v>
      </c>
      <c r="E8" s="108">
        <v>71</v>
      </c>
      <c r="F8" s="109">
        <v>240</v>
      </c>
      <c r="G8" s="4">
        <v>35613</v>
      </c>
      <c r="H8" s="113">
        <f t="shared" ca="1" si="0"/>
        <v>23.3</v>
      </c>
      <c r="I8" s="3" t="s">
        <v>888</v>
      </c>
      <c r="J8" s="3">
        <v>5</v>
      </c>
      <c r="K8" s="112">
        <v>2016</v>
      </c>
      <c r="L8" s="112">
        <v>8</v>
      </c>
      <c r="M8" s="3" t="s">
        <v>914</v>
      </c>
      <c r="N8" s="3" t="s">
        <v>282</v>
      </c>
      <c r="O8" s="163" t="s">
        <v>290</v>
      </c>
      <c r="P8" s="15">
        <v>1824003</v>
      </c>
      <c r="Q8" s="52">
        <v>1856061</v>
      </c>
      <c r="R8" s="3"/>
      <c r="S8" s="3"/>
      <c r="T8" s="157"/>
      <c r="U8" s="60"/>
      <c r="V8" s="60"/>
      <c r="W8" s="60" t="s">
        <v>503</v>
      </c>
      <c r="X8" s="69">
        <v>5</v>
      </c>
      <c r="Y8" s="69">
        <v>59</v>
      </c>
      <c r="Z8" s="65">
        <f>15/59</f>
        <v>0.25423728813559321</v>
      </c>
      <c r="AA8" s="122">
        <v>103.7</v>
      </c>
      <c r="AB8" s="122">
        <v>113.2</v>
      </c>
      <c r="AC8" s="122">
        <f t="shared" si="1"/>
        <v>-9.5</v>
      </c>
      <c r="AD8" s="122">
        <v>20.3</v>
      </c>
      <c r="AE8" s="122">
        <v>9.4</v>
      </c>
      <c r="AF8" s="65">
        <v>0.60399999999999998</v>
      </c>
      <c r="AG8" s="122">
        <v>19</v>
      </c>
      <c r="AH8" s="122">
        <v>2.1</v>
      </c>
      <c r="AI8" s="122">
        <v>1.3</v>
      </c>
      <c r="AJ8" s="65">
        <v>0.13600000000000001</v>
      </c>
      <c r="AK8" s="122">
        <v>0.1</v>
      </c>
      <c r="AL8" s="122">
        <v>0.5</v>
      </c>
      <c r="AM8" s="122">
        <v>0.8</v>
      </c>
      <c r="AN8" s="122">
        <v>12.7</v>
      </c>
    </row>
    <row r="9" spans="1:44" x14ac:dyDescent="0.2">
      <c r="A9" s="3">
        <v>1</v>
      </c>
      <c r="B9" s="3" t="s">
        <v>54</v>
      </c>
      <c r="C9" s="3" t="s">
        <v>232</v>
      </c>
      <c r="D9" s="108">
        <v>65</v>
      </c>
      <c r="E9" s="108"/>
      <c r="F9" s="109">
        <v>210</v>
      </c>
      <c r="G9" s="4">
        <v>33898</v>
      </c>
      <c r="H9" s="113">
        <f t="shared" ca="1" si="0"/>
        <v>28</v>
      </c>
      <c r="I9" s="3" t="s">
        <v>498</v>
      </c>
      <c r="J9" s="3">
        <v>4</v>
      </c>
      <c r="K9" s="112">
        <v>2016</v>
      </c>
      <c r="L9" s="112"/>
      <c r="M9" s="3" t="s">
        <v>911</v>
      </c>
      <c r="N9" s="3" t="s">
        <v>521</v>
      </c>
      <c r="O9" s="163" t="s">
        <v>912</v>
      </c>
      <c r="P9" s="15">
        <v>1762796</v>
      </c>
      <c r="Q9" s="15">
        <v>1910860</v>
      </c>
      <c r="R9" s="52">
        <v>1948864</v>
      </c>
      <c r="S9" s="3"/>
      <c r="T9" s="12"/>
      <c r="U9" s="60"/>
      <c r="V9" s="60"/>
      <c r="W9" s="60" t="s">
        <v>913</v>
      </c>
      <c r="X9" s="69">
        <v>2</v>
      </c>
      <c r="Y9" s="69">
        <v>49</v>
      </c>
      <c r="Z9" s="65">
        <f>12/49</f>
        <v>0.24489795918367346</v>
      </c>
      <c r="AA9" s="122">
        <v>105.6</v>
      </c>
      <c r="AB9" s="122">
        <v>109.7</v>
      </c>
      <c r="AC9" s="122">
        <f t="shared" si="1"/>
        <v>-4.1000000000000085</v>
      </c>
      <c r="AD9" s="122">
        <v>29</v>
      </c>
      <c r="AE9" s="122">
        <v>12.7</v>
      </c>
      <c r="AF9" s="65">
        <v>0.54800000000000004</v>
      </c>
      <c r="AG9" s="122">
        <v>19</v>
      </c>
      <c r="AH9" s="122">
        <v>0.9</v>
      </c>
      <c r="AI9" s="122">
        <v>0.8</v>
      </c>
      <c r="AJ9" s="65">
        <v>5.8000000000000003E-2</v>
      </c>
      <c r="AK9" s="122">
        <v>-1.5</v>
      </c>
      <c r="AL9" s="122">
        <v>-0.8</v>
      </c>
      <c r="AM9" s="122">
        <v>-0.1</v>
      </c>
      <c r="AN9" s="122">
        <v>8.9</v>
      </c>
    </row>
    <row r="10" spans="1:44" x14ac:dyDescent="0.2">
      <c r="A10" s="3">
        <v>7</v>
      </c>
      <c r="B10" s="3" t="s">
        <v>904</v>
      </c>
      <c r="C10" s="3" t="s">
        <v>236</v>
      </c>
      <c r="D10" s="108">
        <v>66</v>
      </c>
      <c r="E10" s="108">
        <v>70</v>
      </c>
      <c r="F10" s="109">
        <v>255</v>
      </c>
      <c r="G10" s="4">
        <v>35373</v>
      </c>
      <c r="H10" s="113">
        <f t="shared" ca="1" si="0"/>
        <v>23.9</v>
      </c>
      <c r="I10" s="3" t="s">
        <v>589</v>
      </c>
      <c r="J10" s="3">
        <v>2</v>
      </c>
      <c r="K10" s="112">
        <v>2019</v>
      </c>
      <c r="L10" s="112">
        <v>41</v>
      </c>
      <c r="M10" s="3" t="s">
        <v>905</v>
      </c>
      <c r="N10" s="3" t="s">
        <v>521</v>
      </c>
      <c r="O10" s="3" t="s">
        <v>799</v>
      </c>
      <c r="P10" s="11">
        <v>1517981</v>
      </c>
      <c r="Q10" s="11">
        <v>1782621</v>
      </c>
      <c r="R10" s="50">
        <v>2228276</v>
      </c>
      <c r="S10" s="3"/>
      <c r="T10" s="3"/>
      <c r="U10" s="60"/>
      <c r="V10" s="60"/>
      <c r="W10" s="60" t="s">
        <v>906</v>
      </c>
      <c r="X10" s="69">
        <v>4</v>
      </c>
      <c r="Y10" s="69">
        <v>60</v>
      </c>
      <c r="Z10" s="65">
        <f>14/60</f>
        <v>0.23333333333333334</v>
      </c>
      <c r="AA10" s="122">
        <v>103.6</v>
      </c>
      <c r="AB10" s="122">
        <v>114.2</v>
      </c>
      <c r="AC10" s="122">
        <f t="shared" si="1"/>
        <v>-10.600000000000009</v>
      </c>
      <c r="AD10" s="122">
        <v>27.6</v>
      </c>
      <c r="AE10" s="122">
        <v>14.5</v>
      </c>
      <c r="AF10" s="65">
        <v>0.57099999999999995</v>
      </c>
      <c r="AG10" s="122">
        <v>21.4</v>
      </c>
      <c r="AH10" s="122">
        <v>1.6</v>
      </c>
      <c r="AI10" s="122">
        <v>0.5</v>
      </c>
      <c r="AJ10" s="65">
        <v>6.2E-2</v>
      </c>
      <c r="AK10" s="122">
        <v>-0.7</v>
      </c>
      <c r="AL10" s="122">
        <v>-2</v>
      </c>
      <c r="AM10" s="122">
        <v>-0.3</v>
      </c>
      <c r="AN10" s="122">
        <v>9.6</v>
      </c>
    </row>
    <row r="11" spans="1:44" x14ac:dyDescent="0.2">
      <c r="A11" s="3">
        <v>6</v>
      </c>
      <c r="B11" s="3" t="s">
        <v>907</v>
      </c>
      <c r="C11" s="3" t="s">
        <v>236</v>
      </c>
      <c r="D11" s="108">
        <v>610</v>
      </c>
      <c r="E11" s="108">
        <v>72</v>
      </c>
      <c r="F11" s="109">
        <v>215</v>
      </c>
      <c r="G11" s="4">
        <v>36756</v>
      </c>
      <c r="H11" s="113">
        <f t="shared" ca="1" si="0"/>
        <v>20.100000000000001</v>
      </c>
      <c r="I11" s="3" t="s">
        <v>908</v>
      </c>
      <c r="J11" s="3">
        <v>2</v>
      </c>
      <c r="K11" s="112">
        <v>2019</v>
      </c>
      <c r="L11" s="112">
        <v>39</v>
      </c>
      <c r="M11" s="3" t="s">
        <v>909</v>
      </c>
      <c r="N11" s="3" t="s">
        <v>521</v>
      </c>
      <c r="O11" s="3" t="s">
        <v>2109</v>
      </c>
      <c r="P11" s="11">
        <v>1517981</v>
      </c>
      <c r="Q11" s="15">
        <v>1782621</v>
      </c>
      <c r="R11" s="15">
        <v>1930681</v>
      </c>
      <c r="S11" s="14">
        <v>2026863</v>
      </c>
      <c r="T11" s="12"/>
      <c r="U11" s="60"/>
      <c r="V11" s="60"/>
      <c r="W11" s="60" t="s">
        <v>910</v>
      </c>
      <c r="X11" s="69">
        <v>5</v>
      </c>
      <c r="Y11" s="69">
        <v>14</v>
      </c>
      <c r="Z11" s="65">
        <f>1/14</f>
        <v>7.1428571428571425E-2</v>
      </c>
      <c r="AA11" s="122">
        <v>106.2</v>
      </c>
      <c r="AB11" s="122">
        <v>109.2</v>
      </c>
      <c r="AC11" s="122">
        <f t="shared" si="1"/>
        <v>-3</v>
      </c>
      <c r="AD11" s="122">
        <v>9.9</v>
      </c>
      <c r="AE11" s="122">
        <v>14.5</v>
      </c>
      <c r="AF11" s="65">
        <v>0.61</v>
      </c>
      <c r="AG11" s="122">
        <v>18.2</v>
      </c>
      <c r="AH11" s="122">
        <v>0.2</v>
      </c>
      <c r="AI11" s="122">
        <v>0.1</v>
      </c>
      <c r="AJ11" s="65">
        <v>8.1000000000000003E-2</v>
      </c>
      <c r="AK11" s="122">
        <v>-1.3</v>
      </c>
      <c r="AL11" s="122">
        <v>-0.8</v>
      </c>
      <c r="AM11" s="122">
        <v>0</v>
      </c>
      <c r="AN11" s="122">
        <v>8.9</v>
      </c>
    </row>
    <row r="12" spans="1:44" x14ac:dyDescent="0.2">
      <c r="A12" s="3">
        <v>12</v>
      </c>
      <c r="B12" s="3" t="s">
        <v>57</v>
      </c>
      <c r="C12" s="3" t="s">
        <v>250</v>
      </c>
      <c r="D12" s="108">
        <v>61</v>
      </c>
      <c r="E12" s="108">
        <v>67</v>
      </c>
      <c r="F12" s="109">
        <v>187</v>
      </c>
      <c r="G12" s="4">
        <v>35598</v>
      </c>
      <c r="H12" s="113">
        <f t="shared" ca="1" si="0"/>
        <v>23.3</v>
      </c>
      <c r="I12" s="3" t="s">
        <v>915</v>
      </c>
      <c r="J12" s="3">
        <v>2</v>
      </c>
      <c r="K12" s="112">
        <v>2019</v>
      </c>
      <c r="L12" s="112"/>
      <c r="M12" s="3" t="s">
        <v>467</v>
      </c>
      <c r="N12" s="3" t="s">
        <v>521</v>
      </c>
      <c r="O12" s="163" t="s">
        <v>916</v>
      </c>
      <c r="P12" s="15">
        <v>1517981</v>
      </c>
      <c r="Q12" s="15">
        <v>1782621</v>
      </c>
      <c r="R12" s="68">
        <v>2228276</v>
      </c>
      <c r="S12" s="3"/>
      <c r="T12" s="12"/>
      <c r="U12" s="60"/>
      <c r="V12" s="60"/>
      <c r="W12" s="71" t="s">
        <v>291</v>
      </c>
      <c r="X12" s="69">
        <v>1</v>
      </c>
      <c r="Y12" s="69">
        <v>45</v>
      </c>
      <c r="Z12" s="65">
        <f>9/45</f>
        <v>0.2</v>
      </c>
      <c r="AA12" s="122">
        <v>99.8</v>
      </c>
      <c r="AB12" s="122">
        <v>108.2</v>
      </c>
      <c r="AC12" s="122">
        <f t="shared" si="1"/>
        <v>-8.4000000000000057</v>
      </c>
      <c r="AD12" s="122">
        <v>22.6</v>
      </c>
      <c r="AE12" s="122">
        <v>9.1999999999999993</v>
      </c>
      <c r="AF12" s="65">
        <v>0.49399999999999999</v>
      </c>
      <c r="AG12" s="122">
        <v>17.2</v>
      </c>
      <c r="AH12" s="122">
        <v>-0.6</v>
      </c>
      <c r="AI12" s="122">
        <v>0.6</v>
      </c>
      <c r="AJ12" s="65">
        <v>-3.0000000000000001E-3</v>
      </c>
      <c r="AK12" s="122">
        <v>-4</v>
      </c>
      <c r="AL12" s="122">
        <v>-0.3</v>
      </c>
      <c r="AM12" s="122">
        <v>-0.6</v>
      </c>
      <c r="AN12" s="122">
        <v>6.7</v>
      </c>
    </row>
    <row r="13" spans="1:44" x14ac:dyDescent="0.2">
      <c r="A13" s="3">
        <v>95</v>
      </c>
      <c r="B13" s="3" t="s">
        <v>58</v>
      </c>
      <c r="C13" s="3" t="s">
        <v>255</v>
      </c>
      <c r="D13" s="108">
        <v>66</v>
      </c>
      <c r="E13" s="108">
        <v>610</v>
      </c>
      <c r="F13" s="109">
        <v>209</v>
      </c>
      <c r="G13" s="4">
        <v>34038</v>
      </c>
      <c r="H13" s="113">
        <f t="shared" ca="1" si="0"/>
        <v>27.6</v>
      </c>
      <c r="I13" s="3" t="s">
        <v>917</v>
      </c>
      <c r="J13" s="3">
        <v>2</v>
      </c>
      <c r="K13" s="112">
        <v>2015</v>
      </c>
      <c r="L13" s="112"/>
      <c r="M13" s="3" t="s">
        <v>467</v>
      </c>
      <c r="N13" s="3" t="s">
        <v>521</v>
      </c>
      <c r="O13" s="163" t="s">
        <v>916</v>
      </c>
      <c r="P13" s="15">
        <v>1517981</v>
      </c>
      <c r="Q13" s="15">
        <v>1782621</v>
      </c>
      <c r="R13" s="68">
        <v>2228276</v>
      </c>
      <c r="S13" s="12"/>
      <c r="U13" s="60"/>
      <c r="V13" s="60"/>
      <c r="W13" s="60" t="s">
        <v>918</v>
      </c>
      <c r="X13" s="69">
        <v>3</v>
      </c>
      <c r="Y13" s="69">
        <v>13</v>
      </c>
      <c r="Z13" s="65">
        <f>3/13</f>
        <v>0.23076923076923078</v>
      </c>
      <c r="AA13" s="122">
        <v>99.5</v>
      </c>
      <c r="AB13" s="122">
        <v>111.5</v>
      </c>
      <c r="AC13" s="122">
        <f t="shared" si="1"/>
        <v>-12</v>
      </c>
      <c r="AD13" s="122">
        <v>20.9</v>
      </c>
      <c r="AE13" s="122">
        <v>9.4</v>
      </c>
      <c r="AF13" s="65">
        <v>0.52900000000000003</v>
      </c>
      <c r="AG13" s="122">
        <v>12.7</v>
      </c>
      <c r="AH13" s="122">
        <v>-0.1</v>
      </c>
      <c r="AI13" s="122">
        <v>0.2</v>
      </c>
      <c r="AJ13" s="65">
        <v>0.03</v>
      </c>
      <c r="AK13" s="122">
        <v>-3.9</v>
      </c>
      <c r="AL13" s="122">
        <v>0.4</v>
      </c>
      <c r="AM13" s="122">
        <v>-0.1</v>
      </c>
      <c r="AN13" s="122">
        <v>7.4</v>
      </c>
    </row>
    <row r="14" spans="1:44" x14ac:dyDescent="0.2">
      <c r="A14" s="3">
        <v>12</v>
      </c>
      <c r="B14" s="3" t="s">
        <v>59</v>
      </c>
      <c r="C14" s="3" t="s">
        <v>255</v>
      </c>
      <c r="D14" s="108">
        <v>63</v>
      </c>
      <c r="E14" s="108">
        <v>68</v>
      </c>
      <c r="F14" s="109">
        <v>184</v>
      </c>
      <c r="G14" s="4">
        <v>34497</v>
      </c>
      <c r="H14" s="113">
        <f t="shared" ca="1" si="0"/>
        <v>26.3</v>
      </c>
      <c r="I14" s="3" t="s">
        <v>270</v>
      </c>
      <c r="J14" s="3">
        <v>2</v>
      </c>
      <c r="K14" s="112">
        <v>2017</v>
      </c>
      <c r="L14" s="112"/>
      <c r="M14" s="3" t="s">
        <v>919</v>
      </c>
      <c r="N14" s="3" t="s">
        <v>521</v>
      </c>
      <c r="O14" s="163" t="s">
        <v>920</v>
      </c>
      <c r="P14" s="15">
        <v>1517981</v>
      </c>
      <c r="Q14" s="15">
        <v>1782621</v>
      </c>
      <c r="R14" s="68">
        <v>2228276</v>
      </c>
      <c r="S14" s="3"/>
      <c r="T14" s="12"/>
      <c r="U14" s="60"/>
      <c r="V14" s="60"/>
      <c r="W14" s="60" t="s">
        <v>921</v>
      </c>
      <c r="X14" s="69">
        <v>1</v>
      </c>
      <c r="Y14" s="69">
        <v>7</v>
      </c>
      <c r="Z14" s="65">
        <f>3.7</f>
        <v>3.7</v>
      </c>
      <c r="AA14" s="122">
        <v>113.3</v>
      </c>
      <c r="AB14" s="122">
        <v>107.1</v>
      </c>
      <c r="AC14" s="122">
        <f t="shared" si="1"/>
        <v>6.2000000000000028</v>
      </c>
      <c r="AD14" s="122">
        <v>29.1</v>
      </c>
      <c r="AE14" s="122">
        <v>7.8</v>
      </c>
      <c r="AF14" s="65">
        <v>0.55300000000000005</v>
      </c>
      <c r="AG14" s="122">
        <v>16.2</v>
      </c>
      <c r="AH14" s="122">
        <v>0.1</v>
      </c>
      <c r="AI14" s="122">
        <v>0</v>
      </c>
      <c r="AJ14" s="65">
        <v>1.7000000000000001E-2</v>
      </c>
      <c r="AK14" s="122">
        <v>-3.3</v>
      </c>
      <c r="AL14" s="122">
        <v>-2.9</v>
      </c>
      <c r="AM14" s="122">
        <v>-0.2</v>
      </c>
      <c r="AN14" s="122">
        <v>5</v>
      </c>
    </row>
    <row r="15" spans="1:44" x14ac:dyDescent="0.2">
      <c r="B15" t="s">
        <v>297</v>
      </c>
      <c r="K15" s="58"/>
      <c r="L15" s="58"/>
      <c r="M15" s="58"/>
      <c r="N15" s="55"/>
      <c r="O15" s="55"/>
      <c r="P15" s="22">
        <v>666667</v>
      </c>
      <c r="Q15" s="22">
        <v>666666</v>
      </c>
      <c r="R15" s="3"/>
      <c r="S15" s="3"/>
      <c r="T15" s="26"/>
      <c r="U15" s="60"/>
      <c r="V15" s="60"/>
      <c r="W15" s="60"/>
      <c r="X15" s="69"/>
      <c r="Y15" s="69"/>
      <c r="Z15" s="65"/>
      <c r="AA15" s="122"/>
      <c r="AB15" s="122"/>
      <c r="AC15" s="122"/>
      <c r="AD15" s="122"/>
      <c r="AE15" s="122"/>
      <c r="AF15" s="65"/>
      <c r="AG15" s="122"/>
      <c r="AH15" s="122"/>
      <c r="AI15" s="122"/>
      <c r="AJ15" s="65"/>
      <c r="AK15" s="122"/>
      <c r="AL15" s="122"/>
      <c r="AM15" s="122"/>
      <c r="AN15" s="122"/>
    </row>
    <row r="16" spans="1:44" x14ac:dyDescent="0.2">
      <c r="B16" s="2" t="s">
        <v>678</v>
      </c>
      <c r="H16" s="3"/>
      <c r="K16" s="55"/>
      <c r="L16" s="16"/>
      <c r="M16" s="16"/>
      <c r="N16" s="16"/>
      <c r="O16" s="16"/>
      <c r="P16" s="87">
        <v>8730240</v>
      </c>
      <c r="Q16" s="87">
        <v>9166800</v>
      </c>
      <c r="R16" s="90">
        <v>9603360</v>
      </c>
      <c r="S16" s="90">
        <f>R16*1.262</f>
        <v>12119440.32</v>
      </c>
      <c r="T16" s="91">
        <f>S16*2.5</f>
        <v>30298600.800000001</v>
      </c>
      <c r="U16" s="60"/>
      <c r="V16" s="60"/>
      <c r="W16" s="60"/>
      <c r="X16" s="69"/>
      <c r="Y16" s="69"/>
      <c r="Z16" s="65"/>
      <c r="AA16" s="122"/>
      <c r="AB16" s="122"/>
      <c r="AC16" s="122"/>
      <c r="AD16" s="122"/>
      <c r="AE16" s="122"/>
      <c r="AF16" s="65"/>
      <c r="AG16" s="122"/>
      <c r="AH16" s="122"/>
      <c r="AI16" s="122"/>
      <c r="AJ16" s="65"/>
      <c r="AK16" s="122"/>
      <c r="AL16" s="122"/>
      <c r="AM16" s="122"/>
      <c r="AN16" s="122"/>
    </row>
    <row r="17" spans="2:40" x14ac:dyDescent="0.2">
      <c r="B17" s="2" t="s">
        <v>923</v>
      </c>
      <c r="H17" s="3"/>
      <c r="K17" s="75"/>
      <c r="L17" s="75"/>
      <c r="M17" s="75"/>
      <c r="N17" s="75"/>
      <c r="O17" s="75"/>
      <c r="P17" s="189">
        <v>898310</v>
      </c>
      <c r="Q17" s="60"/>
      <c r="R17" s="60"/>
      <c r="S17" s="60"/>
      <c r="T17" s="60"/>
      <c r="U17" s="60"/>
      <c r="V17" s="60"/>
      <c r="W17" s="60"/>
      <c r="X17" s="69"/>
      <c r="Y17" s="69"/>
      <c r="Z17" s="65"/>
      <c r="AA17" s="122"/>
      <c r="AB17" s="122"/>
      <c r="AC17" s="122"/>
      <c r="AD17" s="122"/>
      <c r="AE17" s="122"/>
      <c r="AF17" s="65"/>
      <c r="AG17" s="122"/>
      <c r="AH17" s="122"/>
      <c r="AI17" s="122"/>
      <c r="AJ17" s="65"/>
      <c r="AK17" s="122"/>
      <c r="AL17" s="122"/>
      <c r="AM17" s="122"/>
      <c r="AN17" s="122"/>
    </row>
    <row r="18" spans="2:40" x14ac:dyDescent="0.2">
      <c r="B18" s="2" t="s">
        <v>2197</v>
      </c>
      <c r="H18" s="3"/>
      <c r="K18" s="75"/>
      <c r="L18" s="75"/>
      <c r="M18" s="3"/>
      <c r="N18" s="22"/>
      <c r="O18" s="75"/>
      <c r="P18" s="189">
        <v>898310</v>
      </c>
      <c r="Q18" s="60"/>
      <c r="R18" s="60"/>
      <c r="S18" s="60"/>
      <c r="T18" s="60"/>
      <c r="U18" s="60"/>
      <c r="V18" s="60"/>
      <c r="W18" s="60"/>
      <c r="X18" s="69"/>
      <c r="Y18" s="69"/>
      <c r="Z18" s="65"/>
      <c r="AA18" s="122"/>
      <c r="AB18" s="122"/>
      <c r="AC18" s="122"/>
      <c r="AD18" s="122"/>
      <c r="AE18" s="122"/>
      <c r="AF18" s="65"/>
      <c r="AG18" s="122"/>
      <c r="AH18" s="122"/>
      <c r="AI18" s="122"/>
      <c r="AJ18" s="65"/>
      <c r="AK18" s="122"/>
      <c r="AL18" s="122"/>
      <c r="AM18" s="122"/>
      <c r="AN18" s="122"/>
    </row>
    <row r="19" spans="2:40" x14ac:dyDescent="0.2">
      <c r="E19" s="62"/>
      <c r="F19" s="63"/>
      <c r="G19" s="62">
        <f ca="1">TODAY()</f>
        <v>44128</v>
      </c>
      <c r="H19" s="36">
        <f ca="1">AVERAGE(H2:H14)</f>
        <v>26.000000000000004</v>
      </c>
      <c r="J19" s="63">
        <f>AVERAGE(J2:J14)</f>
        <v>5</v>
      </c>
      <c r="K19" s="75"/>
      <c r="L19" s="75"/>
      <c r="M19" s="22"/>
      <c r="N19" s="22"/>
      <c r="O19" s="75"/>
      <c r="P19" s="60"/>
      <c r="Q19" s="60"/>
      <c r="R19" s="60"/>
      <c r="S19" s="60"/>
      <c r="T19" s="60"/>
      <c r="U19" s="60"/>
      <c r="V19" s="60"/>
      <c r="W19" s="60"/>
      <c r="X19" s="69"/>
      <c r="Y19" s="69"/>
      <c r="Z19" s="65"/>
      <c r="AA19" s="122"/>
      <c r="AB19" s="122"/>
      <c r="AC19" s="122"/>
      <c r="AD19" s="122"/>
      <c r="AE19" s="122"/>
      <c r="AF19" s="65"/>
      <c r="AG19" s="122"/>
      <c r="AH19" s="122"/>
      <c r="AI19" s="122"/>
      <c r="AJ19" s="65"/>
      <c r="AK19" s="122"/>
      <c r="AL19" s="122"/>
      <c r="AM19" s="122"/>
      <c r="AN19" s="122"/>
    </row>
    <row r="20" spans="2:40" x14ac:dyDescent="0.2">
      <c r="B20" s="3"/>
      <c r="C20" s="60"/>
      <c r="H20" s="36">
        <f ca="1">MEDIAN(H2:H14)</f>
        <v>25.6</v>
      </c>
      <c r="J20" s="110">
        <f>MEDIAN(J2:J14)</f>
        <v>4</v>
      </c>
      <c r="K20" s="11"/>
      <c r="L20" s="76"/>
      <c r="M20" s="3"/>
      <c r="N20" s="22"/>
      <c r="O20" s="75"/>
      <c r="P20" s="64"/>
      <c r="Q20" s="60"/>
      <c r="R20" s="60"/>
      <c r="S20" s="60"/>
      <c r="T20" s="60"/>
      <c r="U20" s="60"/>
      <c r="V20" s="60"/>
      <c r="W20" s="60"/>
      <c r="X20" s="69"/>
      <c r="Y20" s="137"/>
      <c r="Z20" s="127"/>
      <c r="AA20" s="126"/>
      <c r="AB20" s="126"/>
      <c r="AC20" s="126"/>
      <c r="AD20" s="126"/>
      <c r="AE20" s="126"/>
      <c r="AF20" s="127"/>
      <c r="AG20" s="126"/>
      <c r="AH20" s="126"/>
      <c r="AI20" s="126"/>
      <c r="AJ20" s="127"/>
      <c r="AK20" s="126"/>
      <c r="AL20" s="126"/>
      <c r="AM20" s="126"/>
      <c r="AN20" s="126"/>
    </row>
    <row r="21" spans="2:40" x14ac:dyDescent="0.2">
      <c r="B21" s="5" t="s">
        <v>2224</v>
      </c>
      <c r="C21" s="60"/>
      <c r="D21" s="60"/>
      <c r="E21" s="60"/>
      <c r="F21" s="60"/>
      <c r="G21" s="60"/>
      <c r="H21" s="60"/>
      <c r="J21" s="3"/>
      <c r="K21" s="11"/>
      <c r="L21" s="76"/>
      <c r="M21" s="75"/>
      <c r="N21" s="75"/>
      <c r="O21" s="75"/>
      <c r="P21" s="160">
        <f>P2+P3+P4+P5+P16+P6+P7+P10+P11+P15+800000+600000</f>
        <v>150874366</v>
      </c>
      <c r="Q21" s="60"/>
      <c r="R21" s="60"/>
      <c r="S21" s="60"/>
      <c r="T21" s="64"/>
      <c r="U21" s="60"/>
      <c r="V21" s="60"/>
      <c r="W21" s="60"/>
      <c r="X21" s="69"/>
      <c r="Y21" s="137"/>
      <c r="Z21" s="127"/>
      <c r="AA21" s="126"/>
      <c r="AB21" s="126"/>
      <c r="AC21" s="126"/>
      <c r="AD21" s="126"/>
      <c r="AE21" s="126"/>
      <c r="AF21" s="127"/>
      <c r="AG21" s="126"/>
      <c r="AH21" s="126"/>
      <c r="AI21" s="126"/>
      <c r="AJ21" s="127"/>
      <c r="AK21" s="126"/>
      <c r="AL21" s="126"/>
      <c r="AM21" s="126"/>
      <c r="AN21" s="126"/>
    </row>
    <row r="22" spans="2:40" x14ac:dyDescent="0.2">
      <c r="B22" s="3" t="s">
        <v>2085</v>
      </c>
      <c r="C22" s="110">
        <v>8</v>
      </c>
      <c r="D22" s="60"/>
      <c r="E22" s="60"/>
      <c r="F22" s="60"/>
      <c r="G22" s="60"/>
      <c r="H22" s="60"/>
      <c r="J22" s="3"/>
      <c r="K22" s="11"/>
      <c r="L22" s="76"/>
      <c r="M22" s="75"/>
      <c r="N22" s="75"/>
      <c r="O22" s="75"/>
      <c r="P22" s="124">
        <f>P2+P3+P4+P5+P16+P6+P7+P8+P9+P10+P11+P12+P13+P14+P15</f>
        <v>157615108</v>
      </c>
      <c r="Q22" s="60"/>
      <c r="R22" s="60"/>
      <c r="S22" s="60"/>
      <c r="T22" s="60"/>
      <c r="U22" s="60"/>
      <c r="V22" s="60"/>
      <c r="W22" s="60"/>
      <c r="X22" s="69"/>
      <c r="Y22" s="137"/>
      <c r="Z22" s="127"/>
      <c r="AA22" s="126"/>
      <c r="AB22" s="126"/>
      <c r="AC22" s="126"/>
      <c r="AD22" s="126"/>
      <c r="AE22" s="126"/>
      <c r="AF22" s="127"/>
      <c r="AG22" s="126"/>
      <c r="AH22" s="126"/>
      <c r="AI22" s="126"/>
      <c r="AJ22" s="127"/>
      <c r="AK22" s="126"/>
      <c r="AL22" s="126"/>
      <c r="AM22" s="126"/>
      <c r="AN22" s="126"/>
    </row>
    <row r="23" spans="2:40" x14ac:dyDescent="0.2">
      <c r="B23" s="3" t="s">
        <v>2088</v>
      </c>
      <c r="C23" s="110">
        <v>5</v>
      </c>
      <c r="D23" s="202"/>
      <c r="E23" s="60"/>
      <c r="F23" s="60"/>
      <c r="G23" s="60"/>
      <c r="H23" s="60"/>
      <c r="I23" s="3"/>
      <c r="J23" s="110"/>
      <c r="K23" s="11"/>
      <c r="L23" s="75"/>
      <c r="M23" s="75"/>
      <c r="N23" s="75"/>
      <c r="O23" s="3"/>
      <c r="P23" s="60"/>
      <c r="Q23" s="60"/>
      <c r="R23" s="60"/>
      <c r="S23" s="60"/>
      <c r="T23" s="60"/>
      <c r="U23" s="60"/>
      <c r="V23" s="60"/>
      <c r="W23" s="60"/>
      <c r="X23" s="60"/>
      <c r="AF23" s="127"/>
      <c r="AJ23" s="127"/>
    </row>
    <row r="24" spans="2:40" x14ac:dyDescent="0.2">
      <c r="B24" s="3" t="s">
        <v>2086</v>
      </c>
      <c r="C24" s="110">
        <v>3</v>
      </c>
      <c r="D24" s="4"/>
      <c r="E24" s="60"/>
      <c r="F24" s="60"/>
      <c r="G24" s="3"/>
      <c r="H24" s="61"/>
      <c r="I24" s="3"/>
      <c r="J24" s="110"/>
      <c r="K24" s="58"/>
      <c r="L24" s="75"/>
      <c r="M24" s="75"/>
      <c r="N24" s="75"/>
      <c r="O24" s="22"/>
      <c r="P24" s="60"/>
      <c r="Q24" s="60"/>
      <c r="R24" s="60"/>
      <c r="S24" s="60"/>
      <c r="T24" s="60"/>
      <c r="U24" s="60"/>
      <c r="V24" s="60"/>
      <c r="W24" s="60"/>
      <c r="X24" s="60"/>
      <c r="AJ24" s="127"/>
    </row>
    <row r="25" spans="2:40" x14ac:dyDescent="0.2">
      <c r="B25" s="3" t="s">
        <v>2219</v>
      </c>
      <c r="C25" s="110" t="s">
        <v>2330</v>
      </c>
      <c r="D25" s="4"/>
      <c r="E25" s="60"/>
      <c r="F25" s="60"/>
      <c r="G25" s="60"/>
      <c r="H25" s="60"/>
      <c r="I25" s="3"/>
      <c r="J25" s="110"/>
      <c r="K25" s="3"/>
      <c r="L25" s="75"/>
      <c r="M25" s="75"/>
      <c r="N25" s="75"/>
      <c r="O25" s="3"/>
      <c r="P25" s="60"/>
      <c r="Q25" s="60"/>
      <c r="R25" s="60"/>
      <c r="S25" s="60"/>
      <c r="T25" s="60"/>
      <c r="U25" s="60"/>
      <c r="V25" s="60"/>
      <c r="W25" s="60"/>
      <c r="X25" s="60"/>
    </row>
    <row r="26" spans="2:40" x14ac:dyDescent="0.2">
      <c r="B26" s="24" t="s">
        <v>301</v>
      </c>
      <c r="C26" s="79">
        <v>0</v>
      </c>
      <c r="D26" s="4"/>
      <c r="E26" s="60"/>
      <c r="F26" s="60"/>
      <c r="G26" s="60"/>
      <c r="H26" s="60"/>
      <c r="I26" s="3"/>
      <c r="J26" s="110"/>
      <c r="K26" s="186"/>
      <c r="L26" s="75"/>
      <c r="M26" s="75"/>
      <c r="N26" s="75"/>
      <c r="O26" s="3"/>
      <c r="P26" s="60"/>
      <c r="Q26" s="60"/>
      <c r="R26" s="60"/>
      <c r="S26" s="60"/>
      <c r="T26" s="60"/>
      <c r="U26" s="60"/>
      <c r="V26" s="60"/>
      <c r="W26" s="60"/>
      <c r="X26" s="60"/>
    </row>
    <row r="27" spans="2:40" x14ac:dyDescent="0.2">
      <c r="B27" s="3" t="s">
        <v>303</v>
      </c>
      <c r="C27" s="79">
        <v>0</v>
      </c>
      <c r="D27" s="4"/>
      <c r="E27" s="60"/>
      <c r="F27" s="60"/>
      <c r="G27" s="60"/>
      <c r="H27" s="60"/>
      <c r="I27" s="24"/>
      <c r="J27" s="79"/>
      <c r="K27" s="60"/>
      <c r="O27" s="22"/>
      <c r="P27" s="60"/>
      <c r="Q27" s="60"/>
      <c r="R27" s="60"/>
      <c r="S27" s="60"/>
      <c r="T27" s="60"/>
      <c r="U27" s="60"/>
      <c r="V27" s="60"/>
      <c r="W27" s="60"/>
      <c r="X27" s="60"/>
    </row>
    <row r="28" spans="2:40" x14ac:dyDescent="0.2">
      <c r="J28" s="3"/>
    </row>
    <row r="29" spans="2:40" x14ac:dyDescent="0.2">
      <c r="B29" s="152" t="s">
        <v>2084</v>
      </c>
      <c r="J29" s="3"/>
    </row>
    <row r="30" spans="2:40" x14ac:dyDescent="0.2">
      <c r="B30" s="3" t="s">
        <v>304</v>
      </c>
      <c r="C30" s="41">
        <f>15/65</f>
        <v>0.23076923076923078</v>
      </c>
      <c r="D30" s="3" t="s">
        <v>942</v>
      </c>
      <c r="E30" s="3"/>
      <c r="J30" s="22"/>
    </row>
    <row r="31" spans="2:40" x14ac:dyDescent="0.2">
      <c r="B31" s="3" t="s">
        <v>306</v>
      </c>
      <c r="C31" s="113">
        <v>104.4</v>
      </c>
      <c r="D31" s="3" t="s">
        <v>2233</v>
      </c>
      <c r="E31" s="3"/>
      <c r="J31" s="1"/>
    </row>
    <row r="32" spans="2:40" x14ac:dyDescent="0.2">
      <c r="B32" s="3" t="s">
        <v>307</v>
      </c>
      <c r="C32" s="113">
        <v>113</v>
      </c>
      <c r="D32" s="3" t="s">
        <v>2244</v>
      </c>
      <c r="E32" s="3"/>
    </row>
    <row r="33" spans="2:9" x14ac:dyDescent="0.2">
      <c r="B33" s="3" t="s">
        <v>308</v>
      </c>
      <c r="C33" s="113">
        <f>C31-C32</f>
        <v>-8.5999999999999943</v>
      </c>
      <c r="D33" s="3" t="s">
        <v>2233</v>
      </c>
      <c r="E33" s="3"/>
    </row>
    <row r="34" spans="2:9" x14ac:dyDescent="0.2">
      <c r="B34" s="3" t="s">
        <v>309</v>
      </c>
      <c r="C34" s="36">
        <v>101.04</v>
      </c>
      <c r="D34" s="3" t="s">
        <v>2232</v>
      </c>
      <c r="E34" s="3"/>
    </row>
    <row r="35" spans="2:9" x14ac:dyDescent="0.2">
      <c r="B35" s="3"/>
      <c r="C35" s="3"/>
      <c r="D35" s="3"/>
      <c r="E35" s="3"/>
      <c r="G35" s="10"/>
      <c r="H35" s="8"/>
    </row>
    <row r="36" spans="2:9" x14ac:dyDescent="0.2">
      <c r="B36" s="2" t="s">
        <v>310</v>
      </c>
      <c r="C36" s="10"/>
      <c r="D36" s="10"/>
      <c r="E36" s="10"/>
      <c r="F36" s="10"/>
      <c r="G36" s="10"/>
      <c r="H36" s="2"/>
      <c r="I36" s="2"/>
    </row>
    <row r="37" spans="2:9" x14ac:dyDescent="0.2">
      <c r="B37" s="2" t="s">
        <v>926</v>
      </c>
      <c r="C37" s="10"/>
      <c r="D37" s="10"/>
      <c r="E37" s="10"/>
      <c r="F37" s="2"/>
      <c r="G37" s="10"/>
      <c r="H37" s="2" t="s">
        <v>927</v>
      </c>
      <c r="I37" s="2"/>
    </row>
    <row r="38" spans="2:9" x14ac:dyDescent="0.2">
      <c r="B38" s="2" t="s">
        <v>928</v>
      </c>
      <c r="C38" s="10"/>
      <c r="D38" s="10"/>
      <c r="E38" s="10"/>
      <c r="F38" s="2"/>
      <c r="G38" s="10"/>
      <c r="H38" s="2" t="s">
        <v>927</v>
      </c>
      <c r="I38" s="2"/>
    </row>
    <row r="39" spans="2:9" x14ac:dyDescent="0.2">
      <c r="B39" s="2" t="s">
        <v>929</v>
      </c>
      <c r="C39" s="10"/>
      <c r="D39" s="10"/>
      <c r="E39" s="10"/>
      <c r="F39" s="2"/>
      <c r="G39" s="10"/>
      <c r="H39" s="2" t="s">
        <v>925</v>
      </c>
      <c r="I39" s="2"/>
    </row>
    <row r="40" spans="2:9" x14ac:dyDescent="0.2">
      <c r="B40" s="2" t="s">
        <v>930</v>
      </c>
      <c r="C40" s="10"/>
      <c r="D40" s="10"/>
      <c r="E40" s="10"/>
      <c r="F40" s="2"/>
      <c r="G40" s="10"/>
      <c r="H40" s="2" t="s">
        <v>925</v>
      </c>
      <c r="I40" s="10"/>
    </row>
    <row r="41" spans="2:9" x14ac:dyDescent="0.2">
      <c r="B41" s="10"/>
      <c r="C41" s="10"/>
      <c r="D41" s="10"/>
      <c r="E41" s="10"/>
      <c r="F41" s="10"/>
      <c r="G41" s="10"/>
      <c r="H41" s="10"/>
      <c r="I41" s="10"/>
    </row>
    <row r="42" spans="2:9" x14ac:dyDescent="0.2">
      <c r="B42" s="2" t="s">
        <v>318</v>
      </c>
      <c r="C42" s="10"/>
      <c r="D42" s="10"/>
      <c r="E42" s="10"/>
      <c r="F42" s="10"/>
      <c r="G42" s="10"/>
      <c r="H42" s="10"/>
      <c r="I42" s="2"/>
    </row>
    <row r="43" spans="2:9" x14ac:dyDescent="0.2">
      <c r="B43" s="2" t="s">
        <v>931</v>
      </c>
      <c r="C43" s="10"/>
      <c r="D43" s="10"/>
      <c r="E43" s="10"/>
      <c r="F43" s="2"/>
      <c r="G43" s="10"/>
      <c r="H43" s="2" t="s">
        <v>932</v>
      </c>
      <c r="I43" s="2"/>
    </row>
    <row r="44" spans="2:9" x14ac:dyDescent="0.2">
      <c r="B44" s="2" t="s">
        <v>933</v>
      </c>
      <c r="C44" s="10"/>
      <c r="D44" s="10"/>
      <c r="E44" s="10"/>
      <c r="F44" s="2"/>
      <c r="G44" s="10"/>
      <c r="H44" s="2" t="s">
        <v>932</v>
      </c>
      <c r="I44" s="2"/>
    </row>
    <row r="45" spans="2:9" x14ac:dyDescent="0.2">
      <c r="B45" s="2" t="s">
        <v>934</v>
      </c>
      <c r="C45" s="10"/>
      <c r="D45" s="10"/>
      <c r="E45" s="10"/>
      <c r="F45" s="2"/>
      <c r="G45" s="10"/>
      <c r="H45" s="2" t="s">
        <v>935</v>
      </c>
      <c r="I45" s="2"/>
    </row>
    <row r="46" spans="2:9" x14ac:dyDescent="0.2">
      <c r="B46" s="2" t="s">
        <v>936</v>
      </c>
      <c r="C46" s="10"/>
      <c r="D46" s="10"/>
      <c r="E46" s="10"/>
      <c r="F46" s="2"/>
      <c r="G46" s="10"/>
      <c r="H46" s="2" t="s">
        <v>937</v>
      </c>
      <c r="I46" s="2"/>
    </row>
    <row r="47" spans="2:9" x14ac:dyDescent="0.2">
      <c r="B47" s="2" t="s">
        <v>938</v>
      </c>
      <c r="C47" s="10"/>
      <c r="D47" s="10"/>
      <c r="E47" s="10"/>
      <c r="F47" s="2"/>
      <c r="G47" s="10"/>
      <c r="H47" s="2" t="s">
        <v>939</v>
      </c>
      <c r="I47" s="2"/>
    </row>
    <row r="48" spans="2:9" x14ac:dyDescent="0.2">
      <c r="B48" s="2" t="s">
        <v>940</v>
      </c>
      <c r="C48" s="10"/>
      <c r="D48" s="10"/>
      <c r="E48" s="10"/>
      <c r="F48" s="2"/>
      <c r="H48" s="2" t="s">
        <v>941</v>
      </c>
    </row>
    <row r="49" spans="2:9" x14ac:dyDescent="0.2">
      <c r="B49" s="2"/>
      <c r="C49" s="10"/>
      <c r="D49" s="10"/>
      <c r="E49" s="10"/>
      <c r="F49" s="2"/>
      <c r="H49" s="2"/>
    </row>
    <row r="50" spans="2:9" x14ac:dyDescent="0.2">
      <c r="B50" s="205" t="s">
        <v>2228</v>
      </c>
      <c r="C50" s="3"/>
      <c r="D50" s="3"/>
      <c r="E50" s="3"/>
    </row>
    <row r="51" spans="2:9" x14ac:dyDescent="0.2">
      <c r="B51" s="39" t="s">
        <v>322</v>
      </c>
      <c r="C51" s="3">
        <v>15</v>
      </c>
      <c r="D51" s="3">
        <v>50</v>
      </c>
      <c r="E51" s="3" t="s">
        <v>942</v>
      </c>
      <c r="G51" t="s">
        <v>924</v>
      </c>
      <c r="I51" s="144" t="s">
        <v>324</v>
      </c>
    </row>
    <row r="52" spans="2:9" x14ac:dyDescent="0.2">
      <c r="B52" s="39" t="s">
        <v>325</v>
      </c>
      <c r="C52" s="3">
        <v>57</v>
      </c>
      <c r="D52" s="3">
        <v>25</v>
      </c>
      <c r="E52" s="3" t="s">
        <v>943</v>
      </c>
      <c r="G52" t="s">
        <v>924</v>
      </c>
      <c r="I52" t="s">
        <v>944</v>
      </c>
    </row>
    <row r="53" spans="2:9" x14ac:dyDescent="0.2">
      <c r="B53" s="39" t="s">
        <v>327</v>
      </c>
      <c r="C53" s="3">
        <v>58</v>
      </c>
      <c r="D53" s="3">
        <v>24</v>
      </c>
      <c r="E53" s="41" t="s">
        <v>817</v>
      </c>
      <c r="G53" t="s">
        <v>924</v>
      </c>
      <c r="I53" t="s">
        <v>945</v>
      </c>
    </row>
    <row r="54" spans="2:9" x14ac:dyDescent="0.2">
      <c r="B54" s="39" t="s">
        <v>330</v>
      </c>
      <c r="C54" s="3">
        <v>67</v>
      </c>
      <c r="D54" s="3">
        <v>15</v>
      </c>
      <c r="E54" s="41" t="s">
        <v>943</v>
      </c>
      <c r="G54" t="s">
        <v>924</v>
      </c>
      <c r="I54" t="s">
        <v>946</v>
      </c>
    </row>
    <row r="55" spans="2:9" x14ac:dyDescent="0.2">
      <c r="B55" s="39" t="s">
        <v>333</v>
      </c>
      <c r="C55" s="3">
        <v>73</v>
      </c>
      <c r="D55" s="3">
        <v>9</v>
      </c>
      <c r="E55" s="3" t="s">
        <v>943</v>
      </c>
      <c r="G55" t="s">
        <v>924</v>
      </c>
      <c r="I55" t="s">
        <v>947</v>
      </c>
    </row>
    <row r="56" spans="2:9" x14ac:dyDescent="0.2">
      <c r="B56" s="37" t="s">
        <v>336</v>
      </c>
      <c r="C56" s="3">
        <v>67</v>
      </c>
      <c r="D56" s="3">
        <v>15</v>
      </c>
      <c r="E56" s="3" t="s">
        <v>943</v>
      </c>
      <c r="G56" t="s">
        <v>924</v>
      </c>
      <c r="I56" t="s">
        <v>948</v>
      </c>
    </row>
    <row r="57" spans="2:9" x14ac:dyDescent="0.2">
      <c r="B57" s="37" t="s">
        <v>339</v>
      </c>
      <c r="C57" s="3">
        <v>51</v>
      </c>
      <c r="D57" s="3">
        <v>31</v>
      </c>
      <c r="E57" s="3" t="s">
        <v>760</v>
      </c>
      <c r="G57" t="s">
        <v>949</v>
      </c>
      <c r="I57" t="s">
        <v>950</v>
      </c>
    </row>
    <row r="58" spans="2:9" x14ac:dyDescent="0.2">
      <c r="B58" s="37" t="s">
        <v>342</v>
      </c>
      <c r="C58" s="3">
        <v>47</v>
      </c>
      <c r="D58" s="3">
        <v>35</v>
      </c>
      <c r="E58" s="3" t="s">
        <v>760</v>
      </c>
      <c r="G58" t="s">
        <v>949</v>
      </c>
      <c r="I58" t="s">
        <v>951</v>
      </c>
    </row>
    <row r="59" spans="2:9" x14ac:dyDescent="0.2">
      <c r="B59" s="37" t="s">
        <v>346</v>
      </c>
      <c r="C59" s="3">
        <v>23</v>
      </c>
      <c r="D59" s="3">
        <v>43</v>
      </c>
      <c r="E59" s="3" t="s">
        <v>758</v>
      </c>
      <c r="G59" t="s">
        <v>949</v>
      </c>
      <c r="I59" s="144" t="s">
        <v>324</v>
      </c>
    </row>
    <row r="60" spans="2:9" x14ac:dyDescent="0.2">
      <c r="B60" s="37" t="s">
        <v>348</v>
      </c>
      <c r="C60" s="3">
        <v>36</v>
      </c>
      <c r="D60" s="3">
        <v>46</v>
      </c>
      <c r="E60" s="3" t="s">
        <v>820</v>
      </c>
      <c r="G60" t="s">
        <v>952</v>
      </c>
      <c r="I60" s="144" t="s">
        <v>324</v>
      </c>
    </row>
    <row r="61" spans="2:9" x14ac:dyDescent="0.2">
      <c r="B61" t="s">
        <v>350</v>
      </c>
      <c r="C61" s="60">
        <f>SUM(C51:C60)</f>
        <v>494</v>
      </c>
      <c r="D61" s="60">
        <f>SUM(D51:D60)</f>
        <v>293</v>
      </c>
      <c r="E61" s="65">
        <f>C61/(C61+D61)</f>
        <v>0.62770012706480305</v>
      </c>
    </row>
    <row r="62" spans="2:9" x14ac:dyDescent="0.2">
      <c r="C62" s="60">
        <f>SUM(C51:C56)</f>
        <v>337</v>
      </c>
      <c r="D62" s="60">
        <f>SUM(D51:D56)</f>
        <v>138</v>
      </c>
      <c r="E62" s="65">
        <f>C62/(C62+D62)</f>
        <v>0.70947368421052637</v>
      </c>
      <c r="G62" t="s">
        <v>953</v>
      </c>
    </row>
    <row r="63" spans="2:9" x14ac:dyDescent="0.2">
      <c r="C63" s="60">
        <f>SUM(C57:C60)</f>
        <v>157</v>
      </c>
      <c r="D63" s="60">
        <f>SUM(D57:D60)</f>
        <v>155</v>
      </c>
      <c r="E63" s="65">
        <f>C63/(C63+D63)</f>
        <v>0.50320512820512819</v>
      </c>
      <c r="G63" t="s">
        <v>954</v>
      </c>
    </row>
  </sheetData>
  <pageMargins left="0.7" right="0.7" top="0.75" bottom="0.75" header="0.3" footer="0.3"/>
  <ignoredErrors>
    <ignoredError sqref="C62:D63" formulaRange="1"/>
  </ignoredErrors>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C0D07-CA92-6C43-AF34-39EF7F84BD2D}">
  <dimension ref="A1:AR64"/>
  <sheetViews>
    <sheetView zoomScaleNormal="100" workbookViewId="0">
      <selection sqref="A1:AR1"/>
    </sheetView>
  </sheetViews>
  <sheetFormatPr baseColWidth="10" defaultColWidth="11" defaultRowHeight="16" x14ac:dyDescent="0.2"/>
  <cols>
    <col min="1" max="1" width="3.5" customWidth="1"/>
    <col min="2" max="2" width="22.33203125" customWidth="1"/>
    <col min="3" max="3" width="10.33203125" customWidth="1"/>
    <col min="4" max="4" width="7.5" customWidth="1"/>
    <col min="5" max="5" width="10.6640625" customWidth="1"/>
    <col min="6" max="6" width="7.6640625" customWidth="1"/>
    <col min="7" max="7" width="9.33203125" customWidth="1"/>
    <col min="8" max="8" width="5.83203125" customWidth="1"/>
    <col min="9" max="9" width="25" customWidth="1"/>
    <col min="10" max="10" width="10.83203125" customWidth="1"/>
    <col min="11" max="11" width="11" customWidth="1"/>
    <col min="12" max="12" width="4.83203125" customWidth="1"/>
    <col min="13" max="13" width="26.1640625" customWidth="1"/>
    <col min="14" max="14" width="14.6640625" customWidth="1"/>
    <col min="15" max="15" width="47" customWidth="1"/>
    <col min="16" max="16" width="14.33203125" customWidth="1"/>
    <col min="17" max="17" width="12.5" customWidth="1"/>
    <col min="18" max="18" width="13.33203125" customWidth="1"/>
    <col min="19" max="19" width="13" customWidth="1"/>
    <col min="20" max="20" width="12.33203125" customWidth="1"/>
    <col min="22" max="22" width="39.5" customWidth="1"/>
    <col min="23" max="23" width="27.1640625" customWidth="1"/>
    <col min="25" max="25" width="3.83203125" customWidth="1"/>
    <col min="26" max="26" width="7.83203125" customWidth="1"/>
    <col min="27" max="27" width="5.6640625" customWidth="1"/>
    <col min="28" max="28" width="5.83203125" customWidth="1"/>
    <col min="29" max="29" width="7.33203125" customWidth="1"/>
    <col min="30" max="30" width="5.1640625" customWidth="1"/>
    <col min="31" max="31" width="4.6640625" customWidth="1"/>
    <col min="32" max="32" width="6.33203125" customWidth="1"/>
    <col min="33" max="33" width="7.6640625" customWidth="1"/>
    <col min="34" max="34" width="5.6640625" customWidth="1"/>
    <col min="35" max="35" width="5.1640625" customWidth="1"/>
    <col min="36" max="36" width="6.83203125" customWidth="1"/>
    <col min="37" max="37" width="6.5" customWidth="1"/>
    <col min="38" max="38" width="6.1640625" customWidth="1"/>
    <col min="39" max="39" width="6" customWidth="1"/>
    <col min="40" max="40" width="5.1640625" customWidth="1"/>
  </cols>
  <sheetData>
    <row r="1" spans="1:44" x14ac:dyDescent="0.2">
      <c r="A1" s="223" t="s">
        <v>2394</v>
      </c>
      <c r="B1" s="223" t="s">
        <v>2395</v>
      </c>
      <c r="C1" s="223" t="s">
        <v>2396</v>
      </c>
      <c r="D1" s="223" t="s">
        <v>2397</v>
      </c>
      <c r="E1" s="223" t="s">
        <v>2398</v>
      </c>
      <c r="F1" s="223" t="s">
        <v>2399</v>
      </c>
      <c r="G1" s="223" t="s">
        <v>2400</v>
      </c>
      <c r="H1" s="223" t="s">
        <v>2401</v>
      </c>
      <c r="I1" s="223" t="s">
        <v>2402</v>
      </c>
      <c r="J1" s="223" t="s">
        <v>2403</v>
      </c>
      <c r="K1" s="223" t="s">
        <v>2404</v>
      </c>
      <c r="L1" s="223" t="s">
        <v>2405</v>
      </c>
      <c r="M1" s="223" t="s">
        <v>2406</v>
      </c>
      <c r="N1" s="223" t="s">
        <v>2407</v>
      </c>
      <c r="O1" s="223" t="s">
        <v>2408</v>
      </c>
      <c r="P1" s="223" t="s">
        <v>2409</v>
      </c>
      <c r="Q1" s="223" t="s">
        <v>2410</v>
      </c>
      <c r="R1" s="223" t="s">
        <v>2411</v>
      </c>
      <c r="S1" s="223" t="s">
        <v>2412</v>
      </c>
      <c r="T1" s="223" t="s">
        <v>2413</v>
      </c>
      <c r="U1" s="223" t="s">
        <v>2414</v>
      </c>
      <c r="V1" s="223" t="s">
        <v>2415</v>
      </c>
      <c r="W1" s="223" t="s">
        <v>2416</v>
      </c>
      <c r="X1" s="223" t="s">
        <v>2433</v>
      </c>
      <c r="Y1" s="223" t="s">
        <v>2417</v>
      </c>
      <c r="Z1" s="223" t="s">
        <v>2418</v>
      </c>
      <c r="AA1" s="223" t="s">
        <v>2419</v>
      </c>
      <c r="AB1" s="223" t="s">
        <v>2420</v>
      </c>
      <c r="AC1" s="223" t="s">
        <v>2421</v>
      </c>
      <c r="AD1" s="223" t="s">
        <v>2422</v>
      </c>
      <c r="AE1" s="223" t="s">
        <v>2423</v>
      </c>
      <c r="AF1" s="223" t="s">
        <v>2424</v>
      </c>
      <c r="AG1" s="223" t="s">
        <v>2425</v>
      </c>
      <c r="AH1" s="223" t="s">
        <v>2426</v>
      </c>
      <c r="AI1" s="223" t="s">
        <v>2427</v>
      </c>
      <c r="AJ1" s="223" t="s">
        <v>2428</v>
      </c>
      <c r="AK1" s="223" t="s">
        <v>2429</v>
      </c>
      <c r="AL1" s="223" t="s">
        <v>2430</v>
      </c>
      <c r="AM1" s="223" t="s">
        <v>2431</v>
      </c>
      <c r="AN1" s="223" t="s">
        <v>2432</v>
      </c>
      <c r="AO1" s="224"/>
      <c r="AP1" s="225"/>
      <c r="AQ1" s="6"/>
      <c r="AR1" s="6"/>
    </row>
    <row r="2" spans="1:44" x14ac:dyDescent="0.2">
      <c r="A2" s="3">
        <v>0</v>
      </c>
      <c r="B2" s="3" t="s">
        <v>955</v>
      </c>
      <c r="C2" s="3" t="s">
        <v>250</v>
      </c>
      <c r="D2" s="108">
        <v>63</v>
      </c>
      <c r="E2" s="108">
        <v>68</v>
      </c>
      <c r="F2" s="109">
        <v>200</v>
      </c>
      <c r="G2" s="4">
        <v>32459</v>
      </c>
      <c r="H2" s="113">
        <f t="shared" ref="H2:H11" ca="1" si="0">ROUNDDOWN(YEARFRAC($G$23,G2),1)</f>
        <v>31.9</v>
      </c>
      <c r="I2" s="3" t="s">
        <v>564</v>
      </c>
      <c r="J2" s="3">
        <v>13</v>
      </c>
      <c r="K2" s="112">
        <v>2008</v>
      </c>
      <c r="L2" s="112">
        <v>4</v>
      </c>
      <c r="M2" s="3" t="s">
        <v>956</v>
      </c>
      <c r="N2" s="3" t="s">
        <v>779</v>
      </c>
      <c r="O2" s="3" t="s">
        <v>2262</v>
      </c>
      <c r="P2" s="11">
        <v>41358814</v>
      </c>
      <c r="Q2" s="11">
        <v>44211146</v>
      </c>
      <c r="R2" s="48">
        <v>47063478</v>
      </c>
      <c r="S2" s="14">
        <v>49416652</v>
      </c>
      <c r="T2" s="3"/>
      <c r="V2" t="s">
        <v>957</v>
      </c>
      <c r="W2" s="135" t="s">
        <v>291</v>
      </c>
      <c r="X2" s="69">
        <v>1</v>
      </c>
      <c r="Y2" s="69">
        <v>53</v>
      </c>
      <c r="Z2" s="65">
        <f>34/54</f>
        <v>0.62962962962962965</v>
      </c>
      <c r="AA2" s="122">
        <v>110.3</v>
      </c>
      <c r="AB2" s="122">
        <v>106.7</v>
      </c>
      <c r="AC2" s="122">
        <f t="shared" ref="AC2:AC11" si="1">AA2-AB2</f>
        <v>3.5999999999999943</v>
      </c>
      <c r="AD2" s="122">
        <v>35.9</v>
      </c>
      <c r="AE2" s="122">
        <v>21.5</v>
      </c>
      <c r="AF2" s="65">
        <v>0.53900000000000003</v>
      </c>
      <c r="AG2" s="122">
        <v>34.4</v>
      </c>
      <c r="AH2" s="122">
        <v>2.1</v>
      </c>
      <c r="AI2" s="122">
        <v>2.2999999999999998</v>
      </c>
      <c r="AJ2" s="65">
        <v>0.109</v>
      </c>
      <c r="AK2" s="122">
        <v>1.9</v>
      </c>
      <c r="AL2" s="122">
        <v>-0.1</v>
      </c>
      <c r="AM2" s="122">
        <v>1.8</v>
      </c>
      <c r="AN2" s="122">
        <v>14.8</v>
      </c>
    </row>
    <row r="3" spans="1:44" x14ac:dyDescent="0.2">
      <c r="A3" s="3">
        <v>13</v>
      </c>
      <c r="B3" s="3" t="s">
        <v>958</v>
      </c>
      <c r="C3" s="3" t="s">
        <v>232</v>
      </c>
      <c r="D3" s="108">
        <v>65</v>
      </c>
      <c r="E3" s="108">
        <v>611</v>
      </c>
      <c r="F3" s="109">
        <v>220</v>
      </c>
      <c r="G3" s="4">
        <v>32746</v>
      </c>
      <c r="H3" s="113">
        <f t="shared" ca="1" si="0"/>
        <v>31.1</v>
      </c>
      <c r="I3" s="3" t="s">
        <v>959</v>
      </c>
      <c r="J3" s="3">
        <v>12</v>
      </c>
      <c r="K3" s="112">
        <v>2009</v>
      </c>
      <c r="L3" s="112">
        <v>3</v>
      </c>
      <c r="M3" s="3" t="s">
        <v>960</v>
      </c>
      <c r="N3" s="3" t="s">
        <v>1</v>
      </c>
      <c r="O3" s="3" t="s">
        <v>2151</v>
      </c>
      <c r="P3" s="11">
        <v>41254920</v>
      </c>
      <c r="Q3" s="11">
        <v>44310840</v>
      </c>
      <c r="R3" s="48">
        <v>47366760</v>
      </c>
      <c r="S3" s="14">
        <v>49735098</v>
      </c>
      <c r="T3" s="3"/>
      <c r="V3" t="s">
        <v>355</v>
      </c>
      <c r="W3" t="s">
        <v>961</v>
      </c>
      <c r="X3" s="69">
        <v>3</v>
      </c>
      <c r="Y3" s="69">
        <v>61</v>
      </c>
      <c r="Z3" s="65">
        <f>39/61</f>
        <v>0.63934426229508201</v>
      </c>
      <c r="AA3" s="122">
        <v>113.8</v>
      </c>
      <c r="AB3" s="122">
        <v>108.2</v>
      </c>
      <c r="AC3" s="122">
        <f t="shared" si="1"/>
        <v>5.5999999999999943</v>
      </c>
      <c r="AD3" s="122">
        <v>36.700000000000003</v>
      </c>
      <c r="AE3" s="122">
        <v>28.4</v>
      </c>
      <c r="AF3" s="65">
        <v>0.61599999999999999</v>
      </c>
      <c r="AG3" s="122">
        <v>36.4</v>
      </c>
      <c r="AH3" s="122">
        <v>8.6999999999999993</v>
      </c>
      <c r="AI3" s="122">
        <v>2.7</v>
      </c>
      <c r="AJ3" s="65">
        <v>0.245</v>
      </c>
      <c r="AK3" s="122">
        <v>7.9</v>
      </c>
      <c r="AL3" s="122">
        <v>1.2</v>
      </c>
      <c r="AM3" s="122">
        <v>6.3</v>
      </c>
      <c r="AN3" s="122">
        <v>18.3</v>
      </c>
    </row>
    <row r="4" spans="1:44" x14ac:dyDescent="0.2">
      <c r="A4" s="3">
        <v>10</v>
      </c>
      <c r="B4" s="3" t="s">
        <v>204</v>
      </c>
      <c r="C4" s="3" t="s">
        <v>255</v>
      </c>
      <c r="D4" s="108">
        <v>63</v>
      </c>
      <c r="E4" s="108">
        <v>69</v>
      </c>
      <c r="F4" s="109">
        <v>215</v>
      </c>
      <c r="G4" s="4">
        <v>32502</v>
      </c>
      <c r="H4" s="113">
        <f t="shared" ca="1" si="0"/>
        <v>31.8</v>
      </c>
      <c r="I4" s="3" t="s">
        <v>374</v>
      </c>
      <c r="J4" s="3">
        <v>13</v>
      </c>
      <c r="K4" s="112">
        <v>2008</v>
      </c>
      <c r="L4" s="112">
        <v>7</v>
      </c>
      <c r="M4" s="3" t="s">
        <v>962</v>
      </c>
      <c r="N4" s="3" t="s">
        <v>1</v>
      </c>
      <c r="O4" s="3" t="s">
        <v>2263</v>
      </c>
      <c r="P4" s="11">
        <v>16869276</v>
      </c>
      <c r="Q4" s="11">
        <v>18218818</v>
      </c>
      <c r="R4" s="11">
        <v>19568360</v>
      </c>
      <c r="S4" s="15">
        <v>20917902</v>
      </c>
      <c r="T4" s="14">
        <f>S4*1.5</f>
        <v>31376853</v>
      </c>
      <c r="W4" t="s">
        <v>963</v>
      </c>
      <c r="X4" s="69">
        <v>2</v>
      </c>
      <c r="Y4" s="69">
        <v>34</v>
      </c>
      <c r="Z4" s="65">
        <f>21/34</f>
        <v>0.61764705882352944</v>
      </c>
      <c r="AA4" s="122">
        <v>111.7</v>
      </c>
      <c r="AB4" s="122">
        <v>110.3</v>
      </c>
      <c r="AC4" s="122">
        <f t="shared" si="1"/>
        <v>1.4000000000000057</v>
      </c>
      <c r="AD4" s="122">
        <v>28.6</v>
      </c>
      <c r="AE4" s="122">
        <v>10.5</v>
      </c>
      <c r="AF4" s="65">
        <v>0.51100000000000001</v>
      </c>
      <c r="AG4" s="122">
        <v>22.1</v>
      </c>
      <c r="AH4" s="122">
        <v>0.2</v>
      </c>
      <c r="AI4" s="122">
        <v>0.5</v>
      </c>
      <c r="AJ4" s="65">
        <v>3.6999999999999998E-2</v>
      </c>
      <c r="AK4" s="122">
        <v>-1.6</v>
      </c>
      <c r="AL4" s="122">
        <v>-2</v>
      </c>
      <c r="AM4" s="122">
        <v>-0.4</v>
      </c>
      <c r="AN4" s="122">
        <v>5.6</v>
      </c>
    </row>
    <row r="5" spans="1:44" x14ac:dyDescent="0.2">
      <c r="A5" s="3">
        <v>33</v>
      </c>
      <c r="B5" s="3" t="s">
        <v>964</v>
      </c>
      <c r="C5" s="3" t="s">
        <v>236</v>
      </c>
      <c r="D5" s="108">
        <v>67</v>
      </c>
      <c r="E5" s="108">
        <v>72</v>
      </c>
      <c r="F5" s="109">
        <v>209</v>
      </c>
      <c r="G5" s="4">
        <v>33221</v>
      </c>
      <c r="H5" s="113">
        <f t="shared" ca="1" si="0"/>
        <v>29.8</v>
      </c>
      <c r="I5" s="3" t="s">
        <v>965</v>
      </c>
      <c r="J5" s="3">
        <v>8</v>
      </c>
      <c r="K5" s="112">
        <v>2013</v>
      </c>
      <c r="L5" s="112"/>
      <c r="M5" s="3" t="s">
        <v>792</v>
      </c>
      <c r="N5" s="3" t="s">
        <v>966</v>
      </c>
      <c r="O5" s="3" t="s">
        <v>2264</v>
      </c>
      <c r="P5" s="11">
        <v>12138345</v>
      </c>
      <c r="Q5" s="11">
        <v>12975471</v>
      </c>
      <c r="R5" s="14">
        <f>Q5*1.5</f>
        <v>19463206.5</v>
      </c>
      <c r="S5" s="3"/>
      <c r="T5" s="3"/>
      <c r="W5" t="s">
        <v>967</v>
      </c>
      <c r="X5" s="69">
        <v>5</v>
      </c>
      <c r="Y5" s="69">
        <v>14</v>
      </c>
      <c r="Z5" s="65">
        <f>8/14</f>
        <v>0.5714285714285714</v>
      </c>
      <c r="AA5" s="122">
        <v>111.6</v>
      </c>
      <c r="AB5" s="122">
        <v>107.6</v>
      </c>
      <c r="AC5" s="122">
        <f t="shared" si="1"/>
        <v>4</v>
      </c>
      <c r="AD5" s="122">
        <v>32.6</v>
      </c>
      <c r="AE5" s="122">
        <v>14.1</v>
      </c>
      <c r="AF5" s="65">
        <v>0.56599999999999995</v>
      </c>
      <c r="AG5" s="122">
        <v>16.100000000000001</v>
      </c>
      <c r="AH5" s="122">
        <v>0.3</v>
      </c>
      <c r="AI5" s="122">
        <v>0.7</v>
      </c>
      <c r="AJ5" s="65">
        <v>0.108</v>
      </c>
      <c r="AK5" s="122">
        <v>-0.3</v>
      </c>
      <c r="AL5" s="122">
        <v>0.8</v>
      </c>
      <c r="AM5" s="122">
        <v>0.3</v>
      </c>
      <c r="AN5" s="122">
        <v>9.4</v>
      </c>
    </row>
    <row r="6" spans="1:44" x14ac:dyDescent="0.2">
      <c r="A6" s="3">
        <v>17</v>
      </c>
      <c r="B6" s="3" t="s">
        <v>968</v>
      </c>
      <c r="C6" s="3" t="s">
        <v>236</v>
      </c>
      <c r="D6" s="108">
        <v>65</v>
      </c>
      <c r="E6" s="108">
        <v>70</v>
      </c>
      <c r="F6" s="109">
        <v>245</v>
      </c>
      <c r="G6" s="4">
        <v>31172</v>
      </c>
      <c r="H6" s="113">
        <f t="shared" ca="1" si="0"/>
        <v>35.4</v>
      </c>
      <c r="I6" s="3" t="s">
        <v>424</v>
      </c>
      <c r="J6" s="3">
        <v>10</v>
      </c>
      <c r="K6" s="112">
        <v>2006</v>
      </c>
      <c r="L6" s="112">
        <v>35</v>
      </c>
      <c r="M6" s="3" t="s">
        <v>841</v>
      </c>
      <c r="N6" s="3" t="s">
        <v>521</v>
      </c>
      <c r="O6" s="3" t="s">
        <v>2265</v>
      </c>
      <c r="P6" s="11">
        <v>7969537</v>
      </c>
      <c r="Q6" s="14">
        <f>P6*1.9</f>
        <v>15142120.299999999</v>
      </c>
      <c r="R6" s="3"/>
      <c r="S6" s="3"/>
      <c r="T6" s="3"/>
      <c r="W6" t="s">
        <v>969</v>
      </c>
      <c r="X6" s="69">
        <v>4</v>
      </c>
      <c r="Y6" s="69">
        <v>64</v>
      </c>
      <c r="Z6" s="65">
        <f>40/64</f>
        <v>0.625</v>
      </c>
      <c r="AA6" s="122">
        <v>112.2</v>
      </c>
      <c r="AB6" s="122">
        <v>109.2</v>
      </c>
      <c r="AC6" s="122">
        <f t="shared" si="1"/>
        <v>3</v>
      </c>
      <c r="AD6" s="122">
        <v>34.4</v>
      </c>
      <c r="AE6" s="122">
        <v>8.6999999999999993</v>
      </c>
      <c r="AF6" s="65">
        <v>0.57999999999999996</v>
      </c>
      <c r="AG6" s="122">
        <v>8.6</v>
      </c>
      <c r="AH6" s="122">
        <v>1.8</v>
      </c>
      <c r="AI6" s="122">
        <v>2.2000000000000002</v>
      </c>
      <c r="AJ6" s="65">
        <v>8.5999999999999993E-2</v>
      </c>
      <c r="AK6" s="122">
        <v>-2.2000000000000002</v>
      </c>
      <c r="AL6" s="122">
        <v>0.6</v>
      </c>
      <c r="AM6" s="122">
        <v>0.2</v>
      </c>
      <c r="AN6" s="122">
        <v>6</v>
      </c>
    </row>
    <row r="7" spans="1:44" x14ac:dyDescent="0.2">
      <c r="A7" s="3">
        <v>4</v>
      </c>
      <c r="B7" s="3" t="s">
        <v>970</v>
      </c>
      <c r="C7" s="3" t="s">
        <v>244</v>
      </c>
      <c r="D7" s="108">
        <v>66</v>
      </c>
      <c r="E7" s="108">
        <v>68</v>
      </c>
      <c r="F7" s="109">
        <v>220</v>
      </c>
      <c r="G7" s="4">
        <v>34127</v>
      </c>
      <c r="H7" s="113">
        <f t="shared" ca="1" si="0"/>
        <v>27.3</v>
      </c>
      <c r="I7" s="3" t="s">
        <v>386</v>
      </c>
      <c r="J7" s="3">
        <v>5</v>
      </c>
      <c r="K7" s="112">
        <v>2016</v>
      </c>
      <c r="L7" s="112"/>
      <c r="M7" s="3" t="s">
        <v>971</v>
      </c>
      <c r="N7" s="3" t="s">
        <v>796</v>
      </c>
      <c r="O7" s="3" t="s">
        <v>2266</v>
      </c>
      <c r="P7" s="11">
        <v>3717000</v>
      </c>
      <c r="Q7" s="11">
        <v>3894000</v>
      </c>
      <c r="R7" s="14">
        <f>Q7*1.9</f>
        <v>7398600</v>
      </c>
      <c r="S7" s="3"/>
      <c r="T7" s="3"/>
      <c r="W7" t="s">
        <v>972</v>
      </c>
      <c r="X7" s="69">
        <v>3</v>
      </c>
      <c r="Y7" s="69">
        <v>58</v>
      </c>
      <c r="Z7" s="65">
        <f>36/58</f>
        <v>0.62068965517241381</v>
      </c>
      <c r="AA7" s="122">
        <v>112</v>
      </c>
      <c r="AB7" s="122">
        <v>109.2</v>
      </c>
      <c r="AC7" s="122">
        <f t="shared" si="1"/>
        <v>2.7999999999999972</v>
      </c>
      <c r="AD7" s="122">
        <v>30</v>
      </c>
      <c r="AE7" s="122">
        <v>11.4</v>
      </c>
      <c r="AF7" s="65">
        <v>0.57099999999999995</v>
      </c>
      <c r="AG7" s="122">
        <v>13.5</v>
      </c>
      <c r="AH7" s="122">
        <v>1.9</v>
      </c>
      <c r="AI7" s="122">
        <v>1.6</v>
      </c>
      <c r="AJ7" s="65">
        <v>9.6000000000000002E-2</v>
      </c>
      <c r="AK7" s="122">
        <v>-0.6</v>
      </c>
      <c r="AL7" s="122">
        <v>0.1</v>
      </c>
      <c r="AM7" s="122">
        <v>0.7</v>
      </c>
      <c r="AN7" s="122">
        <v>7</v>
      </c>
    </row>
    <row r="8" spans="1:44" x14ac:dyDescent="0.2">
      <c r="A8" s="3">
        <v>25</v>
      </c>
      <c r="B8" s="3" t="s">
        <v>60</v>
      </c>
      <c r="C8" s="3" t="s">
        <v>255</v>
      </c>
      <c r="D8" s="108">
        <v>63</v>
      </c>
      <c r="E8" s="108">
        <v>67</v>
      </c>
      <c r="F8" s="109">
        <v>200</v>
      </c>
      <c r="G8" s="4">
        <v>33817</v>
      </c>
      <c r="H8" s="113">
        <f t="shared" ca="1" si="0"/>
        <v>28.2</v>
      </c>
      <c r="I8" s="3" t="s">
        <v>256</v>
      </c>
      <c r="J8" s="3">
        <v>9</v>
      </c>
      <c r="K8" s="112">
        <v>2012</v>
      </c>
      <c r="L8" s="112">
        <v>10</v>
      </c>
      <c r="M8" s="3" t="s">
        <v>973</v>
      </c>
      <c r="N8" s="3" t="s">
        <v>282</v>
      </c>
      <c r="O8" s="163" t="s">
        <v>380</v>
      </c>
      <c r="P8" s="48">
        <v>2436046</v>
      </c>
      <c r="Q8" s="14">
        <v>1856061</v>
      </c>
      <c r="R8" s="3"/>
      <c r="S8" s="3"/>
      <c r="T8" s="3"/>
      <c r="V8" t="s">
        <v>974</v>
      </c>
      <c r="W8" t="s">
        <v>975</v>
      </c>
      <c r="X8" s="69">
        <v>2</v>
      </c>
      <c r="Y8" s="69">
        <v>60</v>
      </c>
      <c r="Z8" s="65">
        <f>39/60</f>
        <v>0.65</v>
      </c>
      <c r="AA8" s="122">
        <v>114.4</v>
      </c>
      <c r="AB8" s="122">
        <v>110.3</v>
      </c>
      <c r="AC8" s="122">
        <f t="shared" si="1"/>
        <v>4.1000000000000085</v>
      </c>
      <c r="AD8" s="122">
        <v>23.4</v>
      </c>
      <c r="AE8" s="122">
        <v>10.3</v>
      </c>
      <c r="AF8" s="65">
        <v>0.53800000000000003</v>
      </c>
      <c r="AG8" s="122">
        <v>14.9</v>
      </c>
      <c r="AH8" s="122">
        <v>1.3</v>
      </c>
      <c r="AI8" s="122">
        <v>1</v>
      </c>
      <c r="AJ8" s="65">
        <v>7.6999999999999999E-2</v>
      </c>
      <c r="AK8" s="122">
        <v>-1.9</v>
      </c>
      <c r="AL8" s="122">
        <v>-0.4</v>
      </c>
      <c r="AM8" s="122">
        <v>-0.1</v>
      </c>
      <c r="AN8" s="122">
        <v>6</v>
      </c>
    </row>
    <row r="9" spans="1:44" x14ac:dyDescent="0.2">
      <c r="A9" s="3">
        <v>16</v>
      </c>
      <c r="B9" s="3" t="s">
        <v>61</v>
      </c>
      <c r="C9" s="3" t="s">
        <v>255</v>
      </c>
      <c r="D9" s="108">
        <v>63</v>
      </c>
      <c r="E9" s="108">
        <v>68</v>
      </c>
      <c r="F9" s="109">
        <v>195</v>
      </c>
      <c r="G9" s="4">
        <v>34011</v>
      </c>
      <c r="H9" s="113">
        <f t="shared" ca="1" si="0"/>
        <v>27.7</v>
      </c>
      <c r="I9" s="3" t="s">
        <v>524</v>
      </c>
      <c r="J9" s="3">
        <v>8</v>
      </c>
      <c r="K9" s="112">
        <v>2013</v>
      </c>
      <c r="L9" s="112">
        <v>7</v>
      </c>
      <c r="M9" s="3" t="s">
        <v>976</v>
      </c>
      <c r="N9" s="3" t="s">
        <v>282</v>
      </c>
      <c r="O9" s="163" t="s">
        <v>735</v>
      </c>
      <c r="P9" s="15">
        <v>2282034</v>
      </c>
      <c r="Q9" s="14">
        <v>1856061</v>
      </c>
      <c r="R9" s="3"/>
      <c r="S9" s="3"/>
      <c r="T9" s="3"/>
      <c r="W9" t="s">
        <v>977</v>
      </c>
      <c r="X9" s="69">
        <v>2</v>
      </c>
      <c r="Y9" s="69">
        <v>63</v>
      </c>
      <c r="Z9" s="65">
        <f>40/63</f>
        <v>0.63492063492063489</v>
      </c>
      <c r="AA9" s="122">
        <v>116</v>
      </c>
      <c r="AB9" s="122">
        <v>109.4</v>
      </c>
      <c r="AC9" s="122">
        <f t="shared" si="1"/>
        <v>6.5999999999999943</v>
      </c>
      <c r="AD9" s="122">
        <v>22.8</v>
      </c>
      <c r="AE9" s="122">
        <v>11.7</v>
      </c>
      <c r="AF9" s="65">
        <v>0.622</v>
      </c>
      <c r="AG9" s="122">
        <v>15.6</v>
      </c>
      <c r="AH9" s="122">
        <v>2.1</v>
      </c>
      <c r="AI9" s="122">
        <v>0.9</v>
      </c>
      <c r="AJ9" s="65">
        <v>0.1</v>
      </c>
      <c r="AK9" s="122">
        <v>0</v>
      </c>
      <c r="AL9" s="122">
        <v>-0.7</v>
      </c>
      <c r="AM9" s="122">
        <v>0.5</v>
      </c>
      <c r="AN9" s="122">
        <v>6.5</v>
      </c>
    </row>
    <row r="10" spans="1:44" x14ac:dyDescent="0.2">
      <c r="A10" s="3"/>
      <c r="B10" s="3" t="s">
        <v>2044</v>
      </c>
      <c r="C10" s="3" t="s">
        <v>232</v>
      </c>
      <c r="D10" s="108">
        <v>65</v>
      </c>
      <c r="E10" s="108">
        <v>70</v>
      </c>
      <c r="F10" s="109">
        <v>219</v>
      </c>
      <c r="G10" s="4">
        <v>33983</v>
      </c>
      <c r="H10" s="113">
        <f t="shared" ca="1" si="0"/>
        <v>27.7</v>
      </c>
      <c r="I10" s="3" t="s">
        <v>2045</v>
      </c>
      <c r="J10" s="3">
        <v>5</v>
      </c>
      <c r="K10" s="112">
        <v>2016</v>
      </c>
      <c r="L10" s="112"/>
      <c r="M10" s="3" t="s">
        <v>2046</v>
      </c>
      <c r="N10" s="3" t="s">
        <v>796</v>
      </c>
      <c r="O10" s="163" t="s">
        <v>2071</v>
      </c>
      <c r="P10" s="49">
        <v>1824003</v>
      </c>
      <c r="Q10" s="14">
        <v>1856061</v>
      </c>
      <c r="R10" s="3"/>
      <c r="S10" s="3"/>
      <c r="T10" s="3"/>
      <c r="U10" s="159"/>
      <c r="V10" s="159"/>
      <c r="W10" s="135" t="s">
        <v>2055</v>
      </c>
      <c r="X10" s="104">
        <v>3</v>
      </c>
      <c r="Y10" s="104">
        <v>20</v>
      </c>
      <c r="Z10" s="173">
        <f>8/20</f>
        <v>0.4</v>
      </c>
      <c r="AA10" s="172">
        <v>102.1</v>
      </c>
      <c r="AB10" s="172">
        <v>94.9</v>
      </c>
      <c r="AC10" s="172">
        <f t="shared" si="1"/>
        <v>7.1999999999999886</v>
      </c>
      <c r="AD10" s="172">
        <v>13.4</v>
      </c>
      <c r="AE10" s="172">
        <v>14</v>
      </c>
      <c r="AF10" s="173">
        <v>0.627</v>
      </c>
      <c r="AG10" s="172">
        <v>14.2</v>
      </c>
      <c r="AH10" s="172">
        <v>0.4</v>
      </c>
      <c r="AI10" s="172">
        <v>0.4</v>
      </c>
      <c r="AJ10" s="173">
        <v>0.14199999999999999</v>
      </c>
      <c r="AK10" s="172">
        <v>-1.1000000000000001</v>
      </c>
      <c r="AL10" s="172">
        <v>2</v>
      </c>
      <c r="AM10" s="172">
        <v>0.2</v>
      </c>
      <c r="AN10" s="172">
        <v>9.8000000000000007</v>
      </c>
    </row>
    <row r="11" spans="1:44" x14ac:dyDescent="0.2">
      <c r="A11" s="3">
        <v>3</v>
      </c>
      <c r="B11" s="3" t="s">
        <v>65</v>
      </c>
      <c r="C11" s="3" t="s">
        <v>232</v>
      </c>
      <c r="D11" s="108">
        <v>59</v>
      </c>
      <c r="E11" s="108"/>
      <c r="F11" s="109">
        <v>180</v>
      </c>
      <c r="G11" s="4">
        <v>35634</v>
      </c>
      <c r="H11" s="113">
        <f t="shared" ca="1" si="0"/>
        <v>23.2</v>
      </c>
      <c r="I11" s="3" t="s">
        <v>986</v>
      </c>
      <c r="J11" s="3">
        <v>2</v>
      </c>
      <c r="K11" s="112">
        <v>2019</v>
      </c>
      <c r="L11" s="112"/>
      <c r="M11" s="3" t="s">
        <v>987</v>
      </c>
      <c r="N11" s="3" t="s">
        <v>796</v>
      </c>
      <c r="O11" s="163" t="s">
        <v>916</v>
      </c>
      <c r="P11" s="15">
        <v>1517981</v>
      </c>
      <c r="Q11" s="49">
        <v>1782621</v>
      </c>
      <c r="R11" s="50">
        <v>2228276</v>
      </c>
      <c r="S11" s="3"/>
      <c r="T11" s="3"/>
      <c r="W11" t="s">
        <v>577</v>
      </c>
      <c r="X11" s="69">
        <v>1</v>
      </c>
      <c r="Y11" s="69">
        <v>29</v>
      </c>
      <c r="Z11" s="65">
        <f>18/29</f>
        <v>0.62068965517241381</v>
      </c>
      <c r="AA11" s="122">
        <v>101.1</v>
      </c>
      <c r="AB11" s="122">
        <v>107.9</v>
      </c>
      <c r="AC11" s="122">
        <f t="shared" si="1"/>
        <v>-6.8000000000000114</v>
      </c>
      <c r="AD11" s="122">
        <v>8.6999999999999993</v>
      </c>
      <c r="AE11" s="122">
        <v>12.6</v>
      </c>
      <c r="AF11" s="65">
        <v>0.54600000000000004</v>
      </c>
      <c r="AG11" s="122">
        <v>24</v>
      </c>
      <c r="AH11" s="122">
        <v>0.1</v>
      </c>
      <c r="AI11" s="122">
        <v>0.2</v>
      </c>
      <c r="AJ11" s="65">
        <v>4.5999999999999999E-2</v>
      </c>
      <c r="AK11" s="122">
        <v>0.4</v>
      </c>
      <c r="AL11" s="122">
        <v>-1.7</v>
      </c>
      <c r="AM11" s="122">
        <v>0.1</v>
      </c>
      <c r="AN11" s="122">
        <v>8.1</v>
      </c>
    </row>
    <row r="12" spans="1:44" x14ac:dyDescent="0.2">
      <c r="A12" s="3"/>
      <c r="B12" s="3" t="s">
        <v>297</v>
      </c>
      <c r="C12" s="3"/>
      <c r="D12" s="108"/>
      <c r="E12" s="108"/>
      <c r="F12" s="109"/>
      <c r="G12" s="4"/>
      <c r="H12" s="113"/>
      <c r="I12" s="3"/>
      <c r="J12" s="3"/>
      <c r="K12" s="112"/>
      <c r="L12" s="112"/>
      <c r="M12" s="3"/>
      <c r="N12" s="3"/>
      <c r="O12" s="3"/>
      <c r="P12" s="61">
        <v>122741</v>
      </c>
      <c r="Q12" s="61">
        <v>122741</v>
      </c>
      <c r="R12" s="61">
        <v>122741</v>
      </c>
      <c r="S12" s="3"/>
      <c r="T12" s="3"/>
      <c r="X12" s="69"/>
      <c r="Y12" s="69"/>
      <c r="Z12" s="65"/>
      <c r="AA12" s="122"/>
      <c r="AB12" s="122"/>
      <c r="AC12" s="122"/>
      <c r="AD12" s="122"/>
      <c r="AE12" s="122"/>
      <c r="AF12" s="65"/>
      <c r="AG12" s="122"/>
      <c r="AH12" s="122"/>
      <c r="AI12" s="122"/>
      <c r="AJ12" s="65"/>
      <c r="AK12" s="122"/>
      <c r="AL12" s="122"/>
      <c r="AM12" s="122"/>
      <c r="AN12" s="122"/>
    </row>
    <row r="13" spans="1:44" x14ac:dyDescent="0.2">
      <c r="K13" s="120"/>
      <c r="L13" s="120"/>
      <c r="M13" s="120"/>
      <c r="N13" s="120"/>
      <c r="O13" s="75"/>
      <c r="P13" s="61"/>
      <c r="Q13" s="61"/>
      <c r="R13" s="61"/>
      <c r="X13" s="69"/>
      <c r="Y13" s="69"/>
      <c r="Z13" s="65"/>
      <c r="AA13" s="122"/>
      <c r="AB13" s="122"/>
      <c r="AC13" s="122"/>
      <c r="AD13" s="122"/>
      <c r="AE13" s="122"/>
      <c r="AF13" s="65"/>
      <c r="AG13" s="122"/>
      <c r="AH13" s="122"/>
      <c r="AI13" s="122"/>
      <c r="AJ13" s="65"/>
      <c r="AK13" s="122"/>
      <c r="AL13" s="122"/>
      <c r="AM13" s="122"/>
      <c r="AN13" s="122"/>
    </row>
    <row r="14" spans="1:44" x14ac:dyDescent="0.2">
      <c r="A14" s="3">
        <v>5</v>
      </c>
      <c r="B14" s="3" t="s">
        <v>62</v>
      </c>
      <c r="C14" s="3" t="s">
        <v>236</v>
      </c>
      <c r="D14" s="108">
        <v>69</v>
      </c>
      <c r="E14" s="108">
        <v>77</v>
      </c>
      <c r="F14" s="109">
        <v>218</v>
      </c>
      <c r="G14" s="4">
        <v>34963</v>
      </c>
      <c r="H14" s="113">
        <f t="shared" ref="H14:H21" ca="1" si="2">ROUNDDOWN(YEARFRAC($G$23,G14),1)</f>
        <v>25</v>
      </c>
      <c r="I14" s="3" t="s">
        <v>978</v>
      </c>
      <c r="J14" s="3">
        <v>7</v>
      </c>
      <c r="K14" s="112">
        <v>2014</v>
      </c>
      <c r="L14" s="112">
        <v>20</v>
      </c>
      <c r="M14" s="3" t="s">
        <v>979</v>
      </c>
      <c r="N14" s="3"/>
      <c r="O14" s="3"/>
      <c r="P14" s="14">
        <v>1620564</v>
      </c>
      <c r="Q14" s="3"/>
      <c r="R14" s="3"/>
      <c r="S14" s="3"/>
      <c r="T14" s="3"/>
      <c r="W14" t="s">
        <v>980</v>
      </c>
      <c r="X14" s="69">
        <v>4</v>
      </c>
      <c r="Y14" s="69">
        <v>22</v>
      </c>
      <c r="Z14" s="65">
        <f>7/22</f>
        <v>0.31818181818181818</v>
      </c>
      <c r="AA14" s="122">
        <v>99.8</v>
      </c>
      <c r="AB14" s="122">
        <v>102.8</v>
      </c>
      <c r="AC14" s="122">
        <f t="shared" ref="AC14:AC18" si="3">AA14-AB14</f>
        <v>-3</v>
      </c>
      <c r="AD14" s="122">
        <v>8.6999999999999993</v>
      </c>
      <c r="AE14" s="122">
        <v>11.9</v>
      </c>
      <c r="AF14" s="65">
        <v>0.441</v>
      </c>
      <c r="AG14" s="122">
        <v>16.7</v>
      </c>
      <c r="AH14" s="122">
        <v>-0.1</v>
      </c>
      <c r="AI14" s="122">
        <v>0.3</v>
      </c>
      <c r="AJ14" s="65">
        <v>5.0999999999999997E-2</v>
      </c>
      <c r="AK14" s="122">
        <v>-3.3</v>
      </c>
      <c r="AL14" s="122">
        <v>0.8</v>
      </c>
      <c r="AM14" s="122">
        <v>0</v>
      </c>
      <c r="AN14" s="122">
        <v>7.2</v>
      </c>
    </row>
    <row r="15" spans="1:44" x14ac:dyDescent="0.2">
      <c r="A15" s="3">
        <v>19</v>
      </c>
      <c r="B15" s="3" t="s">
        <v>63</v>
      </c>
      <c r="C15" s="3" t="s">
        <v>236</v>
      </c>
      <c r="D15" s="108">
        <v>70</v>
      </c>
      <c r="E15" s="108">
        <v>73</v>
      </c>
      <c r="F15" s="109">
        <v>235</v>
      </c>
      <c r="G15" s="4">
        <v>30226</v>
      </c>
      <c r="H15" s="113">
        <f t="shared" ca="1" si="2"/>
        <v>38</v>
      </c>
      <c r="I15" s="3" t="s">
        <v>981</v>
      </c>
      <c r="J15" s="3">
        <v>20</v>
      </c>
      <c r="K15" s="112">
        <v>2001</v>
      </c>
      <c r="L15" s="112">
        <v>2</v>
      </c>
      <c r="M15" s="3" t="s">
        <v>982</v>
      </c>
      <c r="N15" s="3"/>
      <c r="O15" s="3"/>
      <c r="P15" s="14">
        <v>1620564</v>
      </c>
      <c r="Q15" s="3"/>
      <c r="R15" s="26"/>
      <c r="S15" s="3"/>
      <c r="T15" s="3"/>
      <c r="W15" s="135" t="s">
        <v>240</v>
      </c>
      <c r="X15" s="69">
        <v>5</v>
      </c>
      <c r="Y15" s="69">
        <v>26</v>
      </c>
      <c r="Z15" s="65">
        <f>15/26</f>
        <v>0.57692307692307687</v>
      </c>
      <c r="AA15" s="122">
        <v>109.7</v>
      </c>
      <c r="AB15" s="122">
        <v>104.1</v>
      </c>
      <c r="AC15" s="122">
        <f t="shared" si="3"/>
        <v>5.6000000000000085</v>
      </c>
      <c r="AD15" s="122">
        <v>8.4</v>
      </c>
      <c r="AE15" s="122">
        <v>10.8</v>
      </c>
      <c r="AF15" s="65">
        <v>0.71699999999999997</v>
      </c>
      <c r="AG15" s="122">
        <v>6</v>
      </c>
      <c r="AH15" s="122">
        <v>0.3</v>
      </c>
      <c r="AI15" s="122">
        <v>0.3</v>
      </c>
      <c r="AJ15" s="65">
        <v>0.13</v>
      </c>
      <c r="AK15" s="122">
        <v>-2.5</v>
      </c>
      <c r="AL15" s="122">
        <v>1.1000000000000001</v>
      </c>
      <c r="AM15" s="122">
        <v>0</v>
      </c>
      <c r="AN15" s="122">
        <v>6.1</v>
      </c>
    </row>
    <row r="16" spans="1:44" x14ac:dyDescent="0.2">
      <c r="A16" s="3">
        <v>18</v>
      </c>
      <c r="B16" s="3" t="s">
        <v>64</v>
      </c>
      <c r="C16" s="3" t="s">
        <v>236</v>
      </c>
      <c r="D16" s="108">
        <v>66</v>
      </c>
      <c r="E16" s="108">
        <v>72</v>
      </c>
      <c r="F16" s="109">
        <v>215</v>
      </c>
      <c r="G16" s="4">
        <v>30804</v>
      </c>
      <c r="H16" s="113">
        <f t="shared" ca="1" si="2"/>
        <v>36.4</v>
      </c>
      <c r="I16" s="3" t="s">
        <v>983</v>
      </c>
      <c r="J16" s="3">
        <v>15</v>
      </c>
      <c r="K16" s="112">
        <v>2005</v>
      </c>
      <c r="L16" s="112">
        <v>13</v>
      </c>
      <c r="M16" s="3" t="s">
        <v>984</v>
      </c>
      <c r="N16" s="3"/>
      <c r="O16" s="3"/>
      <c r="P16" s="14">
        <v>1620564</v>
      </c>
      <c r="Q16" s="3"/>
      <c r="R16" s="3"/>
      <c r="S16" s="3"/>
      <c r="T16" s="3"/>
      <c r="W16" t="s">
        <v>985</v>
      </c>
      <c r="X16" s="69">
        <v>4</v>
      </c>
      <c r="Y16" s="69">
        <v>41</v>
      </c>
      <c r="Z16" s="65">
        <f>27/41</f>
        <v>0.65853658536585369</v>
      </c>
      <c r="AA16" s="122">
        <v>110.7</v>
      </c>
      <c r="AB16" s="122">
        <v>106.7</v>
      </c>
      <c r="AC16" s="122">
        <f t="shared" si="3"/>
        <v>4</v>
      </c>
      <c r="AD16" s="122">
        <v>10.6</v>
      </c>
      <c r="AE16" s="122">
        <v>9.5</v>
      </c>
      <c r="AF16" s="65">
        <v>0.48699999999999999</v>
      </c>
      <c r="AG16" s="122">
        <v>10.4</v>
      </c>
      <c r="AH16" s="122">
        <v>0.1</v>
      </c>
      <c r="AI16" s="122">
        <v>0.6</v>
      </c>
      <c r="AJ16" s="65">
        <v>7.2999999999999995E-2</v>
      </c>
      <c r="AK16" s="122">
        <v>-2.7</v>
      </c>
      <c r="AL16" s="122">
        <v>1.6</v>
      </c>
      <c r="AM16" s="122">
        <v>0.1</v>
      </c>
      <c r="AN16" s="122">
        <v>6.4</v>
      </c>
    </row>
    <row r="17" spans="1:40" x14ac:dyDescent="0.2">
      <c r="A17" s="3">
        <v>9</v>
      </c>
      <c r="B17" s="3" t="s">
        <v>66</v>
      </c>
      <c r="C17" s="3" t="s">
        <v>236</v>
      </c>
      <c r="D17" s="108">
        <v>66</v>
      </c>
      <c r="E17" s="108">
        <v>610</v>
      </c>
      <c r="F17" s="109">
        <v>215</v>
      </c>
      <c r="G17" s="4">
        <v>31620</v>
      </c>
      <c r="H17" s="113">
        <f t="shared" ca="1" si="2"/>
        <v>34.200000000000003</v>
      </c>
      <c r="I17" s="3" t="s">
        <v>786</v>
      </c>
      <c r="J17" s="3">
        <v>12</v>
      </c>
      <c r="K17" s="112">
        <v>2009</v>
      </c>
      <c r="L17" s="112">
        <v>27</v>
      </c>
      <c r="M17" s="3" t="s">
        <v>988</v>
      </c>
      <c r="N17" s="3"/>
      <c r="O17" s="3"/>
      <c r="P17" s="14">
        <v>1620564</v>
      </c>
      <c r="Q17" s="3"/>
      <c r="R17" s="3"/>
      <c r="S17" s="3"/>
      <c r="T17" s="3"/>
      <c r="W17" s="135" t="s">
        <v>989</v>
      </c>
      <c r="X17" s="69">
        <v>4</v>
      </c>
      <c r="Y17" s="69">
        <v>6</v>
      </c>
      <c r="Z17" s="65">
        <f>3/6</f>
        <v>0.5</v>
      </c>
      <c r="AA17" s="122">
        <v>117.2</v>
      </c>
      <c r="AB17" s="122">
        <v>108.3</v>
      </c>
      <c r="AC17" s="122">
        <f t="shared" si="3"/>
        <v>8.9000000000000057</v>
      </c>
      <c r="AD17" s="122">
        <v>15.9</v>
      </c>
      <c r="AE17" s="122">
        <v>13.5</v>
      </c>
      <c r="AF17" s="65">
        <v>0.624</v>
      </c>
      <c r="AG17" s="122">
        <v>16.399999999999999</v>
      </c>
      <c r="AH17" s="122">
        <v>0.2</v>
      </c>
      <c r="AI17" s="122">
        <v>0.1</v>
      </c>
      <c r="AJ17" s="65">
        <v>0.11600000000000001</v>
      </c>
      <c r="AK17" s="122">
        <v>0.3</v>
      </c>
      <c r="AL17" s="122">
        <v>-1.1000000000000001</v>
      </c>
      <c r="AM17" s="122">
        <v>0</v>
      </c>
      <c r="AN17" s="122">
        <v>8.3000000000000007</v>
      </c>
    </row>
    <row r="18" spans="1:40" x14ac:dyDescent="0.2">
      <c r="A18" s="3">
        <v>32</v>
      </c>
      <c r="B18" s="3" t="s">
        <v>67</v>
      </c>
      <c r="C18" s="3" t="s">
        <v>244</v>
      </c>
      <c r="D18" s="108">
        <v>68</v>
      </c>
      <c r="E18" s="108">
        <v>71</v>
      </c>
      <c r="F18" s="109">
        <v>235</v>
      </c>
      <c r="G18" s="4">
        <v>31652</v>
      </c>
      <c r="H18" s="113">
        <f t="shared" ca="1" si="2"/>
        <v>34.1</v>
      </c>
      <c r="I18" s="3" t="s">
        <v>558</v>
      </c>
      <c r="J18" s="3">
        <v>13</v>
      </c>
      <c r="K18" s="112">
        <v>2007</v>
      </c>
      <c r="L18" s="112">
        <v>5</v>
      </c>
      <c r="M18" s="3" t="s">
        <v>990</v>
      </c>
      <c r="N18" s="3"/>
      <c r="O18" s="3"/>
      <c r="P18" s="14">
        <v>1620564</v>
      </c>
      <c r="Q18" s="3"/>
      <c r="R18" s="3"/>
      <c r="S18" s="3"/>
      <c r="T18" s="3"/>
      <c r="W18" s="135" t="s">
        <v>240</v>
      </c>
      <c r="X18" s="69">
        <v>5</v>
      </c>
      <c r="Y18" s="69">
        <v>10</v>
      </c>
      <c r="Z18" s="65">
        <f>6/10</f>
        <v>0.6</v>
      </c>
      <c r="AA18" s="122">
        <v>120.6</v>
      </c>
      <c r="AB18" s="122">
        <v>108.1</v>
      </c>
      <c r="AC18" s="122">
        <f t="shared" si="3"/>
        <v>12.5</v>
      </c>
      <c r="AD18" s="122">
        <v>20.100000000000001</v>
      </c>
      <c r="AE18" s="122">
        <v>20</v>
      </c>
      <c r="AF18" s="65">
        <v>0.73899999999999999</v>
      </c>
      <c r="AG18" s="122">
        <v>16.3</v>
      </c>
      <c r="AH18" s="122">
        <v>0.6</v>
      </c>
      <c r="AI18" s="122">
        <v>0.2</v>
      </c>
      <c r="AJ18" s="65">
        <v>0.20100000000000001</v>
      </c>
      <c r="AK18" s="122">
        <v>3.5</v>
      </c>
      <c r="AL18" s="122">
        <v>0.4</v>
      </c>
      <c r="AM18" s="122">
        <v>0.3</v>
      </c>
      <c r="AN18" s="122">
        <v>11.6</v>
      </c>
    </row>
    <row r="19" spans="1:40" x14ac:dyDescent="0.2">
      <c r="A19" s="3">
        <v>12</v>
      </c>
      <c r="B19" s="3" t="s">
        <v>2270</v>
      </c>
      <c r="C19" s="3" t="s">
        <v>244</v>
      </c>
      <c r="D19" s="108">
        <v>68</v>
      </c>
      <c r="E19" s="108">
        <v>70</v>
      </c>
      <c r="F19" s="109">
        <v>230</v>
      </c>
      <c r="G19" s="4">
        <v>31664</v>
      </c>
      <c r="H19" s="113">
        <f t="shared" ca="1" si="2"/>
        <v>34.1</v>
      </c>
      <c r="I19" s="3" t="s">
        <v>564</v>
      </c>
      <c r="J19" s="3">
        <v>13</v>
      </c>
      <c r="K19" s="112">
        <v>2008</v>
      </c>
      <c r="L19" s="112">
        <v>37</v>
      </c>
      <c r="M19" s="3" t="s">
        <v>2261</v>
      </c>
      <c r="N19" s="3"/>
      <c r="O19" s="3"/>
      <c r="P19" s="14">
        <v>1620564</v>
      </c>
      <c r="Q19" s="3"/>
      <c r="R19" s="3"/>
      <c r="S19" s="3"/>
      <c r="T19" s="3"/>
      <c r="W19" s="135"/>
      <c r="X19" s="69"/>
      <c r="Y19" s="69"/>
      <c r="Z19" s="65"/>
      <c r="AA19" s="122"/>
      <c r="AB19" s="122"/>
      <c r="AC19" s="122"/>
      <c r="AD19" s="122"/>
      <c r="AE19" s="122"/>
      <c r="AF19" s="65"/>
      <c r="AG19" s="122"/>
      <c r="AH19" s="122"/>
      <c r="AI19" s="122"/>
      <c r="AJ19" s="65"/>
      <c r="AK19" s="122"/>
      <c r="AL19" s="122"/>
      <c r="AM19" s="122"/>
      <c r="AN19" s="122"/>
    </row>
    <row r="20" spans="1:40" x14ac:dyDescent="0.2">
      <c r="A20" s="3">
        <v>21</v>
      </c>
      <c r="B20" s="3" t="s">
        <v>991</v>
      </c>
      <c r="C20" s="3" t="s">
        <v>255</v>
      </c>
      <c r="D20" s="108">
        <v>63</v>
      </c>
      <c r="E20" s="108">
        <v>69</v>
      </c>
      <c r="F20" s="109">
        <v>200</v>
      </c>
      <c r="G20" s="4">
        <v>34401</v>
      </c>
      <c r="H20" s="113">
        <f t="shared" ca="1" si="2"/>
        <v>26.6</v>
      </c>
      <c r="I20" s="3" t="s">
        <v>992</v>
      </c>
      <c r="J20" s="3">
        <v>2</v>
      </c>
      <c r="K20" s="112">
        <v>2015</v>
      </c>
      <c r="L20" s="112"/>
      <c r="M20" s="3" t="s">
        <v>993</v>
      </c>
      <c r="N20" s="3"/>
      <c r="O20" s="3"/>
      <c r="P20" s="34"/>
      <c r="Q20" s="3"/>
      <c r="R20" s="3"/>
      <c r="S20" s="3"/>
      <c r="T20" s="3"/>
      <c r="W20" s="135" t="s">
        <v>994</v>
      </c>
      <c r="X20" s="69">
        <v>2</v>
      </c>
      <c r="Y20" s="69">
        <v>8</v>
      </c>
      <c r="Z20" s="65">
        <f>5/8</f>
        <v>0.625</v>
      </c>
      <c r="AA20" s="122">
        <v>95.9</v>
      </c>
      <c r="AB20" s="122">
        <v>111.4</v>
      </c>
      <c r="AC20" s="122">
        <f t="shared" ref="AC20" si="4">AA20-AB20</f>
        <v>-15.5</v>
      </c>
      <c r="AD20" s="122">
        <v>8.1999999999999993</v>
      </c>
      <c r="AE20" s="122">
        <v>2.4</v>
      </c>
      <c r="AF20" s="65">
        <v>0.51300000000000001</v>
      </c>
      <c r="AG20" s="122">
        <v>9.8000000000000007</v>
      </c>
      <c r="AH20" s="122">
        <v>0</v>
      </c>
      <c r="AI20" s="122">
        <v>0</v>
      </c>
      <c r="AJ20" s="65">
        <v>1.6E-2</v>
      </c>
      <c r="AK20" s="122">
        <v>-7.9</v>
      </c>
      <c r="AL20" s="122">
        <v>-0.9</v>
      </c>
      <c r="AM20" s="122">
        <v>-0.1</v>
      </c>
      <c r="AN20" s="122">
        <v>-1.9</v>
      </c>
    </row>
    <row r="21" spans="1:40" x14ac:dyDescent="0.2">
      <c r="A21" s="3">
        <v>52</v>
      </c>
      <c r="B21" s="3" t="s">
        <v>995</v>
      </c>
      <c r="C21" s="3" t="s">
        <v>236</v>
      </c>
      <c r="D21" s="108">
        <v>68</v>
      </c>
      <c r="E21" s="108"/>
      <c r="F21" s="109">
        <v>207</v>
      </c>
      <c r="G21" s="4">
        <v>34267</v>
      </c>
      <c r="H21" s="113">
        <f t="shared" ca="1" si="2"/>
        <v>26.9</v>
      </c>
      <c r="I21" s="3" t="s">
        <v>853</v>
      </c>
      <c r="J21" s="3">
        <v>2</v>
      </c>
      <c r="K21" s="112">
        <v>2015</v>
      </c>
      <c r="L21" s="112"/>
      <c r="M21" s="3" t="s">
        <v>996</v>
      </c>
      <c r="N21" s="3"/>
      <c r="O21" s="3"/>
      <c r="P21" s="34"/>
      <c r="Q21" s="3"/>
      <c r="R21" s="3"/>
      <c r="S21" s="3"/>
      <c r="T21" s="3"/>
      <c r="X21" s="69"/>
      <c r="Y21" s="69"/>
      <c r="Z21" s="65"/>
      <c r="AA21" s="122"/>
      <c r="AB21" s="122"/>
      <c r="AC21" s="122"/>
      <c r="AD21" s="122"/>
      <c r="AE21" s="122"/>
      <c r="AF21" s="65"/>
      <c r="AG21" s="122"/>
      <c r="AH21" s="122"/>
      <c r="AI21" s="122"/>
      <c r="AJ21" s="65"/>
      <c r="AK21" s="122"/>
      <c r="AL21" s="122"/>
      <c r="AM21" s="122"/>
      <c r="AN21" s="122"/>
    </row>
    <row r="22" spans="1:40" x14ac:dyDescent="0.2">
      <c r="H22" s="60"/>
      <c r="I22" s="60"/>
      <c r="J22" s="60"/>
      <c r="K22" s="120"/>
      <c r="L22" s="120"/>
      <c r="M22" s="120"/>
      <c r="N22" s="120"/>
      <c r="O22" s="75"/>
      <c r="P22" s="61"/>
      <c r="Q22" s="61"/>
      <c r="R22" s="61"/>
      <c r="X22" s="69"/>
      <c r="Y22" s="69"/>
      <c r="Z22" s="65"/>
      <c r="AA22" s="122"/>
      <c r="AB22" s="122"/>
      <c r="AC22" s="122"/>
      <c r="AD22" s="122"/>
      <c r="AE22" s="122"/>
      <c r="AF22" s="65"/>
      <c r="AG22" s="122"/>
      <c r="AH22" s="122"/>
      <c r="AI22" s="122"/>
      <c r="AJ22" s="65"/>
      <c r="AK22" s="122"/>
      <c r="AL22" s="122"/>
      <c r="AM22" s="122"/>
      <c r="AN22" s="122"/>
    </row>
    <row r="23" spans="1:40" x14ac:dyDescent="0.2">
      <c r="G23" s="62">
        <f ca="1">TODAY()</f>
        <v>44128</v>
      </c>
      <c r="H23" s="63">
        <f ca="1">AVERAGE(H2:H11)</f>
        <v>29.409999999999997</v>
      </c>
      <c r="I23" s="60"/>
      <c r="J23" s="63">
        <f>AVERAGE(J2:J11)</f>
        <v>8.5</v>
      </c>
      <c r="K23" s="120"/>
      <c r="L23" s="120"/>
      <c r="M23" s="120"/>
      <c r="N23" s="120"/>
      <c r="O23" s="75"/>
      <c r="P23" s="61"/>
      <c r="Q23" s="61"/>
      <c r="R23" s="61"/>
      <c r="X23" s="69"/>
      <c r="Y23" s="69"/>
      <c r="Z23" s="65"/>
      <c r="AA23" s="122"/>
      <c r="AB23" s="122"/>
      <c r="AC23" s="122"/>
      <c r="AD23" s="122"/>
      <c r="AE23" s="122"/>
      <c r="AF23" s="65"/>
      <c r="AG23" s="122"/>
      <c r="AH23" s="122"/>
      <c r="AI23" s="122"/>
      <c r="AJ23" s="65"/>
      <c r="AK23" s="122"/>
      <c r="AL23" s="122"/>
      <c r="AM23" s="122"/>
      <c r="AN23" s="122"/>
    </row>
    <row r="24" spans="1:40" x14ac:dyDescent="0.2">
      <c r="C24" s="60"/>
      <c r="E24" s="62"/>
      <c r="F24" s="36"/>
      <c r="H24" s="63">
        <f ca="1">MEDIAN(H2:H11)</f>
        <v>29</v>
      </c>
      <c r="I24" s="60"/>
      <c r="J24" s="110">
        <f>MEDIAN(J2:J11)</f>
        <v>8.5</v>
      </c>
      <c r="K24" s="78"/>
      <c r="L24" s="75"/>
      <c r="M24" s="75"/>
      <c r="N24" s="75"/>
      <c r="O24" s="75"/>
      <c r="X24" s="69"/>
      <c r="Y24" s="69"/>
      <c r="Z24" s="65"/>
      <c r="AA24" s="122"/>
      <c r="AB24" s="122"/>
      <c r="AC24" s="122"/>
      <c r="AD24" s="122"/>
      <c r="AE24" s="122"/>
      <c r="AF24" s="65"/>
      <c r="AG24" s="122"/>
      <c r="AH24" s="122"/>
      <c r="AI24" s="122"/>
      <c r="AJ24" s="65"/>
      <c r="AK24" s="122"/>
      <c r="AL24" s="122"/>
      <c r="AM24" s="122"/>
      <c r="AN24" s="122"/>
    </row>
    <row r="25" spans="1:40" x14ac:dyDescent="0.2">
      <c r="B25" s="152" t="s">
        <v>2224</v>
      </c>
      <c r="C25" s="110"/>
      <c r="H25" s="63"/>
      <c r="I25" s="71"/>
      <c r="J25" s="110"/>
      <c r="K25" s="121"/>
      <c r="L25" s="121"/>
      <c r="M25" s="75"/>
      <c r="N25" s="75"/>
      <c r="O25" s="75"/>
      <c r="P25" s="64">
        <f>P2+P3+P4+P5+P6+P7+P12</f>
        <v>123430633</v>
      </c>
      <c r="X25" s="69"/>
      <c r="Y25" s="69"/>
      <c r="Z25" s="65"/>
      <c r="AA25" s="122"/>
      <c r="AB25" s="122"/>
      <c r="AC25" s="122"/>
      <c r="AD25" s="122"/>
      <c r="AE25" s="122"/>
      <c r="AF25" s="65"/>
      <c r="AG25" s="122"/>
      <c r="AH25" s="122"/>
      <c r="AI25" s="122"/>
      <c r="AJ25" s="65"/>
      <c r="AK25" s="122"/>
      <c r="AL25" s="122"/>
      <c r="AM25" s="122"/>
      <c r="AN25" s="122"/>
    </row>
    <row r="26" spans="1:40" x14ac:dyDescent="0.2">
      <c r="B26" s="3" t="s">
        <v>2085</v>
      </c>
      <c r="C26" s="3">
        <v>6</v>
      </c>
      <c r="I26" s="3"/>
      <c r="J26" s="3"/>
      <c r="K26" s="75"/>
      <c r="L26" s="121"/>
      <c r="M26" s="75"/>
      <c r="N26" s="75"/>
      <c r="O26" s="76"/>
      <c r="P26" s="160">
        <f>P2+P3+P4+P5+P6+P7+P8+P12</f>
        <v>125866679</v>
      </c>
      <c r="X26" s="122"/>
      <c r="Y26" s="122"/>
      <c r="Z26" s="65"/>
      <c r="AA26" s="122"/>
      <c r="AB26" s="122"/>
      <c r="AC26" s="122"/>
      <c r="AD26" s="122"/>
      <c r="AE26" s="122"/>
      <c r="AF26" s="65"/>
      <c r="AG26" s="122"/>
      <c r="AH26" s="122"/>
      <c r="AI26" s="122"/>
      <c r="AJ26" s="65"/>
      <c r="AK26" s="122"/>
      <c r="AL26" s="122"/>
      <c r="AM26" s="122"/>
      <c r="AN26" s="122"/>
    </row>
    <row r="27" spans="1:40" x14ac:dyDescent="0.2">
      <c r="B27" s="3" t="s">
        <v>2088</v>
      </c>
      <c r="C27" s="3">
        <v>4</v>
      </c>
      <c r="I27" s="3"/>
      <c r="J27" s="3"/>
      <c r="K27" s="75"/>
      <c r="L27" s="120"/>
      <c r="M27" s="75"/>
      <c r="N27" s="75"/>
      <c r="O27" s="3"/>
      <c r="P27" s="123">
        <f>P2+P3+P4+P5+P6+P7+P8+P9+P10+P11+P12</f>
        <v>131490697</v>
      </c>
      <c r="AF27" s="127"/>
      <c r="AJ27" s="127"/>
    </row>
    <row r="28" spans="1:40" x14ac:dyDescent="0.2">
      <c r="B28" s="3" t="s">
        <v>2086</v>
      </c>
      <c r="C28" s="3">
        <v>0</v>
      </c>
      <c r="I28" s="3"/>
      <c r="J28" s="3"/>
      <c r="K28" s="75"/>
      <c r="L28" s="120"/>
      <c r="M28" s="75"/>
      <c r="N28" s="75"/>
      <c r="O28" s="3"/>
      <c r="P28" s="123"/>
      <c r="AF28" s="127"/>
      <c r="AJ28" s="127"/>
    </row>
    <row r="29" spans="1:40" x14ac:dyDescent="0.2">
      <c r="B29" s="3" t="s">
        <v>2219</v>
      </c>
      <c r="C29" s="3" t="s">
        <v>2387</v>
      </c>
      <c r="I29" s="3"/>
      <c r="J29" s="3"/>
      <c r="K29" s="75"/>
      <c r="L29" s="75"/>
      <c r="M29" s="75"/>
      <c r="N29" s="75"/>
      <c r="O29" s="3" t="s">
        <v>300</v>
      </c>
      <c r="P29" s="11">
        <v>109140000</v>
      </c>
      <c r="AF29" s="127"/>
      <c r="AJ29" s="127"/>
    </row>
    <row r="30" spans="1:40" x14ac:dyDescent="0.2">
      <c r="B30" s="24" t="s">
        <v>301</v>
      </c>
      <c r="C30" s="61">
        <v>0</v>
      </c>
      <c r="I30" s="24"/>
      <c r="J30" s="61"/>
      <c r="K30" s="120"/>
      <c r="L30" s="75"/>
      <c r="M30" s="75"/>
      <c r="N30" s="75"/>
      <c r="O30" s="22" t="s">
        <v>302</v>
      </c>
      <c r="P30" s="11">
        <v>132627000</v>
      </c>
      <c r="AF30" s="127"/>
      <c r="AJ30" s="127"/>
    </row>
    <row r="31" spans="1:40" x14ac:dyDescent="0.2">
      <c r="B31" s="3" t="s">
        <v>303</v>
      </c>
      <c r="C31" s="61">
        <v>0</v>
      </c>
      <c r="I31" s="3"/>
      <c r="J31" s="61"/>
      <c r="K31" s="120"/>
      <c r="L31" s="75"/>
      <c r="M31" s="75"/>
      <c r="N31" s="75"/>
      <c r="O31" s="22"/>
      <c r="AJ31" s="127"/>
    </row>
    <row r="32" spans="1:40" x14ac:dyDescent="0.2">
      <c r="J32" s="3"/>
    </row>
    <row r="33" spans="2:10" x14ac:dyDescent="0.2">
      <c r="B33" s="5" t="s">
        <v>2084</v>
      </c>
      <c r="C33" s="65"/>
      <c r="J33" s="3"/>
    </row>
    <row r="34" spans="2:10" x14ac:dyDescent="0.2">
      <c r="B34" s="3" t="s">
        <v>304</v>
      </c>
      <c r="C34" s="41">
        <f>44/(44+28)</f>
        <v>0.61111111111111116</v>
      </c>
      <c r="D34" s="3" t="s">
        <v>1006</v>
      </c>
      <c r="E34" s="3"/>
      <c r="J34" s="22"/>
    </row>
    <row r="35" spans="2:10" x14ac:dyDescent="0.2">
      <c r="B35" s="3" t="s">
        <v>306</v>
      </c>
      <c r="C35" s="3">
        <v>112.5</v>
      </c>
      <c r="D35" s="3" t="s">
        <v>2216</v>
      </c>
      <c r="E35" s="3"/>
    </row>
    <row r="36" spans="2:10" x14ac:dyDescent="0.2">
      <c r="B36" s="3" t="s">
        <v>307</v>
      </c>
      <c r="C36" s="3">
        <v>109.8</v>
      </c>
      <c r="D36" s="3" t="s">
        <v>2232</v>
      </c>
      <c r="E36" s="3"/>
    </row>
    <row r="37" spans="2:10" x14ac:dyDescent="0.2">
      <c r="B37" s="3" t="s">
        <v>308</v>
      </c>
      <c r="C37" s="3">
        <f>C35-C36</f>
        <v>2.7000000000000028</v>
      </c>
      <c r="D37" s="3" t="s">
        <v>2268</v>
      </c>
      <c r="E37" s="3"/>
    </row>
    <row r="38" spans="2:10" x14ac:dyDescent="0.2">
      <c r="B38" s="3" t="s">
        <v>309</v>
      </c>
      <c r="C38" s="3">
        <v>104.04</v>
      </c>
      <c r="D38" s="3" t="s">
        <v>2269</v>
      </c>
      <c r="E38" s="3"/>
    </row>
    <row r="39" spans="2:10" x14ac:dyDescent="0.2">
      <c r="B39" s="3"/>
      <c r="C39" s="3"/>
      <c r="D39" s="3"/>
      <c r="E39" s="3"/>
    </row>
    <row r="40" spans="2:10" x14ac:dyDescent="0.2">
      <c r="B40" s="3" t="s">
        <v>310</v>
      </c>
      <c r="C40" s="3"/>
      <c r="D40" s="3"/>
      <c r="E40" s="3"/>
    </row>
    <row r="41" spans="2:10" x14ac:dyDescent="0.2">
      <c r="B41" s="3" t="s">
        <v>998</v>
      </c>
      <c r="C41" s="3"/>
      <c r="D41" s="3"/>
      <c r="E41" s="3"/>
    </row>
    <row r="42" spans="2:10" x14ac:dyDescent="0.2">
      <c r="B42" s="3" t="s">
        <v>999</v>
      </c>
      <c r="C42" s="3"/>
      <c r="D42" s="3"/>
      <c r="E42" s="3"/>
    </row>
    <row r="43" spans="2:10" x14ac:dyDescent="0.2">
      <c r="B43" s="12"/>
      <c r="C43" s="3"/>
      <c r="D43" s="3"/>
      <c r="E43" s="3"/>
    </row>
    <row r="44" spans="2:10" x14ac:dyDescent="0.2">
      <c r="B44" s="3" t="s">
        <v>318</v>
      </c>
      <c r="C44" s="3"/>
      <c r="D44" s="3"/>
      <c r="E44" s="3"/>
    </row>
    <row r="45" spans="2:10" x14ac:dyDescent="0.2">
      <c r="B45" s="3" t="s">
        <v>1000</v>
      </c>
      <c r="C45" s="3"/>
      <c r="D45" s="3"/>
      <c r="E45" s="3"/>
    </row>
    <row r="46" spans="2:10" x14ac:dyDescent="0.2">
      <c r="B46" s="3" t="s">
        <v>1001</v>
      </c>
      <c r="C46" s="3"/>
      <c r="D46" s="3"/>
      <c r="E46" s="3"/>
    </row>
    <row r="47" spans="2:10" x14ac:dyDescent="0.2">
      <c r="B47" s="3" t="s">
        <v>1002</v>
      </c>
      <c r="C47" s="3"/>
      <c r="D47" s="3"/>
      <c r="E47" s="3"/>
    </row>
    <row r="48" spans="2:10" x14ac:dyDescent="0.2">
      <c r="B48" s="3" t="s">
        <v>1003</v>
      </c>
      <c r="C48" s="3"/>
      <c r="D48" s="3"/>
      <c r="E48" s="3"/>
    </row>
    <row r="49" spans="2:10" x14ac:dyDescent="0.2">
      <c r="B49" s="3" t="s">
        <v>1004</v>
      </c>
      <c r="C49" s="3"/>
      <c r="D49" s="3"/>
      <c r="E49" s="3"/>
    </row>
    <row r="50" spans="2:10" x14ac:dyDescent="0.2">
      <c r="B50" s="3" t="s">
        <v>1005</v>
      </c>
      <c r="C50" s="3"/>
      <c r="D50" s="3"/>
      <c r="E50" s="3"/>
    </row>
    <row r="51" spans="2:10" x14ac:dyDescent="0.2">
      <c r="B51" s="3"/>
      <c r="C51" s="3"/>
      <c r="D51" s="3"/>
      <c r="E51" s="3"/>
    </row>
    <row r="52" spans="2:10" x14ac:dyDescent="0.2">
      <c r="B52" s="5" t="s">
        <v>2228</v>
      </c>
      <c r="C52" s="3"/>
      <c r="D52" s="3"/>
      <c r="E52" s="3"/>
    </row>
    <row r="53" spans="2:10" x14ac:dyDescent="0.2">
      <c r="B53" s="39" t="s">
        <v>322</v>
      </c>
      <c r="C53" s="3">
        <v>44</v>
      </c>
      <c r="D53" s="3">
        <v>28</v>
      </c>
      <c r="E53" s="3" t="s">
        <v>1006</v>
      </c>
      <c r="G53" t="s">
        <v>997</v>
      </c>
      <c r="J53" t="s">
        <v>2267</v>
      </c>
    </row>
    <row r="54" spans="2:10" x14ac:dyDescent="0.2">
      <c r="B54" s="39" t="s">
        <v>325</v>
      </c>
      <c r="C54" s="3">
        <v>53</v>
      </c>
      <c r="D54" s="3">
        <v>29</v>
      </c>
      <c r="E54" s="3" t="s">
        <v>1006</v>
      </c>
      <c r="G54" t="s">
        <v>997</v>
      </c>
      <c r="J54" t="s">
        <v>1007</v>
      </c>
    </row>
    <row r="55" spans="2:10" x14ac:dyDescent="0.2">
      <c r="B55" s="39" t="s">
        <v>327</v>
      </c>
      <c r="C55" s="3">
        <v>65</v>
      </c>
      <c r="D55" s="3">
        <v>17</v>
      </c>
      <c r="E55" s="3" t="s">
        <v>943</v>
      </c>
      <c r="G55" t="s">
        <v>997</v>
      </c>
      <c r="J55" t="s">
        <v>1008</v>
      </c>
    </row>
    <row r="56" spans="2:10" x14ac:dyDescent="0.2">
      <c r="B56" s="39" t="s">
        <v>330</v>
      </c>
      <c r="C56" s="3">
        <v>55</v>
      </c>
      <c r="D56" s="3">
        <v>27</v>
      </c>
      <c r="E56" s="3" t="s">
        <v>767</v>
      </c>
      <c r="G56" t="s">
        <v>997</v>
      </c>
      <c r="J56" t="s">
        <v>1009</v>
      </c>
    </row>
    <row r="57" spans="2:10" x14ac:dyDescent="0.2">
      <c r="B57" s="37" t="s">
        <v>333</v>
      </c>
      <c r="C57" s="3">
        <v>41</v>
      </c>
      <c r="D57" s="3">
        <v>41</v>
      </c>
      <c r="E57" s="41" t="s">
        <v>763</v>
      </c>
      <c r="G57" t="s">
        <v>1010</v>
      </c>
      <c r="J57" t="s">
        <v>1011</v>
      </c>
    </row>
    <row r="58" spans="2:10" x14ac:dyDescent="0.2">
      <c r="B58" s="39" t="s">
        <v>336</v>
      </c>
      <c r="C58" s="3">
        <v>56</v>
      </c>
      <c r="D58" s="3">
        <v>26</v>
      </c>
      <c r="E58" s="41" t="s">
        <v>817</v>
      </c>
      <c r="G58" t="s">
        <v>1012</v>
      </c>
      <c r="J58" t="s">
        <v>1013</v>
      </c>
    </row>
    <row r="59" spans="2:10" x14ac:dyDescent="0.2">
      <c r="B59" s="37" t="s">
        <v>339</v>
      </c>
      <c r="C59" s="3">
        <v>54</v>
      </c>
      <c r="D59" s="3">
        <v>28</v>
      </c>
      <c r="E59" s="3" t="s">
        <v>826</v>
      </c>
      <c r="G59" t="s">
        <v>1012</v>
      </c>
      <c r="J59" t="s">
        <v>1014</v>
      </c>
    </row>
    <row r="60" spans="2:10" x14ac:dyDescent="0.2">
      <c r="B60" s="37" t="s">
        <v>342</v>
      </c>
      <c r="C60" s="3">
        <v>45</v>
      </c>
      <c r="D60" s="3">
        <v>37</v>
      </c>
      <c r="E60" s="3" t="s">
        <v>763</v>
      </c>
      <c r="G60" t="s">
        <v>1012</v>
      </c>
      <c r="J60" t="s">
        <v>1015</v>
      </c>
    </row>
    <row r="61" spans="2:10" x14ac:dyDescent="0.2">
      <c r="B61" s="37" t="s">
        <v>346</v>
      </c>
      <c r="C61" s="3">
        <v>34</v>
      </c>
      <c r="D61" s="3">
        <v>32</v>
      </c>
      <c r="E61" s="3" t="s">
        <v>819</v>
      </c>
      <c r="G61" t="s">
        <v>1012</v>
      </c>
      <c r="J61" s="144" t="s">
        <v>324</v>
      </c>
    </row>
    <row r="62" spans="2:10" x14ac:dyDescent="0.2">
      <c r="B62" s="37" t="s">
        <v>348</v>
      </c>
      <c r="C62" s="3">
        <v>43</v>
      </c>
      <c r="D62" s="3">
        <v>39</v>
      </c>
      <c r="E62" t="s">
        <v>819</v>
      </c>
      <c r="G62" t="s">
        <v>1016</v>
      </c>
      <c r="J62" s="144" t="s">
        <v>324</v>
      </c>
    </row>
    <row r="63" spans="2:10" x14ac:dyDescent="0.2">
      <c r="B63" t="s">
        <v>350</v>
      </c>
      <c r="C63" s="60">
        <f>SUM(C53:C62)</f>
        <v>490</v>
      </c>
      <c r="D63" s="60">
        <f>SUM(D53:D62)</f>
        <v>304</v>
      </c>
      <c r="E63" s="65">
        <f>C63/(C63+D63)</f>
        <v>0.61712846347607053</v>
      </c>
    </row>
    <row r="64" spans="2:10" x14ac:dyDescent="0.2">
      <c r="C64" s="60"/>
      <c r="D64" s="60"/>
    </row>
  </sheetData>
  <hyperlinks>
    <hyperlink ref="B53" r:id="rId1" xr:uid="{6FC9084E-AC32-564A-A52D-98D7B75E67ED}"/>
    <hyperlink ref="B54" r:id="rId2" xr:uid="{FB386D31-2E72-EF43-BA33-443247900002}"/>
    <hyperlink ref="B55" r:id="rId3" xr:uid="{7203249C-8E0B-584F-B1C3-355295B53C25}"/>
    <hyperlink ref="B56" r:id="rId4" xr:uid="{D28817D7-34E5-8247-AA6C-C7CCE470B6B2}"/>
    <hyperlink ref="B57" r:id="rId5" xr:uid="{AB1FDD43-97DC-A04C-A63E-72648C649C81}"/>
    <hyperlink ref="B58" r:id="rId6" xr:uid="{799755CE-158A-DE41-B2EB-79AE72400831}"/>
    <hyperlink ref="B59" r:id="rId7" xr:uid="{FF21CC73-4132-F64E-8131-DF1641F5A197}"/>
    <hyperlink ref="B60" r:id="rId8" xr:uid="{243E0069-AC88-0F46-A362-B32741E72C27}"/>
    <hyperlink ref="B61" r:id="rId9" xr:uid="{51E3E834-7DCD-2342-AB81-E728AAEB718A}"/>
    <hyperlink ref="B62" r:id="rId10" xr:uid="{B881D351-B0DD-294C-BC25-991633792403}"/>
  </hyperlinks>
  <pageMargins left="0.7" right="0.7" top="0.75" bottom="0.75" header="0.3" footer="0.3"/>
  <legacyDrawing r:id="rId1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C6944-5F96-FF4B-BCC3-9A33DB430C03}">
  <dimension ref="A1:AR63"/>
  <sheetViews>
    <sheetView zoomScaleNormal="100" workbookViewId="0">
      <selection sqref="A1:AR1"/>
    </sheetView>
  </sheetViews>
  <sheetFormatPr baseColWidth="10" defaultColWidth="11" defaultRowHeight="16" x14ac:dyDescent="0.2"/>
  <cols>
    <col min="1" max="1" width="3.33203125" style="60" customWidth="1"/>
    <col min="2" max="2" width="18.33203125" style="60" customWidth="1"/>
    <col min="3" max="3" width="10" style="60" customWidth="1"/>
    <col min="4" max="4" width="7.5" style="60" customWidth="1"/>
    <col min="5" max="5" width="10.1640625" style="60" customWidth="1"/>
    <col min="6" max="6" width="7.83203125" style="60" customWidth="1"/>
    <col min="7" max="7" width="10.33203125" style="60" customWidth="1"/>
    <col min="8" max="8" width="5.6640625" style="60" customWidth="1"/>
    <col min="9" max="9" width="22.1640625" style="60" customWidth="1"/>
    <col min="10" max="10" width="10.83203125" style="60" customWidth="1"/>
    <col min="11" max="11" width="11.33203125" style="60" customWidth="1"/>
    <col min="12" max="12" width="5.5" style="60" customWidth="1"/>
    <col min="13" max="13" width="33.1640625" style="60" customWidth="1"/>
    <col min="14" max="14" width="14.83203125" style="60" customWidth="1"/>
    <col min="15" max="15" width="46" style="60" customWidth="1"/>
    <col min="16" max="16" width="13.33203125" style="60" customWidth="1"/>
    <col min="17" max="17" width="13.5" style="60" customWidth="1"/>
    <col min="18" max="18" width="12.6640625" style="60" customWidth="1"/>
    <col min="19" max="19" width="12.1640625" style="60" customWidth="1"/>
    <col min="20" max="20" width="12.6640625" style="60" customWidth="1"/>
    <col min="21" max="21" width="10.33203125" style="60" customWidth="1"/>
    <col min="22" max="22" width="77.1640625" style="60" customWidth="1"/>
    <col min="23" max="23" width="25" style="60" customWidth="1"/>
    <col min="24" max="24" width="9.83203125" style="60" customWidth="1"/>
    <col min="25" max="25" width="4.1640625" style="60" customWidth="1"/>
    <col min="26" max="26" width="8" style="60" customWidth="1"/>
    <col min="27" max="27" width="6" style="60" customWidth="1"/>
    <col min="28" max="28" width="6.1640625" style="60" customWidth="1"/>
    <col min="29" max="29" width="7.33203125" style="60" customWidth="1"/>
    <col min="30" max="31" width="5.1640625" style="60" customWidth="1"/>
    <col min="32" max="32" width="6" style="60" customWidth="1"/>
    <col min="33" max="33" width="7.6640625" style="60" customWidth="1"/>
    <col min="34" max="34" width="5.33203125" style="60" customWidth="1"/>
    <col min="35" max="35" width="5.1640625" style="60" customWidth="1"/>
    <col min="36" max="36" width="7.1640625" style="60" customWidth="1"/>
    <col min="37" max="38" width="5.83203125" style="60" customWidth="1"/>
    <col min="39" max="39" width="5.5" style="60" customWidth="1"/>
    <col min="40" max="40" width="5.33203125" style="60" customWidth="1"/>
    <col min="41" max="16384" width="11" style="60"/>
  </cols>
  <sheetData>
    <row r="1" spans="1:44" x14ac:dyDescent="0.2">
      <c r="A1" s="223" t="s">
        <v>2394</v>
      </c>
      <c r="B1" s="223" t="s">
        <v>2395</v>
      </c>
      <c r="C1" s="223" t="s">
        <v>2396</v>
      </c>
      <c r="D1" s="223" t="s">
        <v>2397</v>
      </c>
      <c r="E1" s="223" t="s">
        <v>2398</v>
      </c>
      <c r="F1" s="223" t="s">
        <v>2399</v>
      </c>
      <c r="G1" s="223" t="s">
        <v>2400</v>
      </c>
      <c r="H1" s="223" t="s">
        <v>2401</v>
      </c>
      <c r="I1" s="223" t="s">
        <v>2402</v>
      </c>
      <c r="J1" s="223" t="s">
        <v>2403</v>
      </c>
      <c r="K1" s="223" t="s">
        <v>2404</v>
      </c>
      <c r="L1" s="223" t="s">
        <v>2405</v>
      </c>
      <c r="M1" s="223" t="s">
        <v>2406</v>
      </c>
      <c r="N1" s="223" t="s">
        <v>2407</v>
      </c>
      <c r="O1" s="223" t="s">
        <v>2408</v>
      </c>
      <c r="P1" s="223" t="s">
        <v>2409</v>
      </c>
      <c r="Q1" s="223" t="s">
        <v>2410</v>
      </c>
      <c r="R1" s="223" t="s">
        <v>2411</v>
      </c>
      <c r="S1" s="223" t="s">
        <v>2412</v>
      </c>
      <c r="T1" s="223" t="s">
        <v>2413</v>
      </c>
      <c r="U1" s="223" t="s">
        <v>2414</v>
      </c>
      <c r="V1" s="223" t="s">
        <v>2415</v>
      </c>
      <c r="W1" s="223" t="s">
        <v>2416</v>
      </c>
      <c r="X1" s="223" t="s">
        <v>2433</v>
      </c>
      <c r="Y1" s="223" t="s">
        <v>2417</v>
      </c>
      <c r="Z1" s="223" t="s">
        <v>2418</v>
      </c>
      <c r="AA1" s="223" t="s">
        <v>2419</v>
      </c>
      <c r="AB1" s="223" t="s">
        <v>2420</v>
      </c>
      <c r="AC1" s="223" t="s">
        <v>2421</v>
      </c>
      <c r="AD1" s="223" t="s">
        <v>2422</v>
      </c>
      <c r="AE1" s="223" t="s">
        <v>2423</v>
      </c>
      <c r="AF1" s="223" t="s">
        <v>2424</v>
      </c>
      <c r="AG1" s="223" t="s">
        <v>2425</v>
      </c>
      <c r="AH1" s="223" t="s">
        <v>2426</v>
      </c>
      <c r="AI1" s="223" t="s">
        <v>2427</v>
      </c>
      <c r="AJ1" s="223" t="s">
        <v>2428</v>
      </c>
      <c r="AK1" s="223" t="s">
        <v>2429</v>
      </c>
      <c r="AL1" s="223" t="s">
        <v>2430</v>
      </c>
      <c r="AM1" s="223" t="s">
        <v>2431</v>
      </c>
      <c r="AN1" s="223" t="s">
        <v>2432</v>
      </c>
      <c r="AO1" s="224"/>
      <c r="AP1" s="225"/>
      <c r="AQ1" s="6"/>
      <c r="AR1" s="6"/>
    </row>
    <row r="2" spans="1:44" x14ac:dyDescent="0.2">
      <c r="A2" s="3">
        <v>4</v>
      </c>
      <c r="B2" s="3" t="s">
        <v>205</v>
      </c>
      <c r="C2" s="3" t="s">
        <v>255</v>
      </c>
      <c r="D2" s="108">
        <v>64</v>
      </c>
      <c r="E2" s="108">
        <v>69</v>
      </c>
      <c r="F2" s="109">
        <v>213</v>
      </c>
      <c r="G2" s="4">
        <v>33728</v>
      </c>
      <c r="H2" s="113">
        <f ca="1">ROUNDDOWN(YEARFRAC($G$23,G2),1)</f>
        <v>28.4</v>
      </c>
      <c r="I2" s="3" t="s">
        <v>374</v>
      </c>
      <c r="J2" s="3">
        <v>8</v>
      </c>
      <c r="K2" s="112">
        <v>2013</v>
      </c>
      <c r="L2" s="112">
        <v>2</v>
      </c>
      <c r="M2" s="3" t="s">
        <v>1017</v>
      </c>
      <c r="N2" s="3" t="s">
        <v>779</v>
      </c>
      <c r="O2" s="3" t="s">
        <v>2280</v>
      </c>
      <c r="P2" s="11">
        <v>21000000</v>
      </c>
      <c r="Q2" s="14">
        <f>P2*1.5</f>
        <v>31500000</v>
      </c>
      <c r="R2" s="12"/>
      <c r="S2" s="12"/>
      <c r="T2" s="12"/>
      <c r="V2" s="60" t="s">
        <v>1018</v>
      </c>
      <c r="W2" s="60" t="s">
        <v>1019</v>
      </c>
      <c r="X2" s="69">
        <v>2</v>
      </c>
      <c r="Y2" s="69">
        <v>13</v>
      </c>
      <c r="Z2" s="65">
        <f>7/13</f>
        <v>0.53846153846153844</v>
      </c>
      <c r="AA2" s="122">
        <v>103.8</v>
      </c>
      <c r="AB2" s="122">
        <v>104.3</v>
      </c>
      <c r="AC2" s="122">
        <f t="shared" ref="AC2:AC13" si="0">AA2-AB2</f>
        <v>-0.5</v>
      </c>
      <c r="AD2" s="122">
        <v>26</v>
      </c>
      <c r="AE2" s="122">
        <v>12</v>
      </c>
      <c r="AF2" s="65">
        <v>0.5</v>
      </c>
      <c r="AG2" s="122">
        <v>27</v>
      </c>
      <c r="AH2" s="122">
        <v>-0.3</v>
      </c>
      <c r="AI2" s="122">
        <v>0.4</v>
      </c>
      <c r="AJ2" s="65">
        <v>8.0000000000000002E-3</v>
      </c>
      <c r="AK2" s="122">
        <v>-1.7</v>
      </c>
      <c r="AL2" s="122">
        <v>-1.3</v>
      </c>
      <c r="AM2" s="122">
        <v>-0.1</v>
      </c>
      <c r="AN2" s="122">
        <v>8.6999999999999993</v>
      </c>
    </row>
    <row r="3" spans="1:44" x14ac:dyDescent="0.2">
      <c r="A3" s="3">
        <v>7</v>
      </c>
      <c r="B3" s="3" t="s">
        <v>1020</v>
      </c>
      <c r="C3" s="3" t="s">
        <v>232</v>
      </c>
      <c r="D3" s="108">
        <v>65</v>
      </c>
      <c r="E3" s="108">
        <v>611</v>
      </c>
      <c r="F3" s="109">
        <v>229</v>
      </c>
      <c r="G3" s="4">
        <v>33949</v>
      </c>
      <c r="H3" s="113">
        <f t="shared" ref="H3:H13" ca="1" si="1">ROUNDDOWN(YEARFRAC($G$23,G3),1)</f>
        <v>27.8</v>
      </c>
      <c r="I3" s="3" t="s">
        <v>245</v>
      </c>
      <c r="J3" s="3">
        <v>5</v>
      </c>
      <c r="K3" s="112">
        <v>2016</v>
      </c>
      <c r="L3" s="112">
        <v>36</v>
      </c>
      <c r="M3" s="3" t="s">
        <v>1021</v>
      </c>
      <c r="N3" s="3" t="s">
        <v>354</v>
      </c>
      <c r="O3" s="3" t="s">
        <v>2089</v>
      </c>
      <c r="P3" s="11">
        <v>20700000</v>
      </c>
      <c r="Q3" s="11">
        <v>21700000</v>
      </c>
      <c r="R3" s="11">
        <v>22600000</v>
      </c>
      <c r="S3" s="14">
        <f>R3*1.5</f>
        <v>33900000</v>
      </c>
      <c r="T3" s="3"/>
      <c r="W3" s="60" t="s">
        <v>1022</v>
      </c>
      <c r="X3" s="69">
        <v>1</v>
      </c>
      <c r="Y3" s="69">
        <v>48</v>
      </c>
      <c r="Z3" s="65">
        <f>30/48</f>
        <v>0.625</v>
      </c>
      <c r="AA3" s="122">
        <v>108.6</v>
      </c>
      <c r="AB3" s="122">
        <v>105.7</v>
      </c>
      <c r="AC3" s="122">
        <f t="shared" si="0"/>
        <v>2.8999999999999915</v>
      </c>
      <c r="AD3" s="122">
        <v>30.7</v>
      </c>
      <c r="AE3" s="122">
        <v>17.8</v>
      </c>
      <c r="AF3" s="65">
        <v>0.53700000000000003</v>
      </c>
      <c r="AG3" s="122">
        <v>25.2</v>
      </c>
      <c r="AH3" s="122">
        <v>2</v>
      </c>
      <c r="AI3" s="122">
        <v>1.4</v>
      </c>
      <c r="AJ3" s="65">
        <v>0.113</v>
      </c>
      <c r="AK3" s="122">
        <v>2.2000000000000002</v>
      </c>
      <c r="AL3" s="122">
        <v>-0.5</v>
      </c>
      <c r="AM3" s="122">
        <v>1.4</v>
      </c>
      <c r="AN3" s="122">
        <v>13.5</v>
      </c>
    </row>
    <row r="4" spans="1:44" x14ac:dyDescent="0.2">
      <c r="A4" s="3">
        <v>11</v>
      </c>
      <c r="B4" s="3" t="s">
        <v>207</v>
      </c>
      <c r="C4" s="3" t="s">
        <v>236</v>
      </c>
      <c r="D4" s="108">
        <v>611</v>
      </c>
      <c r="E4" s="108">
        <v>611</v>
      </c>
      <c r="F4" s="109">
        <v>240</v>
      </c>
      <c r="G4" s="4">
        <v>35188</v>
      </c>
      <c r="H4" s="113">
        <f t="shared" ca="1" si="1"/>
        <v>24.4</v>
      </c>
      <c r="I4" s="3" t="s">
        <v>1036</v>
      </c>
      <c r="J4" s="3">
        <v>5</v>
      </c>
      <c r="K4" s="112">
        <v>2016</v>
      </c>
      <c r="L4" s="112">
        <v>11</v>
      </c>
      <c r="M4" s="3" t="s">
        <v>1017</v>
      </c>
      <c r="N4" s="3" t="s">
        <v>1</v>
      </c>
      <c r="O4" s="3" t="s">
        <v>2281</v>
      </c>
      <c r="P4" s="11">
        <v>19800000</v>
      </c>
      <c r="Q4" s="11">
        <v>19800000</v>
      </c>
      <c r="R4" s="11">
        <v>19800000</v>
      </c>
      <c r="S4" s="11">
        <v>20700000</v>
      </c>
      <c r="T4" s="14">
        <v>31050000</v>
      </c>
      <c r="V4" s="60" t="s">
        <v>1037</v>
      </c>
      <c r="W4" s="60" t="s">
        <v>1038</v>
      </c>
      <c r="X4" s="69">
        <v>4</v>
      </c>
      <c r="Y4" s="69">
        <v>62</v>
      </c>
      <c r="Z4" s="65">
        <f>37/62</f>
        <v>0.59677419354838712</v>
      </c>
      <c r="AA4" s="122">
        <v>109.9</v>
      </c>
      <c r="AB4" s="122">
        <v>106.8</v>
      </c>
      <c r="AC4" s="122">
        <f t="shared" si="0"/>
        <v>3.1000000000000085</v>
      </c>
      <c r="AD4" s="122">
        <v>34.799999999999997</v>
      </c>
      <c r="AE4" s="122">
        <v>20.7</v>
      </c>
      <c r="AF4" s="65">
        <v>0.58599999999999997</v>
      </c>
      <c r="AG4" s="122">
        <v>23.4</v>
      </c>
      <c r="AH4" s="122">
        <v>4.2</v>
      </c>
      <c r="AI4" s="122">
        <v>3.3</v>
      </c>
      <c r="AJ4" s="65">
        <v>0.16800000000000001</v>
      </c>
      <c r="AK4" s="122">
        <v>2.1</v>
      </c>
      <c r="AL4" s="122">
        <v>1.1000000000000001</v>
      </c>
      <c r="AM4" s="122">
        <v>2.9</v>
      </c>
      <c r="AN4" s="122">
        <v>15.6</v>
      </c>
    </row>
    <row r="5" spans="1:44" x14ac:dyDescent="0.2">
      <c r="A5" s="3">
        <v>33</v>
      </c>
      <c r="B5" s="3" t="s">
        <v>206</v>
      </c>
      <c r="C5" s="3" t="s">
        <v>236</v>
      </c>
      <c r="D5" s="108">
        <v>611</v>
      </c>
      <c r="E5" s="108">
        <v>74</v>
      </c>
      <c r="F5" s="109">
        <v>250</v>
      </c>
      <c r="G5" s="4">
        <v>35148</v>
      </c>
      <c r="H5" s="113">
        <f t="shared" ca="1" si="1"/>
        <v>24.5</v>
      </c>
      <c r="I5" s="3" t="s">
        <v>424</v>
      </c>
      <c r="J5" s="3">
        <v>6</v>
      </c>
      <c r="K5" s="112">
        <v>2015</v>
      </c>
      <c r="L5" s="112">
        <v>11</v>
      </c>
      <c r="M5" s="3" t="s">
        <v>1023</v>
      </c>
      <c r="N5" s="3" t="s">
        <v>1</v>
      </c>
      <c r="O5" s="3" t="s">
        <v>2282</v>
      </c>
      <c r="P5" s="11">
        <v>18000000</v>
      </c>
      <c r="Q5" s="11">
        <v>18000000</v>
      </c>
      <c r="R5" s="11">
        <v>18000000</v>
      </c>
      <c r="S5" s="14">
        <f>R5*1.5</f>
        <v>27000000</v>
      </c>
      <c r="T5" s="3"/>
      <c r="V5" s="60" t="s">
        <v>1024</v>
      </c>
      <c r="W5" s="98" t="s">
        <v>240</v>
      </c>
      <c r="X5" s="69">
        <v>5</v>
      </c>
      <c r="Y5" s="69">
        <v>55</v>
      </c>
      <c r="Z5" s="65">
        <f>32/55</f>
        <v>0.58181818181818179</v>
      </c>
      <c r="AA5" s="122">
        <v>107.1</v>
      </c>
      <c r="AB5" s="122">
        <v>106.2</v>
      </c>
      <c r="AC5" s="122">
        <f t="shared" si="0"/>
        <v>0.89999999999999147</v>
      </c>
      <c r="AD5" s="122">
        <v>29.6</v>
      </c>
      <c r="AE5" s="122">
        <v>14.7</v>
      </c>
      <c r="AF5" s="65">
        <v>0.56100000000000005</v>
      </c>
      <c r="AG5" s="122">
        <v>17.5</v>
      </c>
      <c r="AH5" s="122">
        <v>1</v>
      </c>
      <c r="AI5" s="122">
        <v>2.8</v>
      </c>
      <c r="AJ5" s="65">
        <v>0.111</v>
      </c>
      <c r="AK5" s="122">
        <v>-0.9</v>
      </c>
      <c r="AL5" s="122">
        <v>1.1000000000000001</v>
      </c>
      <c r="AM5" s="122">
        <v>0.9</v>
      </c>
      <c r="AN5" s="122">
        <v>9.6</v>
      </c>
    </row>
    <row r="6" spans="1:44" x14ac:dyDescent="0.2">
      <c r="A6" s="3">
        <v>1</v>
      </c>
      <c r="B6" s="3" t="s">
        <v>1025</v>
      </c>
      <c r="C6" s="3" t="s">
        <v>244</v>
      </c>
      <c r="D6" s="108">
        <v>68</v>
      </c>
      <c r="E6" s="108">
        <v>610</v>
      </c>
      <c r="F6" s="109">
        <v>220</v>
      </c>
      <c r="G6" s="4">
        <v>34217</v>
      </c>
      <c r="H6" s="113">
        <f t="shared" ca="1" si="1"/>
        <v>27.1</v>
      </c>
      <c r="I6" s="3" t="s">
        <v>1026</v>
      </c>
      <c r="J6" s="3">
        <v>7</v>
      </c>
      <c r="K6" s="112">
        <v>2014</v>
      </c>
      <c r="L6" s="112">
        <v>14</v>
      </c>
      <c r="M6" s="3" t="s">
        <v>1027</v>
      </c>
      <c r="N6" s="3" t="s">
        <v>833</v>
      </c>
      <c r="O6" s="3" t="s">
        <v>2283</v>
      </c>
      <c r="P6" s="11">
        <v>11750000</v>
      </c>
      <c r="Q6" s="11">
        <v>12690000</v>
      </c>
      <c r="R6" s="14">
        <f>Q6*1.5</f>
        <v>19035000</v>
      </c>
      <c r="S6" s="12"/>
      <c r="T6" s="12"/>
      <c r="W6" s="60" t="s">
        <v>1028</v>
      </c>
      <c r="X6" s="69">
        <v>3</v>
      </c>
      <c r="Y6" s="69">
        <v>61</v>
      </c>
      <c r="Z6" s="65">
        <f>38/61</f>
        <v>0.62295081967213117</v>
      </c>
      <c r="AA6" s="122">
        <v>108.8</v>
      </c>
      <c r="AB6" s="122">
        <v>107.4</v>
      </c>
      <c r="AC6" s="122">
        <f t="shared" si="0"/>
        <v>1.3999999999999915</v>
      </c>
      <c r="AD6" s="122">
        <v>32.5</v>
      </c>
      <c r="AE6" s="122">
        <v>17.2</v>
      </c>
      <c r="AF6" s="65">
        <v>0.59899999999999998</v>
      </c>
      <c r="AG6" s="122">
        <v>22.8</v>
      </c>
      <c r="AH6" s="122">
        <v>3.1</v>
      </c>
      <c r="AI6" s="122">
        <v>2.2000000000000002</v>
      </c>
      <c r="AJ6" s="65">
        <v>0.129</v>
      </c>
      <c r="AK6" s="122">
        <v>0.4</v>
      </c>
      <c r="AL6" s="122">
        <v>-0.2</v>
      </c>
      <c r="AM6" s="122">
        <v>1.1000000000000001</v>
      </c>
      <c r="AN6" s="122">
        <v>10.5</v>
      </c>
    </row>
    <row r="7" spans="1:44" x14ac:dyDescent="0.2">
      <c r="A7" s="3">
        <v>26</v>
      </c>
      <c r="B7" s="3" t="s">
        <v>1029</v>
      </c>
      <c r="C7" s="3" t="s">
        <v>255</v>
      </c>
      <c r="D7" s="108">
        <v>65</v>
      </c>
      <c r="E7" s="108">
        <v>611</v>
      </c>
      <c r="F7" s="109">
        <v>180</v>
      </c>
      <c r="G7" s="4">
        <v>33754</v>
      </c>
      <c r="H7" s="113">
        <f t="shared" ca="1" si="1"/>
        <v>28.4</v>
      </c>
      <c r="I7" s="3" t="s">
        <v>352</v>
      </c>
      <c r="J7" s="3">
        <v>9</v>
      </c>
      <c r="K7" s="112">
        <v>2012</v>
      </c>
      <c r="L7" s="112">
        <v>12</v>
      </c>
      <c r="M7" s="3" t="s">
        <v>427</v>
      </c>
      <c r="N7" s="3" t="s">
        <v>285</v>
      </c>
      <c r="O7" s="3" t="s">
        <v>2284</v>
      </c>
      <c r="P7" s="11">
        <v>10500000</v>
      </c>
      <c r="Q7" s="11">
        <v>10500000</v>
      </c>
      <c r="R7" s="14">
        <f>Q7*1.9</f>
        <v>19950000</v>
      </c>
      <c r="S7" s="12"/>
      <c r="T7" s="12"/>
      <c r="W7" s="60" t="s">
        <v>1030</v>
      </c>
      <c r="X7" s="69">
        <v>2</v>
      </c>
      <c r="Y7" s="69">
        <v>46</v>
      </c>
      <c r="Z7" s="65">
        <f>27/46</f>
        <v>0.58695652173913049</v>
      </c>
      <c r="AA7" s="122">
        <v>108.9</v>
      </c>
      <c r="AB7" s="122">
        <v>109.8</v>
      </c>
      <c r="AC7" s="122">
        <f t="shared" si="0"/>
        <v>-0.89999999999999147</v>
      </c>
      <c r="AD7" s="122">
        <v>28.1</v>
      </c>
      <c r="AE7" s="122">
        <v>14.1</v>
      </c>
      <c r="AF7" s="65">
        <v>0.54700000000000004</v>
      </c>
      <c r="AG7" s="122">
        <v>9.9000000000000005E-2</v>
      </c>
      <c r="AH7" s="122">
        <v>0.9</v>
      </c>
      <c r="AI7" s="122">
        <v>1.8</v>
      </c>
      <c r="AJ7" s="65">
        <v>9.9000000000000005E-2</v>
      </c>
      <c r="AK7" s="122">
        <v>-1.1000000000000001</v>
      </c>
      <c r="AL7" s="122">
        <v>0.7</v>
      </c>
      <c r="AM7" s="122">
        <v>0.5</v>
      </c>
      <c r="AN7" s="122">
        <v>9.5</v>
      </c>
    </row>
    <row r="8" spans="1:44" x14ac:dyDescent="0.2">
      <c r="A8" s="3">
        <v>20</v>
      </c>
      <c r="B8" s="3" t="s">
        <v>1031</v>
      </c>
      <c r="C8" s="3" t="s">
        <v>244</v>
      </c>
      <c r="D8" s="108">
        <v>67</v>
      </c>
      <c r="E8" s="108">
        <v>69</v>
      </c>
      <c r="F8" s="109">
        <v>225</v>
      </c>
      <c r="G8" s="4">
        <v>33606</v>
      </c>
      <c r="H8" s="113">
        <f t="shared" ca="1" si="1"/>
        <v>28.8</v>
      </c>
      <c r="I8" s="3" t="s">
        <v>862</v>
      </c>
      <c r="J8" s="3">
        <v>7</v>
      </c>
      <c r="K8" s="112">
        <v>2014</v>
      </c>
      <c r="L8" s="112">
        <v>11</v>
      </c>
      <c r="M8" s="3" t="s">
        <v>1032</v>
      </c>
      <c r="N8" s="3" t="s">
        <v>285</v>
      </c>
      <c r="O8" s="3" t="s">
        <v>2285</v>
      </c>
      <c r="P8" s="11">
        <v>7333333</v>
      </c>
      <c r="Q8" s="14">
        <f>P8*1.9</f>
        <v>13933332.699999999</v>
      </c>
      <c r="R8" s="12"/>
      <c r="S8" s="12"/>
      <c r="T8" s="12"/>
      <c r="W8" s="60" t="s">
        <v>1033</v>
      </c>
      <c r="X8" s="69">
        <v>4</v>
      </c>
      <c r="Y8" s="69">
        <v>62</v>
      </c>
      <c r="Z8" s="65">
        <f>37/62</f>
        <v>0.59677419354838712</v>
      </c>
      <c r="AA8" s="122">
        <v>109.4</v>
      </c>
      <c r="AB8" s="122">
        <v>105.4</v>
      </c>
      <c r="AC8" s="122">
        <f t="shared" si="0"/>
        <v>4</v>
      </c>
      <c r="AD8" s="122">
        <v>20</v>
      </c>
      <c r="AE8" s="122">
        <v>14.3</v>
      </c>
      <c r="AF8" s="65">
        <v>0.626</v>
      </c>
      <c r="AG8" s="122">
        <v>19.600000000000001</v>
      </c>
      <c r="AH8" s="122">
        <v>2.1</v>
      </c>
      <c r="AI8" s="122">
        <v>0.9</v>
      </c>
      <c r="AJ8" s="65">
        <v>0.115</v>
      </c>
      <c r="AK8" s="122">
        <v>1.5</v>
      </c>
      <c r="AL8" s="122">
        <v>-1.5</v>
      </c>
      <c r="AM8" s="122">
        <v>0.6</v>
      </c>
      <c r="AN8" s="122">
        <v>9.1999999999999993</v>
      </c>
    </row>
    <row r="9" spans="1:44" x14ac:dyDescent="0.2">
      <c r="A9" s="3">
        <v>22</v>
      </c>
      <c r="B9" s="3" t="s">
        <v>1044</v>
      </c>
      <c r="C9" s="3" t="s">
        <v>236</v>
      </c>
      <c r="D9" s="108">
        <v>610</v>
      </c>
      <c r="E9" s="108">
        <v>611</v>
      </c>
      <c r="F9" s="109">
        <v>222</v>
      </c>
      <c r="G9" s="4">
        <v>35550</v>
      </c>
      <c r="H9" s="113">
        <f t="shared" ca="1" si="1"/>
        <v>23.4</v>
      </c>
      <c r="I9" s="3" t="s">
        <v>564</v>
      </c>
      <c r="J9" s="3">
        <v>4</v>
      </c>
      <c r="K9" s="112">
        <v>2017</v>
      </c>
      <c r="L9" s="112">
        <v>18</v>
      </c>
      <c r="M9" s="3" t="s">
        <v>1045</v>
      </c>
      <c r="N9" s="3" t="s">
        <v>247</v>
      </c>
      <c r="O9" s="3" t="s">
        <v>2286</v>
      </c>
      <c r="P9" s="11">
        <v>4326825</v>
      </c>
      <c r="Q9" s="50">
        <v>12980475</v>
      </c>
      <c r="R9" s="12"/>
      <c r="S9" s="12"/>
      <c r="T9" s="12"/>
      <c r="W9" s="60" t="s">
        <v>1046</v>
      </c>
      <c r="X9" s="69">
        <v>4</v>
      </c>
      <c r="Y9" s="69">
        <v>25</v>
      </c>
      <c r="Z9" s="65">
        <f>14/25</f>
        <v>0.56000000000000005</v>
      </c>
      <c r="AA9" s="122">
        <v>95.8</v>
      </c>
      <c r="AB9" s="122">
        <v>97.6</v>
      </c>
      <c r="AC9" s="122">
        <f t="shared" si="0"/>
        <v>-1.7999999999999972</v>
      </c>
      <c r="AD9" s="122">
        <v>7.7</v>
      </c>
      <c r="AE9" s="122">
        <v>13.8</v>
      </c>
      <c r="AF9" s="65">
        <v>0.48499999999999999</v>
      </c>
      <c r="AG9" s="122">
        <v>18.5</v>
      </c>
      <c r="AH9" s="122">
        <v>0</v>
      </c>
      <c r="AI9" s="122">
        <v>0.3</v>
      </c>
      <c r="AJ9" s="65">
        <v>8.7999999999999995E-2</v>
      </c>
      <c r="AK9" s="122">
        <v>-1.4</v>
      </c>
      <c r="AL9" s="122">
        <v>-0.1</v>
      </c>
      <c r="AM9" s="122">
        <v>0</v>
      </c>
      <c r="AN9" s="122">
        <v>10.199999999999999</v>
      </c>
    </row>
    <row r="10" spans="1:44" x14ac:dyDescent="0.2">
      <c r="A10" s="3">
        <v>9</v>
      </c>
      <c r="B10" s="3" t="s">
        <v>69</v>
      </c>
      <c r="C10" s="3" t="s">
        <v>232</v>
      </c>
      <c r="D10" s="108">
        <v>61</v>
      </c>
      <c r="E10" s="108">
        <v>60</v>
      </c>
      <c r="F10" s="109">
        <v>190</v>
      </c>
      <c r="G10" s="4">
        <v>33688</v>
      </c>
      <c r="H10" s="113">
        <f t="shared" ca="1" si="1"/>
        <v>28.5</v>
      </c>
      <c r="I10" s="3" t="s">
        <v>537</v>
      </c>
      <c r="J10" s="3">
        <v>6</v>
      </c>
      <c r="K10" s="112">
        <v>2015</v>
      </c>
      <c r="L10" s="112"/>
      <c r="M10" s="3" t="s">
        <v>751</v>
      </c>
      <c r="N10" s="3" t="s">
        <v>285</v>
      </c>
      <c r="O10" s="163" t="s">
        <v>729</v>
      </c>
      <c r="P10" s="15">
        <v>3500000</v>
      </c>
      <c r="Q10" s="14">
        <f>P10*1.3</f>
        <v>4550000</v>
      </c>
      <c r="R10" s="12"/>
      <c r="S10" s="12"/>
      <c r="T10" s="12"/>
      <c r="W10" s="60" t="s">
        <v>1039</v>
      </c>
      <c r="X10" s="69">
        <v>1</v>
      </c>
      <c r="Y10" s="69">
        <v>63</v>
      </c>
      <c r="Z10" s="65">
        <f>38/63</f>
        <v>0.60317460317460314</v>
      </c>
      <c r="AA10" s="122">
        <v>108</v>
      </c>
      <c r="AB10" s="122">
        <v>107.3</v>
      </c>
      <c r="AC10" s="122">
        <f t="shared" si="0"/>
        <v>0.70000000000000284</v>
      </c>
      <c r="AD10" s="122">
        <v>18.899999999999999</v>
      </c>
      <c r="AE10" s="122">
        <v>16.2</v>
      </c>
      <c r="AF10" s="65">
        <v>0.54100000000000004</v>
      </c>
      <c r="AG10" s="122">
        <v>17.2</v>
      </c>
      <c r="AH10" s="122">
        <v>1.6</v>
      </c>
      <c r="AI10" s="122">
        <v>1.4</v>
      </c>
      <c r="AJ10" s="65">
        <v>0.11899999999999999</v>
      </c>
      <c r="AK10" s="122">
        <v>0.1</v>
      </c>
      <c r="AL10" s="122">
        <v>0.2</v>
      </c>
      <c r="AM10" s="122">
        <v>0.7</v>
      </c>
      <c r="AN10" s="122">
        <v>12</v>
      </c>
    </row>
    <row r="11" spans="1:44" x14ac:dyDescent="0.2">
      <c r="A11" s="3">
        <v>88</v>
      </c>
      <c r="B11" s="3" t="s">
        <v>1040</v>
      </c>
      <c r="C11" s="3" t="s">
        <v>236</v>
      </c>
      <c r="D11" s="108">
        <v>611</v>
      </c>
      <c r="E11" s="108">
        <v>72</v>
      </c>
      <c r="F11" s="109">
        <v>250</v>
      </c>
      <c r="G11" s="4">
        <v>36361</v>
      </c>
      <c r="H11" s="113">
        <f t="shared" ca="1" si="1"/>
        <v>21.2</v>
      </c>
      <c r="I11" s="3" t="s">
        <v>1041</v>
      </c>
      <c r="J11" s="3">
        <v>2</v>
      </c>
      <c r="K11" s="112">
        <v>2019</v>
      </c>
      <c r="L11" s="112">
        <v>18</v>
      </c>
      <c r="M11" s="3" t="s">
        <v>1042</v>
      </c>
      <c r="N11" s="3" t="s">
        <v>247</v>
      </c>
      <c r="O11" s="3" t="s">
        <v>2287</v>
      </c>
      <c r="P11" s="11">
        <v>2957520</v>
      </c>
      <c r="Q11" s="51">
        <v>3098400</v>
      </c>
      <c r="R11" s="51">
        <v>4765339</v>
      </c>
      <c r="S11" s="50">
        <v>14296017</v>
      </c>
      <c r="T11" s="3"/>
      <c r="W11" s="60" t="s">
        <v>604</v>
      </c>
      <c r="X11" s="69">
        <v>5</v>
      </c>
      <c r="Y11" s="69">
        <v>49</v>
      </c>
      <c r="Z11" s="65">
        <f>29/49</f>
        <v>0.59183673469387754</v>
      </c>
      <c r="AA11" s="122">
        <v>101.6</v>
      </c>
      <c r="AB11" s="122">
        <v>104.1</v>
      </c>
      <c r="AC11" s="122">
        <f t="shared" si="0"/>
        <v>-2.5</v>
      </c>
      <c r="AD11" s="122">
        <v>8.4</v>
      </c>
      <c r="AE11" s="122">
        <v>12.2</v>
      </c>
      <c r="AF11" s="65">
        <v>0.53</v>
      </c>
      <c r="AG11" s="122">
        <v>18.100000000000001</v>
      </c>
      <c r="AH11" s="122">
        <v>-0.1</v>
      </c>
      <c r="AI11" s="122">
        <v>0.7</v>
      </c>
      <c r="AJ11" s="65">
        <v>6.9000000000000006E-2</v>
      </c>
      <c r="AK11" s="122">
        <v>-4</v>
      </c>
      <c r="AL11" s="122">
        <v>1.5</v>
      </c>
      <c r="AM11" s="122">
        <v>0</v>
      </c>
      <c r="AN11" s="122">
        <v>7.5</v>
      </c>
    </row>
    <row r="12" spans="1:44" x14ac:dyDescent="0.2">
      <c r="A12" s="3">
        <v>3</v>
      </c>
      <c r="B12" s="3" t="s">
        <v>1047</v>
      </c>
      <c r="C12" s="3" t="s">
        <v>250</v>
      </c>
      <c r="D12" s="108">
        <v>60</v>
      </c>
      <c r="E12" s="108">
        <v>68</v>
      </c>
      <c r="F12" s="109">
        <v>185</v>
      </c>
      <c r="G12" s="4">
        <v>35338</v>
      </c>
      <c r="H12" s="113">
        <f t="shared" ca="1" si="1"/>
        <v>24</v>
      </c>
      <c r="I12" s="3" t="s">
        <v>564</v>
      </c>
      <c r="J12" s="3">
        <v>3</v>
      </c>
      <c r="K12" s="112">
        <v>2018</v>
      </c>
      <c r="L12" s="112">
        <v>23</v>
      </c>
      <c r="M12" s="3" t="s">
        <v>1048</v>
      </c>
      <c r="N12" s="3" t="s">
        <v>247</v>
      </c>
      <c r="O12" s="3" t="s">
        <v>2156</v>
      </c>
      <c r="P12" s="11">
        <v>2345640</v>
      </c>
      <c r="Q12" s="51">
        <v>3980551</v>
      </c>
      <c r="R12" s="50">
        <v>11941653</v>
      </c>
      <c r="S12" s="12"/>
      <c r="T12" s="12"/>
      <c r="W12" s="98" t="s">
        <v>291</v>
      </c>
      <c r="X12" s="69">
        <v>1</v>
      </c>
      <c r="Y12" s="69">
        <v>58</v>
      </c>
      <c r="Z12" s="65">
        <f>36/58</f>
        <v>0.62068965517241381</v>
      </c>
      <c r="AA12" s="122">
        <v>109.4</v>
      </c>
      <c r="AB12" s="122">
        <v>107.4</v>
      </c>
      <c r="AC12" s="122">
        <f t="shared" si="0"/>
        <v>2</v>
      </c>
      <c r="AD12" s="122">
        <v>23.6</v>
      </c>
      <c r="AE12" s="122">
        <v>11.7</v>
      </c>
      <c r="AF12" s="65">
        <v>0.51700000000000002</v>
      </c>
      <c r="AG12" s="122">
        <v>19.399999999999999</v>
      </c>
      <c r="AH12" s="122">
        <v>0.4</v>
      </c>
      <c r="AI12" s="122">
        <v>1.4</v>
      </c>
      <c r="AJ12" s="65">
        <v>0.06</v>
      </c>
      <c r="AK12" s="122">
        <v>-1.4</v>
      </c>
      <c r="AL12" s="122">
        <v>-0.3</v>
      </c>
      <c r="AM12" s="122">
        <v>0.1</v>
      </c>
      <c r="AN12" s="122">
        <v>7.7</v>
      </c>
    </row>
    <row r="13" spans="1:44" x14ac:dyDescent="0.2">
      <c r="A13" s="3">
        <v>5</v>
      </c>
      <c r="B13" s="3" t="s">
        <v>1049</v>
      </c>
      <c r="C13" s="3" t="s">
        <v>255</v>
      </c>
      <c r="D13" s="108">
        <v>64</v>
      </c>
      <c r="E13" s="108">
        <v>68</v>
      </c>
      <c r="F13" s="109">
        <v>196</v>
      </c>
      <c r="G13" s="4">
        <v>35064</v>
      </c>
      <c r="H13" s="113">
        <f t="shared" ca="1" si="1"/>
        <v>24.8</v>
      </c>
      <c r="I13" s="3" t="s">
        <v>1050</v>
      </c>
      <c r="J13" s="3">
        <v>4</v>
      </c>
      <c r="K13" s="112">
        <v>2017</v>
      </c>
      <c r="L13" s="112">
        <v>52</v>
      </c>
      <c r="M13" s="3" t="s">
        <v>1051</v>
      </c>
      <c r="N13" s="3" t="s">
        <v>285</v>
      </c>
      <c r="O13" s="3" t="s">
        <v>2288</v>
      </c>
      <c r="P13" s="11">
        <v>2160000</v>
      </c>
      <c r="Q13" s="49">
        <v>2320000</v>
      </c>
      <c r="R13" s="14">
        <v>4408000</v>
      </c>
      <c r="S13" s="12"/>
      <c r="T13" s="12"/>
      <c r="W13" s="60" t="s">
        <v>1052</v>
      </c>
      <c r="X13" s="69">
        <v>2</v>
      </c>
      <c r="Y13" s="69">
        <v>25</v>
      </c>
      <c r="Z13" s="65">
        <f>11/25</f>
        <v>0.44</v>
      </c>
      <c r="AA13" s="122">
        <v>106.6</v>
      </c>
      <c r="AB13" s="122">
        <v>110.2</v>
      </c>
      <c r="AC13" s="122">
        <f t="shared" si="0"/>
        <v>-3.6000000000000085</v>
      </c>
      <c r="AD13" s="122">
        <v>13.8</v>
      </c>
      <c r="AE13" s="122">
        <v>10</v>
      </c>
      <c r="AF13" s="65">
        <v>0.48499999999999999</v>
      </c>
      <c r="AG13" s="122">
        <v>17.399999999999999</v>
      </c>
      <c r="AH13" s="122">
        <v>-0.1</v>
      </c>
      <c r="AI13" s="122">
        <v>0.4</v>
      </c>
      <c r="AJ13" s="65">
        <v>3.9E-2</v>
      </c>
      <c r="AK13" s="122">
        <v>-3.6</v>
      </c>
      <c r="AL13" s="122">
        <v>0.4</v>
      </c>
      <c r="AM13" s="122">
        <v>-0.1</v>
      </c>
      <c r="AN13" s="122">
        <v>5.6</v>
      </c>
    </row>
    <row r="14" spans="1:44" x14ac:dyDescent="0.2">
      <c r="A14" s="3"/>
      <c r="B14" s="3" t="s">
        <v>297</v>
      </c>
      <c r="C14" s="3"/>
      <c r="D14" s="3"/>
      <c r="E14" s="3"/>
      <c r="F14" s="3"/>
      <c r="G14" s="3"/>
      <c r="H14" s="3"/>
      <c r="I14" s="3"/>
      <c r="J14" s="3"/>
      <c r="K14" s="112"/>
      <c r="L14" s="112"/>
      <c r="M14" s="58"/>
      <c r="N14" s="55"/>
      <c r="O14" s="55"/>
      <c r="P14" s="22">
        <v>2245400</v>
      </c>
      <c r="Q14" s="22">
        <v>2245400</v>
      </c>
      <c r="R14" s="3"/>
      <c r="S14" s="11"/>
      <c r="T14" s="3"/>
      <c r="X14" s="69"/>
      <c r="Y14" s="69"/>
      <c r="Z14" s="65"/>
      <c r="AF14" s="65"/>
      <c r="AJ14" s="65"/>
    </row>
    <row r="15" spans="1:44" x14ac:dyDescent="0.2">
      <c r="B15" s="3" t="s">
        <v>2186</v>
      </c>
      <c r="K15" s="78"/>
      <c r="L15" s="78"/>
      <c r="M15" s="78"/>
      <c r="N15" s="78"/>
      <c r="O15" s="195"/>
      <c r="P15" s="179">
        <v>898310</v>
      </c>
      <c r="S15" s="149"/>
      <c r="X15" s="69"/>
      <c r="Y15" s="69"/>
      <c r="Z15" s="65"/>
      <c r="AF15" s="65"/>
      <c r="AJ15" s="65"/>
    </row>
    <row r="16" spans="1:44" x14ac:dyDescent="0.2">
      <c r="B16" s="5"/>
      <c r="K16" s="78"/>
      <c r="L16" s="78"/>
      <c r="M16" s="78"/>
      <c r="N16" s="78"/>
      <c r="O16" s="195"/>
      <c r="S16" s="149"/>
      <c r="X16" s="69"/>
      <c r="Y16" s="69"/>
      <c r="Z16" s="65"/>
      <c r="AF16" s="65"/>
      <c r="AJ16" s="65"/>
    </row>
    <row r="17" spans="1:40" x14ac:dyDescent="0.2">
      <c r="A17" s="3">
        <v>8</v>
      </c>
      <c r="B17" s="3" t="s">
        <v>68</v>
      </c>
      <c r="C17" s="3" t="s">
        <v>255</v>
      </c>
      <c r="D17" s="108">
        <v>66</v>
      </c>
      <c r="E17" s="108">
        <v>70</v>
      </c>
      <c r="F17" s="109">
        <v>180</v>
      </c>
      <c r="G17" s="4">
        <v>32603</v>
      </c>
      <c r="H17" s="113">
        <f t="shared" ref="H17:H21" ca="1" si="2">ROUNDDOWN(YEARFRAC($G$23,G17),1)</f>
        <v>31.5</v>
      </c>
      <c r="I17" s="3" t="s">
        <v>1034</v>
      </c>
      <c r="J17" s="3">
        <v>8</v>
      </c>
      <c r="K17" s="112">
        <v>2011</v>
      </c>
      <c r="L17" s="112"/>
      <c r="M17" s="3" t="s">
        <v>531</v>
      </c>
      <c r="N17" s="3"/>
      <c r="O17" s="3"/>
      <c r="P17" s="14">
        <v>5720400</v>
      </c>
      <c r="Q17" s="3"/>
      <c r="R17" s="12"/>
      <c r="S17" s="12"/>
      <c r="T17" s="12"/>
      <c r="W17" s="60" t="s">
        <v>1035</v>
      </c>
      <c r="X17" s="69">
        <v>3</v>
      </c>
      <c r="Y17" s="69">
        <v>65</v>
      </c>
      <c r="Z17" s="65">
        <f>39/65</f>
        <v>0.6</v>
      </c>
      <c r="AA17" s="122">
        <v>108.2</v>
      </c>
      <c r="AB17" s="122">
        <v>106.3</v>
      </c>
      <c r="AC17" s="122">
        <f t="shared" ref="AC17:AC19" si="3">AA17-AB17</f>
        <v>1.9000000000000057</v>
      </c>
      <c r="AD17" s="122">
        <v>24.9</v>
      </c>
      <c r="AE17" s="122">
        <v>12.7</v>
      </c>
      <c r="AF17" s="65">
        <v>0.59799999999999998</v>
      </c>
      <c r="AG17" s="122">
        <v>13.5</v>
      </c>
      <c r="AH17" s="122">
        <v>1.7</v>
      </c>
      <c r="AI17" s="122">
        <v>2.2000000000000002</v>
      </c>
      <c r="AJ17" s="65">
        <v>0.11700000000000001</v>
      </c>
      <c r="AK17" s="122">
        <v>0</v>
      </c>
      <c r="AL17" s="122">
        <v>1.7</v>
      </c>
      <c r="AM17" s="122">
        <v>1.5</v>
      </c>
      <c r="AN17" s="122">
        <v>7.8</v>
      </c>
    </row>
    <row r="18" spans="1:40" x14ac:dyDescent="0.2">
      <c r="A18" s="3">
        <v>14</v>
      </c>
      <c r="B18" s="3" t="s">
        <v>70</v>
      </c>
      <c r="C18" s="3" t="s">
        <v>236</v>
      </c>
      <c r="D18" s="108">
        <v>67</v>
      </c>
      <c r="E18" s="108">
        <v>611</v>
      </c>
      <c r="F18" s="109">
        <v>214</v>
      </c>
      <c r="G18" s="4">
        <v>34048</v>
      </c>
      <c r="H18" s="113">
        <f t="shared" ca="1" si="2"/>
        <v>27.5</v>
      </c>
      <c r="I18" s="3" t="s">
        <v>1053</v>
      </c>
      <c r="J18" s="3">
        <v>6</v>
      </c>
      <c r="K18" s="112">
        <v>2014</v>
      </c>
      <c r="L18" s="112"/>
      <c r="M18" s="3" t="s">
        <v>1054</v>
      </c>
      <c r="N18" s="3"/>
      <c r="O18" s="3"/>
      <c r="P18" s="14">
        <v>1620564</v>
      </c>
      <c r="Q18" s="3"/>
      <c r="R18" s="3"/>
      <c r="S18" s="12"/>
      <c r="T18" s="12"/>
      <c r="W18" s="60" t="s">
        <v>1055</v>
      </c>
      <c r="X18" s="69">
        <v>3</v>
      </c>
      <c r="Y18" s="69">
        <v>26</v>
      </c>
      <c r="Z18" s="65">
        <f>15/26</f>
        <v>0.57692307692307687</v>
      </c>
      <c r="AA18" s="122">
        <v>108</v>
      </c>
      <c r="AB18" s="122">
        <v>106</v>
      </c>
      <c r="AC18" s="122">
        <f t="shared" si="3"/>
        <v>2</v>
      </c>
      <c r="AD18" s="122">
        <v>13.1</v>
      </c>
      <c r="AE18" s="122">
        <v>11.8</v>
      </c>
      <c r="AF18" s="65">
        <v>0.60699999999999998</v>
      </c>
      <c r="AG18" s="122">
        <v>12.5</v>
      </c>
      <c r="AH18" s="122">
        <v>0.4</v>
      </c>
      <c r="AI18" s="122">
        <v>0.4</v>
      </c>
      <c r="AJ18" s="65">
        <v>0.11700000000000001</v>
      </c>
      <c r="AK18" s="122">
        <v>-2.7</v>
      </c>
      <c r="AL18" s="122">
        <v>0.8</v>
      </c>
      <c r="AM18" s="122">
        <v>0</v>
      </c>
      <c r="AN18" s="122">
        <v>6.5</v>
      </c>
    </row>
    <row r="19" spans="1:40" x14ac:dyDescent="0.2">
      <c r="A19" s="3">
        <v>24</v>
      </c>
      <c r="B19" s="3" t="s">
        <v>71</v>
      </c>
      <c r="C19" s="3" t="s">
        <v>236</v>
      </c>
      <c r="D19" s="108">
        <v>67</v>
      </c>
      <c r="E19" s="108">
        <v>69</v>
      </c>
      <c r="F19" s="109">
        <v>212</v>
      </c>
      <c r="G19" s="4">
        <v>35177</v>
      </c>
      <c r="H19" s="113">
        <f t="shared" ca="1" si="2"/>
        <v>24.5</v>
      </c>
      <c r="I19" s="3" t="s">
        <v>1056</v>
      </c>
      <c r="J19" s="3">
        <v>3</v>
      </c>
      <c r="K19" s="112">
        <v>2018</v>
      </c>
      <c r="L19" s="112">
        <v>50</v>
      </c>
      <c r="M19" s="3" t="s">
        <v>1057</v>
      </c>
      <c r="N19" s="3"/>
      <c r="O19" s="3"/>
      <c r="P19" s="50">
        <v>1820564</v>
      </c>
      <c r="Q19" s="12"/>
      <c r="R19" s="12"/>
      <c r="S19" s="12"/>
      <c r="T19" s="12"/>
      <c r="W19" s="210" t="s">
        <v>1058</v>
      </c>
      <c r="X19" s="69">
        <v>3</v>
      </c>
      <c r="Y19" s="69">
        <v>13</v>
      </c>
      <c r="Z19" s="65">
        <f>8/13</f>
        <v>0.61538461538461542</v>
      </c>
      <c r="AA19" s="122">
        <v>115.8</v>
      </c>
      <c r="AB19" s="122">
        <v>111.1</v>
      </c>
      <c r="AC19" s="122">
        <f t="shared" si="3"/>
        <v>4.7000000000000028</v>
      </c>
      <c r="AD19" s="122">
        <v>4.0999999999999996</v>
      </c>
      <c r="AE19" s="122">
        <v>10.8</v>
      </c>
      <c r="AF19" s="65">
        <v>0.51</v>
      </c>
      <c r="AG19" s="122">
        <v>16.8</v>
      </c>
      <c r="AH19" s="122">
        <v>0</v>
      </c>
      <c r="AI19" s="122">
        <v>0.1</v>
      </c>
      <c r="AJ19" s="65">
        <v>7.0000000000000007E-2</v>
      </c>
      <c r="AK19" s="122">
        <v>-3.2</v>
      </c>
      <c r="AL19" s="122">
        <v>-1.6</v>
      </c>
      <c r="AM19" s="122">
        <v>0</v>
      </c>
      <c r="AN19" s="122">
        <v>6.5</v>
      </c>
    </row>
    <row r="20" spans="1:40" x14ac:dyDescent="0.2">
      <c r="A20" s="3">
        <v>10</v>
      </c>
      <c r="B20" s="3" t="s">
        <v>1059</v>
      </c>
      <c r="C20" s="3" t="s">
        <v>255</v>
      </c>
      <c r="D20" s="108">
        <v>66</v>
      </c>
      <c r="E20" s="108">
        <v>610</v>
      </c>
      <c r="F20" s="109">
        <v>190</v>
      </c>
      <c r="G20" s="4">
        <v>36070</v>
      </c>
      <c r="H20" s="113">
        <f t="shared" ca="1" si="2"/>
        <v>22</v>
      </c>
      <c r="I20" s="3" t="s">
        <v>1060</v>
      </c>
      <c r="J20" s="3">
        <v>2</v>
      </c>
      <c r="K20" s="112">
        <v>2019</v>
      </c>
      <c r="L20" s="112"/>
      <c r="M20" s="3" t="s">
        <v>1061</v>
      </c>
      <c r="N20" s="3"/>
      <c r="O20" s="3"/>
      <c r="P20" s="34"/>
      <c r="Q20" s="12"/>
      <c r="R20" s="12"/>
      <c r="S20" s="12"/>
      <c r="T20" s="12"/>
      <c r="X20" s="69"/>
      <c r="Y20" s="69"/>
      <c r="Z20" s="65"/>
      <c r="AA20" s="122"/>
      <c r="AB20" s="122"/>
      <c r="AC20" s="122"/>
      <c r="AD20" s="122"/>
      <c r="AE20" s="122"/>
      <c r="AF20" s="65"/>
      <c r="AG20" s="122"/>
      <c r="AH20" s="122"/>
      <c r="AI20" s="122"/>
      <c r="AJ20" s="65"/>
      <c r="AK20" s="122"/>
      <c r="AL20" s="122"/>
      <c r="AM20" s="122"/>
      <c r="AN20" s="122"/>
    </row>
    <row r="21" spans="1:40" x14ac:dyDescent="0.2">
      <c r="A21" s="3">
        <v>15</v>
      </c>
      <c r="B21" s="3" t="s">
        <v>1062</v>
      </c>
      <c r="C21" s="3" t="s">
        <v>232</v>
      </c>
      <c r="D21" s="108">
        <v>63</v>
      </c>
      <c r="E21" s="108"/>
      <c r="F21" s="109">
        <v>218</v>
      </c>
      <c r="G21" s="4">
        <v>34184</v>
      </c>
      <c r="H21" s="113">
        <f t="shared" ca="1" si="2"/>
        <v>27.2</v>
      </c>
      <c r="I21" s="3" t="s">
        <v>230</v>
      </c>
      <c r="J21" s="3">
        <v>4</v>
      </c>
      <c r="K21" s="112">
        <v>2017</v>
      </c>
      <c r="L21" s="112"/>
      <c r="M21" s="3" t="s">
        <v>531</v>
      </c>
      <c r="N21" s="3"/>
      <c r="O21" s="3"/>
      <c r="P21" s="34"/>
      <c r="Q21" s="80"/>
      <c r="R21" s="12"/>
      <c r="S21" s="12"/>
      <c r="T21" s="12"/>
      <c r="X21" s="69"/>
      <c r="Y21" s="69"/>
      <c r="Z21" s="65"/>
      <c r="AF21" s="65"/>
      <c r="AJ21" s="65"/>
    </row>
    <row r="22" spans="1:40" x14ac:dyDescent="0.2">
      <c r="A22" s="3"/>
      <c r="B22" s="3"/>
      <c r="C22" s="3"/>
      <c r="D22" s="108"/>
      <c r="E22" s="108"/>
      <c r="F22" s="109"/>
      <c r="G22" s="4"/>
      <c r="H22" s="113"/>
      <c r="I22" s="3"/>
      <c r="J22" s="3"/>
      <c r="K22" s="112"/>
      <c r="L22" s="112"/>
      <c r="M22" s="3"/>
      <c r="N22" s="3"/>
      <c r="O22" s="3"/>
      <c r="P22" s="55"/>
      <c r="Q22" s="80"/>
      <c r="R22" s="12"/>
      <c r="S22" s="12"/>
      <c r="T22" s="12"/>
      <c r="X22" s="69"/>
      <c r="Y22" s="69"/>
      <c r="Z22" s="65"/>
      <c r="AF22" s="65"/>
      <c r="AJ22" s="65"/>
    </row>
    <row r="23" spans="1:40" x14ac:dyDescent="0.2">
      <c r="B23" s="3"/>
      <c r="G23" s="62">
        <f ca="1">TODAY()</f>
        <v>44128</v>
      </c>
      <c r="H23" s="63">
        <f ca="1">AVERAGE(H2:H13)</f>
        <v>25.941666666666666</v>
      </c>
      <c r="J23" s="63">
        <f>AVERAGE(J2:J13)</f>
        <v>5.5</v>
      </c>
      <c r="K23" s="78"/>
      <c r="L23" s="78"/>
      <c r="M23" s="78"/>
      <c r="N23" s="78"/>
      <c r="O23" s="195"/>
      <c r="S23" s="149"/>
      <c r="X23" s="69"/>
      <c r="Y23" s="69"/>
      <c r="Z23" s="65"/>
      <c r="AF23" s="65"/>
      <c r="AJ23" s="65"/>
    </row>
    <row r="24" spans="1:40" ht="17" x14ac:dyDescent="0.2">
      <c r="E24" s="62"/>
      <c r="F24" s="63"/>
      <c r="G24" s="62"/>
      <c r="H24" s="63">
        <f ca="1">MEDIAN(H2:H13)</f>
        <v>25.950000000000003</v>
      </c>
      <c r="J24" s="69">
        <f>MEDIAN(J2:J13)</f>
        <v>5.5</v>
      </c>
      <c r="K24" s="78"/>
      <c r="L24" s="211"/>
      <c r="M24" s="211"/>
      <c r="N24" s="78"/>
      <c r="O24" s="78"/>
      <c r="P24" s="128"/>
      <c r="Q24" s="128"/>
      <c r="X24" s="69"/>
      <c r="Y24" s="69"/>
      <c r="Z24" s="65"/>
      <c r="AF24" s="65"/>
      <c r="AJ24" s="65"/>
    </row>
    <row r="25" spans="1:40" x14ac:dyDescent="0.2">
      <c r="B25" s="209" t="s">
        <v>2224</v>
      </c>
      <c r="C25" s="121"/>
      <c r="D25" s="19"/>
      <c r="H25" s="63"/>
      <c r="J25" s="209"/>
      <c r="K25" s="121"/>
      <c r="L25" s="19"/>
      <c r="M25" s="78"/>
      <c r="N25" s="78"/>
      <c r="O25" s="78"/>
      <c r="P25" s="81">
        <f>P2+P3+P4+P5+P6+P7+P8+P9+P11+P12+P13+P14+1000000</f>
        <v>124118718</v>
      </c>
      <c r="X25" s="69"/>
      <c r="Y25" s="69"/>
      <c r="Z25" s="65"/>
      <c r="AF25" s="65"/>
    </row>
    <row r="26" spans="1:40" x14ac:dyDescent="0.2">
      <c r="B26" s="3" t="s">
        <v>2085</v>
      </c>
      <c r="C26" s="78">
        <v>11</v>
      </c>
      <c r="D26" s="121"/>
      <c r="J26" s="3"/>
      <c r="K26" s="78"/>
      <c r="L26" s="121"/>
      <c r="M26" s="78"/>
      <c r="N26" s="78"/>
      <c r="O26" s="78"/>
      <c r="P26" s="124">
        <f>P2+P3+P4+P5+P6+P7+P8+P9+P10+P11+P12+P13+P14</f>
        <v>126618718</v>
      </c>
      <c r="X26" s="69"/>
      <c r="Y26" s="69"/>
      <c r="Z26" s="65"/>
      <c r="AF26" s="65"/>
    </row>
    <row r="27" spans="1:40" x14ac:dyDescent="0.2">
      <c r="B27" s="3" t="s">
        <v>2088</v>
      </c>
      <c r="C27" s="78">
        <v>1</v>
      </c>
      <c r="D27" s="121"/>
      <c r="J27" s="3"/>
      <c r="K27" s="78"/>
      <c r="L27" s="121"/>
      <c r="M27" s="78"/>
      <c r="N27" s="78"/>
      <c r="O27" s="78"/>
      <c r="P27" s="64"/>
      <c r="X27" s="69"/>
      <c r="Y27" s="69"/>
      <c r="AF27" s="65"/>
    </row>
    <row r="28" spans="1:40" x14ac:dyDescent="0.2">
      <c r="B28" s="3" t="s">
        <v>2086</v>
      </c>
      <c r="C28" s="78">
        <v>1</v>
      </c>
      <c r="D28" s="120"/>
      <c r="J28" s="3"/>
      <c r="K28" s="78"/>
      <c r="L28" s="120"/>
      <c r="M28" s="78"/>
      <c r="N28" s="78"/>
      <c r="O28" s="3" t="s">
        <v>300</v>
      </c>
      <c r="P28" s="11">
        <v>109140000</v>
      </c>
    </row>
    <row r="29" spans="1:40" x14ac:dyDescent="0.2">
      <c r="B29" s="3" t="s">
        <v>2219</v>
      </c>
      <c r="C29" s="78" t="s">
        <v>2271</v>
      </c>
      <c r="D29" s="78"/>
      <c r="J29" s="3"/>
      <c r="K29" s="78"/>
      <c r="L29" s="78"/>
      <c r="M29" s="78"/>
      <c r="N29" s="78"/>
      <c r="O29" s="22" t="s">
        <v>302</v>
      </c>
      <c r="P29" s="11">
        <v>132627000</v>
      </c>
    </row>
    <row r="30" spans="1:40" x14ac:dyDescent="0.2">
      <c r="B30" s="24" t="s">
        <v>301</v>
      </c>
      <c r="C30" s="61">
        <v>0</v>
      </c>
      <c r="D30" s="78"/>
      <c r="J30" s="24"/>
      <c r="K30" s="61"/>
      <c r="L30" s="78"/>
      <c r="M30" s="78"/>
      <c r="N30" s="78"/>
      <c r="O30" s="3"/>
    </row>
    <row r="31" spans="1:40" x14ac:dyDescent="0.2">
      <c r="B31" s="3" t="s">
        <v>303</v>
      </c>
      <c r="C31" s="61">
        <v>0</v>
      </c>
      <c r="D31" s="78"/>
      <c r="J31" s="3"/>
      <c r="K31" s="61"/>
      <c r="L31" s="78"/>
      <c r="M31" s="78"/>
      <c r="N31" s="78"/>
      <c r="O31" s="22"/>
    </row>
    <row r="32" spans="1:40" x14ac:dyDescent="0.2">
      <c r="B32" s="3"/>
      <c r="C32" s="41"/>
      <c r="D32" s="3"/>
      <c r="E32" s="3"/>
      <c r="J32" s="3"/>
      <c r="K32" s="58"/>
      <c r="L32" s="78"/>
      <c r="M32" s="78"/>
      <c r="N32" s="78"/>
      <c r="O32" s="3"/>
    </row>
    <row r="33" spans="2:15" x14ac:dyDescent="0.2">
      <c r="B33" s="5" t="s">
        <v>2084</v>
      </c>
      <c r="C33" s="3"/>
      <c r="D33" s="3"/>
      <c r="E33" s="3"/>
      <c r="J33" s="22"/>
      <c r="K33" s="58"/>
      <c r="L33" s="78"/>
      <c r="M33" s="78"/>
      <c r="N33" s="78"/>
      <c r="O33" s="22"/>
    </row>
    <row r="34" spans="2:15" x14ac:dyDescent="0.2">
      <c r="B34" s="3" t="s">
        <v>304</v>
      </c>
      <c r="C34" s="41">
        <f>45/(45+28)</f>
        <v>0.61643835616438358</v>
      </c>
      <c r="D34" s="3" t="s">
        <v>334</v>
      </c>
      <c r="E34" s="3"/>
      <c r="J34" s="3"/>
      <c r="K34" s="58"/>
      <c r="L34" s="78"/>
      <c r="M34" s="78"/>
      <c r="N34" s="78"/>
      <c r="O34" s="3"/>
    </row>
    <row r="35" spans="2:15" x14ac:dyDescent="0.2">
      <c r="B35" s="3" t="s">
        <v>306</v>
      </c>
      <c r="C35" s="113">
        <v>109.5</v>
      </c>
      <c r="D35" s="3" t="s">
        <v>2272</v>
      </c>
      <c r="E35" s="3"/>
    </row>
    <row r="36" spans="2:15" x14ac:dyDescent="0.2">
      <c r="B36" s="3" t="s">
        <v>307</v>
      </c>
      <c r="C36" s="113">
        <v>107.5</v>
      </c>
      <c r="D36" s="3" t="s">
        <v>2216</v>
      </c>
      <c r="E36" s="3"/>
    </row>
    <row r="37" spans="2:15" x14ac:dyDescent="0.2">
      <c r="B37" s="3" t="s">
        <v>308</v>
      </c>
      <c r="C37" s="113">
        <v>1.9</v>
      </c>
      <c r="D37" s="3" t="s">
        <v>2181</v>
      </c>
      <c r="E37" s="3"/>
    </row>
    <row r="38" spans="2:15" x14ac:dyDescent="0.2">
      <c r="B38" s="3" t="s">
        <v>309</v>
      </c>
      <c r="C38" s="36">
        <v>99.41</v>
      </c>
      <c r="D38" s="3" t="s">
        <v>2230</v>
      </c>
      <c r="E38" s="3"/>
    </row>
    <row r="39" spans="2:15" x14ac:dyDescent="0.2">
      <c r="B39" s="3"/>
      <c r="C39" s="3"/>
      <c r="D39" s="3"/>
      <c r="E39" s="3"/>
    </row>
    <row r="40" spans="2:15" x14ac:dyDescent="0.2">
      <c r="B40" s="3" t="s">
        <v>310</v>
      </c>
      <c r="C40" s="3"/>
      <c r="D40" s="3"/>
      <c r="E40" s="3"/>
    </row>
    <row r="41" spans="2:15" x14ac:dyDescent="0.2">
      <c r="B41" s="3" t="s">
        <v>2273</v>
      </c>
      <c r="C41" s="3"/>
      <c r="D41" s="3"/>
      <c r="E41" s="3"/>
    </row>
    <row r="42" spans="2:15" x14ac:dyDescent="0.2">
      <c r="B42" s="3" t="s">
        <v>2274</v>
      </c>
      <c r="C42" s="3"/>
      <c r="D42" s="3"/>
      <c r="E42" s="3"/>
    </row>
    <row r="43" spans="2:15" x14ac:dyDescent="0.2">
      <c r="B43" s="3" t="s">
        <v>2275</v>
      </c>
      <c r="C43" s="3"/>
      <c r="D43" s="3"/>
      <c r="E43" s="3"/>
    </row>
    <row r="44" spans="2:15" x14ac:dyDescent="0.2">
      <c r="B44" s="3" t="s">
        <v>2276</v>
      </c>
      <c r="C44" s="3"/>
      <c r="D44" s="3"/>
      <c r="E44" s="3"/>
    </row>
    <row r="45" spans="2:15" x14ac:dyDescent="0.2">
      <c r="B45" s="3" t="s">
        <v>2277</v>
      </c>
      <c r="C45" s="3"/>
      <c r="D45" s="3"/>
      <c r="E45" s="3"/>
    </row>
    <row r="46" spans="2:15" x14ac:dyDescent="0.2">
      <c r="B46" s="12"/>
      <c r="C46" s="3"/>
      <c r="D46" s="3"/>
      <c r="E46" s="3"/>
    </row>
    <row r="47" spans="2:15" x14ac:dyDescent="0.2">
      <c r="B47" s="3" t="s">
        <v>318</v>
      </c>
      <c r="C47" s="3"/>
      <c r="D47" s="3"/>
      <c r="E47" s="3"/>
    </row>
    <row r="48" spans="2:15" x14ac:dyDescent="0.2">
      <c r="B48" s="3" t="s">
        <v>2278</v>
      </c>
      <c r="C48" s="3"/>
      <c r="D48" s="3"/>
      <c r="E48" s="3"/>
    </row>
    <row r="49" spans="2:10" x14ac:dyDescent="0.2">
      <c r="B49" s="3" t="s">
        <v>2279</v>
      </c>
      <c r="C49" s="3"/>
      <c r="D49" s="3"/>
      <c r="E49" s="3"/>
    </row>
    <row r="50" spans="2:10" x14ac:dyDescent="0.2">
      <c r="B50" s="3" t="s">
        <v>1064</v>
      </c>
      <c r="C50" s="3"/>
      <c r="D50" s="3"/>
      <c r="E50" s="3"/>
    </row>
    <row r="51" spans="2:10" x14ac:dyDescent="0.2">
      <c r="B51" s="3"/>
      <c r="C51" s="3"/>
      <c r="D51" s="3"/>
      <c r="E51" s="3"/>
    </row>
    <row r="52" spans="2:10" x14ac:dyDescent="0.2">
      <c r="B52" s="5" t="s">
        <v>2228</v>
      </c>
      <c r="C52" s="3"/>
      <c r="D52" s="3"/>
      <c r="E52" s="3"/>
    </row>
    <row r="53" spans="2:10" x14ac:dyDescent="0.2">
      <c r="B53" s="39" t="s">
        <v>322</v>
      </c>
      <c r="C53" s="3">
        <v>45</v>
      </c>
      <c r="D53" s="3">
        <v>28</v>
      </c>
      <c r="E53" s="3" t="s">
        <v>334</v>
      </c>
      <c r="G53" s="60" t="s">
        <v>1063</v>
      </c>
      <c r="J53" s="60" t="s">
        <v>554</v>
      </c>
    </row>
    <row r="54" spans="2:10" x14ac:dyDescent="0.2">
      <c r="B54" s="39" t="s">
        <v>325</v>
      </c>
      <c r="C54" s="3">
        <v>48</v>
      </c>
      <c r="D54" s="3">
        <v>34</v>
      </c>
      <c r="E54" s="3" t="s">
        <v>331</v>
      </c>
      <c r="G54" s="60" t="s">
        <v>1063</v>
      </c>
      <c r="J54" s="60" t="s">
        <v>1065</v>
      </c>
    </row>
    <row r="55" spans="2:10" x14ac:dyDescent="0.2">
      <c r="B55" s="39" t="s">
        <v>327</v>
      </c>
      <c r="C55" s="3">
        <v>48</v>
      </c>
      <c r="D55" s="3">
        <v>34</v>
      </c>
      <c r="E55" s="3" t="s">
        <v>331</v>
      </c>
      <c r="G55" s="60" t="s">
        <v>1063</v>
      </c>
      <c r="J55" s="60" t="s">
        <v>1066</v>
      </c>
    </row>
    <row r="56" spans="2:10" x14ac:dyDescent="0.2">
      <c r="B56" s="39" t="s">
        <v>330</v>
      </c>
      <c r="C56" s="3">
        <v>42</v>
      </c>
      <c r="D56" s="3">
        <v>40</v>
      </c>
      <c r="E56" s="3" t="s">
        <v>418</v>
      </c>
      <c r="G56" s="60" t="s">
        <v>1063</v>
      </c>
      <c r="J56" s="60" t="s">
        <v>419</v>
      </c>
    </row>
    <row r="57" spans="2:10" x14ac:dyDescent="0.2">
      <c r="B57" s="39" t="s">
        <v>333</v>
      </c>
      <c r="C57" s="3">
        <v>45</v>
      </c>
      <c r="D57" s="3">
        <v>37</v>
      </c>
      <c r="E57" s="3" t="s">
        <v>418</v>
      </c>
      <c r="G57" s="60" t="s">
        <v>1067</v>
      </c>
      <c r="J57" s="60" t="s">
        <v>1068</v>
      </c>
    </row>
    <row r="58" spans="2:10" x14ac:dyDescent="0.2">
      <c r="B58" s="39" t="s">
        <v>336</v>
      </c>
      <c r="C58" s="3">
        <v>38</v>
      </c>
      <c r="D58" s="3">
        <v>44</v>
      </c>
      <c r="E58" s="3" t="s">
        <v>550</v>
      </c>
      <c r="G58" s="60" t="s">
        <v>1067</v>
      </c>
      <c r="J58" s="148" t="s">
        <v>324</v>
      </c>
    </row>
    <row r="59" spans="2:10" x14ac:dyDescent="0.2">
      <c r="B59" s="39" t="s">
        <v>339</v>
      </c>
      <c r="C59" s="3">
        <v>56</v>
      </c>
      <c r="D59" s="3">
        <v>26</v>
      </c>
      <c r="E59" s="41" t="s">
        <v>337</v>
      </c>
      <c r="G59" s="60" t="s">
        <v>1067</v>
      </c>
      <c r="J59" s="60" t="s">
        <v>1069</v>
      </c>
    </row>
    <row r="60" spans="2:10" x14ac:dyDescent="0.2">
      <c r="B60" s="39" t="s">
        <v>342</v>
      </c>
      <c r="C60" s="3">
        <v>49</v>
      </c>
      <c r="D60" s="3">
        <v>32</v>
      </c>
      <c r="E60" s="41" t="s">
        <v>411</v>
      </c>
      <c r="G60" s="60" t="s">
        <v>1067</v>
      </c>
      <c r="J60" s="60" t="s">
        <v>1070</v>
      </c>
    </row>
    <row r="61" spans="2:10" x14ac:dyDescent="0.2">
      <c r="B61" s="39" t="s">
        <v>346</v>
      </c>
      <c r="C61" s="3">
        <v>42</v>
      </c>
      <c r="D61" s="3">
        <v>24</v>
      </c>
      <c r="E61" s="3" t="s">
        <v>411</v>
      </c>
      <c r="G61" s="60" t="s">
        <v>1067</v>
      </c>
      <c r="J61" s="60" t="s">
        <v>1071</v>
      </c>
    </row>
    <row r="62" spans="2:10" x14ac:dyDescent="0.2">
      <c r="B62" s="39" t="s">
        <v>348</v>
      </c>
      <c r="C62" s="3">
        <v>37</v>
      </c>
      <c r="D62" s="3">
        <v>45</v>
      </c>
      <c r="E62" s="3" t="s">
        <v>340</v>
      </c>
      <c r="G62" s="60" t="s">
        <v>1072</v>
      </c>
      <c r="J62" s="60" t="s">
        <v>1073</v>
      </c>
    </row>
    <row r="63" spans="2:10" x14ac:dyDescent="0.2">
      <c r="B63" s="60" t="s">
        <v>350</v>
      </c>
      <c r="C63" s="60">
        <f>SUM(C53:C62)</f>
        <v>450</v>
      </c>
      <c r="D63" s="60">
        <f>SUM(D53:D62)</f>
        <v>344</v>
      </c>
      <c r="E63" s="65">
        <f>C63/(C63+D63)</f>
        <v>0.56675062972292189</v>
      </c>
    </row>
  </sheetData>
  <hyperlinks>
    <hyperlink ref="B53" r:id="rId1" xr:uid="{D7495D73-1A3C-2A47-8C4D-94CBC609F37E}"/>
    <hyperlink ref="B54" r:id="rId2" xr:uid="{D8523C26-C821-3640-9CE0-B396CF9CA9A3}"/>
    <hyperlink ref="B55" r:id="rId3" xr:uid="{1C3A59B6-8D43-AC49-B7AB-8E28AD5CFE6E}"/>
    <hyperlink ref="B56" r:id="rId4" xr:uid="{1215013A-3D0A-6E4C-B216-CE07C88E1E27}"/>
    <hyperlink ref="B57" r:id="rId5" xr:uid="{578AD8CC-8D41-B142-ABA4-537A4F8058B2}"/>
    <hyperlink ref="B58" r:id="rId6" xr:uid="{34551C53-42C0-0B4B-81DB-69851EC57087}"/>
    <hyperlink ref="B59" r:id="rId7" xr:uid="{CFFCC9FC-7EE2-244F-859B-C6C6A62EDCC5}"/>
    <hyperlink ref="B60" r:id="rId8" xr:uid="{A75892D7-D746-A049-82C6-B3A27DC1EA76}"/>
    <hyperlink ref="B61" r:id="rId9" xr:uid="{E80FD59A-0FBA-9843-A6DF-96ACAC686F8A}"/>
    <hyperlink ref="B62" r:id="rId10" xr:uid="{D1DDFA07-88D7-2949-9710-FDD371BB599F}"/>
  </hyperlinks>
  <pageMargins left="0.7" right="0.7" top="0.75" bottom="0.75" header="0.3" footer="0.3"/>
  <legacyDrawing r:id="rId1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6F1C4-B9CD-7246-9FF7-03F9011886A2}">
  <dimension ref="A1:AS64"/>
  <sheetViews>
    <sheetView zoomScaleNormal="100" workbookViewId="0">
      <selection sqref="A1:AR1"/>
    </sheetView>
  </sheetViews>
  <sheetFormatPr baseColWidth="10" defaultColWidth="11" defaultRowHeight="16" x14ac:dyDescent="0.2"/>
  <cols>
    <col min="1" max="1" width="3.33203125" customWidth="1"/>
    <col min="2" max="2" width="18.6640625" customWidth="1"/>
    <col min="3" max="3" width="10" customWidth="1"/>
    <col min="4" max="4" width="7.5" customWidth="1"/>
    <col min="6" max="6" width="8.5" customWidth="1"/>
    <col min="7" max="7" width="10.83203125" customWidth="1"/>
    <col min="8" max="8" width="5.83203125" customWidth="1"/>
    <col min="9" max="9" width="25.6640625" customWidth="1"/>
    <col min="10" max="10" width="11.1640625" customWidth="1"/>
    <col min="11" max="11" width="11.33203125" customWidth="1"/>
    <col min="12" max="12" width="5.1640625" customWidth="1"/>
    <col min="13" max="13" width="25.83203125" customWidth="1"/>
    <col min="14" max="14" width="15.5" customWidth="1"/>
    <col min="15" max="15" width="44.6640625" customWidth="1"/>
    <col min="16" max="16" width="13.5" customWidth="1"/>
    <col min="17" max="17" width="13.83203125" customWidth="1"/>
    <col min="18" max="18" width="13.6640625" customWidth="1"/>
    <col min="19" max="19" width="12.5" customWidth="1"/>
    <col min="20" max="21" width="10.1640625" customWidth="1"/>
    <col min="22" max="22" width="17.5" customWidth="1"/>
    <col min="23" max="23" width="26.6640625" customWidth="1"/>
    <col min="24" max="24" width="9" customWidth="1"/>
    <col min="25" max="25" width="4" customWidth="1"/>
    <col min="26" max="26" width="7.83203125" customWidth="1"/>
    <col min="27" max="27" width="6" customWidth="1"/>
    <col min="28" max="28" width="5.83203125" customWidth="1"/>
    <col min="29" max="29" width="7.33203125" customWidth="1"/>
    <col min="30" max="30" width="5.1640625" customWidth="1"/>
    <col min="31" max="31" width="5" customWidth="1"/>
    <col min="32" max="32" width="5.83203125" customWidth="1"/>
    <col min="33" max="33" width="7.6640625" customWidth="1"/>
    <col min="34" max="34" width="5.1640625" customWidth="1"/>
    <col min="35" max="35" width="5" customWidth="1"/>
    <col min="36" max="36" width="6.6640625" customWidth="1"/>
    <col min="37" max="37" width="6.1640625" customWidth="1"/>
    <col min="38" max="38" width="5.83203125" customWidth="1"/>
    <col min="39" max="39" width="5.5" customWidth="1"/>
    <col min="40" max="40" width="5.1640625" customWidth="1"/>
  </cols>
  <sheetData>
    <row r="1" spans="1:45" x14ac:dyDescent="0.2">
      <c r="A1" s="223" t="s">
        <v>2394</v>
      </c>
      <c r="B1" s="223" t="s">
        <v>2395</v>
      </c>
      <c r="C1" s="223" t="s">
        <v>2396</v>
      </c>
      <c r="D1" s="223" t="s">
        <v>2397</v>
      </c>
      <c r="E1" s="223" t="s">
        <v>2398</v>
      </c>
      <c r="F1" s="223" t="s">
        <v>2399</v>
      </c>
      <c r="G1" s="223" t="s">
        <v>2400</v>
      </c>
      <c r="H1" s="223" t="s">
        <v>2401</v>
      </c>
      <c r="I1" s="223" t="s">
        <v>2402</v>
      </c>
      <c r="J1" s="223" t="s">
        <v>2403</v>
      </c>
      <c r="K1" s="223" t="s">
        <v>2404</v>
      </c>
      <c r="L1" s="223" t="s">
        <v>2405</v>
      </c>
      <c r="M1" s="223" t="s">
        <v>2406</v>
      </c>
      <c r="N1" s="223" t="s">
        <v>2407</v>
      </c>
      <c r="O1" s="223" t="s">
        <v>2408</v>
      </c>
      <c r="P1" s="223" t="s">
        <v>2409</v>
      </c>
      <c r="Q1" s="223" t="s">
        <v>2410</v>
      </c>
      <c r="R1" s="223" t="s">
        <v>2411</v>
      </c>
      <c r="S1" s="223" t="s">
        <v>2412</v>
      </c>
      <c r="T1" s="223" t="s">
        <v>2413</v>
      </c>
      <c r="U1" s="223" t="s">
        <v>2414</v>
      </c>
      <c r="V1" s="223" t="s">
        <v>2415</v>
      </c>
      <c r="W1" s="223" t="s">
        <v>2416</v>
      </c>
      <c r="X1" s="223" t="s">
        <v>2433</v>
      </c>
      <c r="Y1" s="223" t="s">
        <v>2417</v>
      </c>
      <c r="Z1" s="223" t="s">
        <v>2418</v>
      </c>
      <c r="AA1" s="223" t="s">
        <v>2419</v>
      </c>
      <c r="AB1" s="223" t="s">
        <v>2420</v>
      </c>
      <c r="AC1" s="223" t="s">
        <v>2421</v>
      </c>
      <c r="AD1" s="223" t="s">
        <v>2422</v>
      </c>
      <c r="AE1" s="223" t="s">
        <v>2423</v>
      </c>
      <c r="AF1" s="223" t="s">
        <v>2424</v>
      </c>
      <c r="AG1" s="223" t="s">
        <v>2425</v>
      </c>
      <c r="AH1" s="223" t="s">
        <v>2426</v>
      </c>
      <c r="AI1" s="223" t="s">
        <v>2427</v>
      </c>
      <c r="AJ1" s="223" t="s">
        <v>2428</v>
      </c>
      <c r="AK1" s="223" t="s">
        <v>2429</v>
      </c>
      <c r="AL1" s="223" t="s">
        <v>2430</v>
      </c>
      <c r="AM1" s="223" t="s">
        <v>2431</v>
      </c>
      <c r="AN1" s="223" t="s">
        <v>2432</v>
      </c>
      <c r="AO1" s="224"/>
      <c r="AP1" s="225"/>
      <c r="AQ1" s="6"/>
      <c r="AR1" s="6"/>
    </row>
    <row r="2" spans="1:45" x14ac:dyDescent="0.2">
      <c r="A2" s="3">
        <v>13</v>
      </c>
      <c r="B2" s="3" t="s">
        <v>1074</v>
      </c>
      <c r="C2" s="3" t="s">
        <v>255</v>
      </c>
      <c r="D2" s="108">
        <v>68</v>
      </c>
      <c r="E2" s="108">
        <v>611</v>
      </c>
      <c r="F2" s="109">
        <v>220</v>
      </c>
      <c r="G2" s="4">
        <v>32995</v>
      </c>
      <c r="H2" s="113">
        <f t="shared" ref="H2:H13" ca="1" si="0">ROUNDDOWN(YEARFRAC($G$23,G2),1)</f>
        <v>30.4</v>
      </c>
      <c r="I2" s="3" t="s">
        <v>1075</v>
      </c>
      <c r="J2" s="3">
        <v>11</v>
      </c>
      <c r="K2" s="112">
        <v>2010</v>
      </c>
      <c r="L2" s="112">
        <v>10</v>
      </c>
      <c r="M2" s="3" t="s">
        <v>1076</v>
      </c>
      <c r="N2" s="3" t="s">
        <v>779</v>
      </c>
      <c r="O2" s="3" t="s">
        <v>2289</v>
      </c>
      <c r="P2" s="11">
        <v>35450412</v>
      </c>
      <c r="Q2" s="48">
        <v>37895268</v>
      </c>
      <c r="R2" s="14">
        <v>45937500</v>
      </c>
      <c r="S2" s="12"/>
      <c r="T2" s="60"/>
      <c r="U2" s="60"/>
      <c r="V2" s="60"/>
      <c r="W2" t="s">
        <v>1077</v>
      </c>
      <c r="X2" s="69">
        <v>4</v>
      </c>
      <c r="Y2" s="69">
        <v>42</v>
      </c>
      <c r="Z2" s="65">
        <f>30/42</f>
        <v>0.7142857142857143</v>
      </c>
      <c r="AA2" s="122">
        <v>114</v>
      </c>
      <c r="AB2" s="122">
        <v>105.7</v>
      </c>
      <c r="AC2" s="122">
        <f t="shared" ref="AC2:AC8" si="1">AA2-AB2</f>
        <v>8.2999999999999972</v>
      </c>
      <c r="AD2" s="122">
        <v>29.1</v>
      </c>
      <c r="AE2" s="122">
        <v>20.5</v>
      </c>
      <c r="AF2" s="65">
        <v>0.58199999999999996</v>
      </c>
      <c r="AG2" s="122">
        <v>29.6</v>
      </c>
      <c r="AH2" s="122">
        <v>1.9</v>
      </c>
      <c r="AI2" s="122">
        <v>2</v>
      </c>
      <c r="AJ2" s="65">
        <v>0.153</v>
      </c>
      <c r="AK2" s="122">
        <v>3.4</v>
      </c>
      <c r="AL2" s="122">
        <v>1.1000000000000001</v>
      </c>
      <c r="AM2" s="122">
        <v>2</v>
      </c>
      <c r="AN2" s="122">
        <v>14.4</v>
      </c>
    </row>
    <row r="3" spans="1:45" x14ac:dyDescent="0.2">
      <c r="A3" s="3">
        <v>2</v>
      </c>
      <c r="B3" s="3" t="s">
        <v>1078</v>
      </c>
      <c r="C3" s="3" t="s">
        <v>244</v>
      </c>
      <c r="D3" s="108">
        <v>67</v>
      </c>
      <c r="E3" s="108">
        <v>73</v>
      </c>
      <c r="F3" s="109">
        <v>225</v>
      </c>
      <c r="G3" s="4">
        <v>33418</v>
      </c>
      <c r="H3" s="113">
        <f t="shared" ca="1" si="0"/>
        <v>29.3</v>
      </c>
      <c r="I3" s="3" t="s">
        <v>533</v>
      </c>
      <c r="J3" s="3">
        <v>10</v>
      </c>
      <c r="K3" s="112">
        <v>2011</v>
      </c>
      <c r="L3" s="112">
        <v>15</v>
      </c>
      <c r="M3" s="3" t="s">
        <v>721</v>
      </c>
      <c r="N3" s="3" t="s">
        <v>285</v>
      </c>
      <c r="O3" s="3" t="s">
        <v>2290</v>
      </c>
      <c r="P3" s="11">
        <v>34379100</v>
      </c>
      <c r="Q3" s="48">
        <v>36016200</v>
      </c>
      <c r="R3" s="14">
        <v>45937500</v>
      </c>
      <c r="S3" s="12"/>
      <c r="T3" s="60"/>
      <c r="U3" s="60"/>
      <c r="V3" s="60" t="s">
        <v>355</v>
      </c>
      <c r="W3" t="s">
        <v>1079</v>
      </c>
      <c r="X3" s="69">
        <v>3</v>
      </c>
      <c r="Y3" s="69">
        <v>51</v>
      </c>
      <c r="Z3" s="65">
        <f>38/51</f>
        <v>0.74509803921568629</v>
      </c>
      <c r="AA3" s="122">
        <v>115.7</v>
      </c>
      <c r="AB3" s="122">
        <v>104.3</v>
      </c>
      <c r="AC3" s="122">
        <f t="shared" si="1"/>
        <v>11.400000000000006</v>
      </c>
      <c r="AD3" s="122">
        <v>32.200000000000003</v>
      </c>
      <c r="AE3" s="122">
        <v>26.7</v>
      </c>
      <c r="AF3" s="65">
        <v>0.58499999999999996</v>
      </c>
      <c r="AG3" s="122">
        <v>33.200000000000003</v>
      </c>
      <c r="AH3" s="122">
        <v>4.5999999999999996</v>
      </c>
      <c r="AI3" s="122">
        <v>3</v>
      </c>
      <c r="AJ3" s="65">
        <v>0.222</v>
      </c>
      <c r="AK3" s="122">
        <v>6.5</v>
      </c>
      <c r="AL3" s="122">
        <v>2.5</v>
      </c>
      <c r="AM3" s="122">
        <v>4.5999999999999996</v>
      </c>
      <c r="AN3" s="122">
        <v>19.3</v>
      </c>
    </row>
    <row r="4" spans="1:45" x14ac:dyDescent="0.2">
      <c r="A4" s="3">
        <v>21</v>
      </c>
      <c r="B4" s="3" t="s">
        <v>1082</v>
      </c>
      <c r="C4" s="3" t="s">
        <v>250</v>
      </c>
      <c r="D4" s="108">
        <v>61</v>
      </c>
      <c r="E4" s="108">
        <v>67</v>
      </c>
      <c r="F4" s="109">
        <v>180</v>
      </c>
      <c r="G4" s="4">
        <v>32336</v>
      </c>
      <c r="H4" s="113">
        <f t="shared" ca="1" si="0"/>
        <v>32.200000000000003</v>
      </c>
      <c r="I4" s="3" t="s">
        <v>1083</v>
      </c>
      <c r="J4" s="3">
        <v>9</v>
      </c>
      <c r="K4" s="112">
        <v>2009</v>
      </c>
      <c r="L4" s="112">
        <v>42</v>
      </c>
      <c r="M4" s="3" t="s">
        <v>1084</v>
      </c>
      <c r="N4" s="3" t="s">
        <v>1</v>
      </c>
      <c r="O4" s="3" t="s">
        <v>2291</v>
      </c>
      <c r="P4" s="11">
        <v>13333333</v>
      </c>
      <c r="Q4" s="11">
        <v>14320987</v>
      </c>
      <c r="R4" s="14">
        <f>Q4*1.5</f>
        <v>21481480.5</v>
      </c>
      <c r="S4" s="12"/>
      <c r="T4" s="60"/>
      <c r="U4" s="60"/>
      <c r="W4" t="s">
        <v>1085</v>
      </c>
      <c r="X4" s="69">
        <v>1</v>
      </c>
      <c r="Y4" s="69">
        <v>48</v>
      </c>
      <c r="Z4" s="65">
        <f>37/48</f>
        <v>0.77083333333333337</v>
      </c>
      <c r="AA4" s="122">
        <v>113.7</v>
      </c>
      <c r="AB4" s="122">
        <v>104</v>
      </c>
      <c r="AC4" s="122">
        <f t="shared" si="1"/>
        <v>9.7000000000000028</v>
      </c>
      <c r="AD4" s="122">
        <v>27.1</v>
      </c>
      <c r="AE4" s="122">
        <v>12.3</v>
      </c>
      <c r="AF4" s="65">
        <v>0.55400000000000005</v>
      </c>
      <c r="AG4" s="122">
        <v>13</v>
      </c>
      <c r="AH4" s="122">
        <v>1.4</v>
      </c>
      <c r="AI4" s="122">
        <v>2</v>
      </c>
      <c r="AJ4" s="65">
        <v>0.126</v>
      </c>
      <c r="AK4" s="122">
        <v>-0.5</v>
      </c>
      <c r="AL4" s="122">
        <v>2.6</v>
      </c>
      <c r="AM4" s="122">
        <v>1.3</v>
      </c>
      <c r="AN4" s="122">
        <v>8.8000000000000007</v>
      </c>
    </row>
    <row r="5" spans="1:45" x14ac:dyDescent="0.2">
      <c r="A5" s="3">
        <v>23</v>
      </c>
      <c r="B5" s="3" t="s">
        <v>1086</v>
      </c>
      <c r="C5" s="3" t="s">
        <v>232</v>
      </c>
      <c r="D5" s="108">
        <v>61</v>
      </c>
      <c r="E5" s="108"/>
      <c r="F5" s="109">
        <v>175</v>
      </c>
      <c r="G5" s="4">
        <v>31712</v>
      </c>
      <c r="H5" s="113">
        <f t="shared" ca="1" si="0"/>
        <v>33.9</v>
      </c>
      <c r="I5" s="3" t="s">
        <v>1087</v>
      </c>
      <c r="J5" s="3">
        <v>16</v>
      </c>
      <c r="K5" s="112">
        <v>2005</v>
      </c>
      <c r="L5" s="112">
        <v>45</v>
      </c>
      <c r="M5" s="3" t="s">
        <v>1084</v>
      </c>
      <c r="N5" s="3" t="s">
        <v>1</v>
      </c>
      <c r="O5" s="3" t="s">
        <v>2292</v>
      </c>
      <c r="P5" s="11">
        <v>8000000</v>
      </c>
      <c r="Q5" s="14">
        <f>P5*1.9</f>
        <v>15200000</v>
      </c>
      <c r="R5" s="12"/>
      <c r="S5" s="12"/>
      <c r="T5" s="60"/>
      <c r="U5" s="60"/>
      <c r="W5" t="s">
        <v>1088</v>
      </c>
      <c r="X5" s="69">
        <v>1</v>
      </c>
      <c r="Y5" s="69">
        <v>60</v>
      </c>
      <c r="Z5" s="65">
        <f>41/60</f>
        <v>0.68333333333333335</v>
      </c>
      <c r="AA5" s="122">
        <v>111.1</v>
      </c>
      <c r="AB5" s="122">
        <v>106.6</v>
      </c>
      <c r="AC5" s="122">
        <f t="shared" si="1"/>
        <v>4.5</v>
      </c>
      <c r="AD5" s="122">
        <v>29.3</v>
      </c>
      <c r="AE5" s="122">
        <v>17.2</v>
      </c>
      <c r="AF5" s="65">
        <v>0.54600000000000004</v>
      </c>
      <c r="AG5" s="122">
        <v>28.3</v>
      </c>
      <c r="AH5" s="122">
        <v>2.2000000000000002</v>
      </c>
      <c r="AI5" s="122">
        <v>1.7</v>
      </c>
      <c r="AJ5" s="65">
        <v>0.107</v>
      </c>
      <c r="AK5" s="122">
        <v>2.1</v>
      </c>
      <c r="AL5" s="122">
        <v>-1.4</v>
      </c>
      <c r="AM5" s="122">
        <v>1.2</v>
      </c>
      <c r="AN5" s="122">
        <v>12.4</v>
      </c>
    </row>
    <row r="6" spans="1:45" x14ac:dyDescent="0.2">
      <c r="A6" s="3">
        <v>40</v>
      </c>
      <c r="B6" s="3" t="s">
        <v>1089</v>
      </c>
      <c r="C6" s="3" t="s">
        <v>236</v>
      </c>
      <c r="D6" s="108">
        <v>70</v>
      </c>
      <c r="E6" s="108">
        <v>74</v>
      </c>
      <c r="F6" s="109">
        <v>240</v>
      </c>
      <c r="G6" s="4">
        <v>35507</v>
      </c>
      <c r="H6" s="113">
        <f t="shared" ca="1" si="0"/>
        <v>23.6</v>
      </c>
      <c r="I6" s="3" t="s">
        <v>466</v>
      </c>
      <c r="J6" s="3">
        <v>5</v>
      </c>
      <c r="K6" s="112">
        <v>2016</v>
      </c>
      <c r="L6" s="112">
        <v>32</v>
      </c>
      <c r="M6" s="3" t="s">
        <v>1090</v>
      </c>
      <c r="N6" s="3" t="s">
        <v>1</v>
      </c>
      <c r="O6" s="3" t="s">
        <v>2293</v>
      </c>
      <c r="P6" s="11">
        <v>7000000</v>
      </c>
      <c r="Q6" s="11">
        <v>7518518</v>
      </c>
      <c r="R6" s="49">
        <v>7518518</v>
      </c>
      <c r="S6" s="14">
        <f>R6*1.9</f>
        <v>14285184.199999999</v>
      </c>
      <c r="T6" s="60"/>
      <c r="U6" s="60"/>
      <c r="W6" s="135" t="s">
        <v>240</v>
      </c>
      <c r="X6" s="69">
        <v>5</v>
      </c>
      <c r="Y6" s="69">
        <v>64</v>
      </c>
      <c r="Z6" s="65">
        <f>44/64</f>
        <v>0.6875</v>
      </c>
      <c r="AA6" s="122">
        <v>112</v>
      </c>
      <c r="AB6" s="122">
        <v>104.1</v>
      </c>
      <c r="AC6" s="122">
        <f t="shared" si="1"/>
        <v>7.9000000000000057</v>
      </c>
      <c r="AD6" s="122">
        <v>18.100000000000001</v>
      </c>
      <c r="AE6" s="122">
        <v>21</v>
      </c>
      <c r="AF6" s="65">
        <v>0.64200000000000002</v>
      </c>
      <c r="AG6" s="122">
        <v>16.2</v>
      </c>
      <c r="AH6" s="122">
        <v>3.6</v>
      </c>
      <c r="AI6" s="122">
        <v>2</v>
      </c>
      <c r="AJ6" s="65">
        <v>0.23100000000000001</v>
      </c>
      <c r="AK6" s="122">
        <v>1.5</v>
      </c>
      <c r="AL6" s="122">
        <v>1</v>
      </c>
      <c r="AM6" s="122">
        <v>1.3</v>
      </c>
      <c r="AN6" s="122">
        <v>13.9</v>
      </c>
    </row>
    <row r="7" spans="1:45" x14ac:dyDescent="0.2">
      <c r="A7" s="3">
        <v>19</v>
      </c>
      <c r="B7" s="3" t="s">
        <v>1091</v>
      </c>
      <c r="C7" s="3" t="s">
        <v>255</v>
      </c>
      <c r="D7" s="108">
        <v>64</v>
      </c>
      <c r="E7" s="108">
        <v>66</v>
      </c>
      <c r="F7" s="109">
        <v>205</v>
      </c>
      <c r="G7" s="4">
        <v>33448</v>
      </c>
      <c r="H7" s="113">
        <f t="shared" ca="1" si="0"/>
        <v>29.2</v>
      </c>
      <c r="I7" s="3" t="s">
        <v>1092</v>
      </c>
      <c r="J7" s="3">
        <v>5</v>
      </c>
      <c r="K7" s="112">
        <v>2013</v>
      </c>
      <c r="L7" s="112"/>
      <c r="M7" s="3" t="s">
        <v>1093</v>
      </c>
      <c r="N7" s="3" t="s">
        <v>285</v>
      </c>
      <c r="O7" s="3" t="s">
        <v>2294</v>
      </c>
      <c r="P7" s="11">
        <v>5192307</v>
      </c>
      <c r="Q7" s="15">
        <v>5000000</v>
      </c>
      <c r="R7" s="14">
        <f>Q7*1.9</f>
        <v>9500000</v>
      </c>
      <c r="S7" s="12"/>
      <c r="T7" s="60"/>
      <c r="U7" s="60"/>
      <c r="W7" t="s">
        <v>1094</v>
      </c>
      <c r="X7" s="69">
        <v>3</v>
      </c>
      <c r="Y7" s="69">
        <v>50</v>
      </c>
      <c r="Z7" s="65">
        <f>33/50</f>
        <v>0.66</v>
      </c>
      <c r="AA7" s="122">
        <v>108.2</v>
      </c>
      <c r="AB7" s="122">
        <v>107.5</v>
      </c>
      <c r="AC7" s="122">
        <f t="shared" si="1"/>
        <v>0.70000000000000284</v>
      </c>
      <c r="AD7" s="122">
        <v>15</v>
      </c>
      <c r="AE7" s="122">
        <v>6.5</v>
      </c>
      <c r="AF7" s="65">
        <v>0.47199999999999998</v>
      </c>
      <c r="AG7" s="122">
        <v>10.5</v>
      </c>
      <c r="AH7" s="122">
        <v>-0.1</v>
      </c>
      <c r="AI7" s="122">
        <v>1</v>
      </c>
      <c r="AJ7" s="65">
        <v>5.3999999999999999E-2</v>
      </c>
      <c r="AK7" s="122">
        <v>-3.8</v>
      </c>
      <c r="AL7" s="122">
        <v>0.8</v>
      </c>
      <c r="AM7" s="122">
        <v>-0.2</v>
      </c>
      <c r="AN7" s="122">
        <v>4.5</v>
      </c>
    </row>
    <row r="8" spans="1:45" x14ac:dyDescent="0.2">
      <c r="A8" s="3">
        <v>4</v>
      </c>
      <c r="B8" s="3" t="s">
        <v>74</v>
      </c>
      <c r="C8" s="3" t="s">
        <v>236</v>
      </c>
      <c r="D8" s="108">
        <v>68</v>
      </c>
      <c r="E8" s="108">
        <v>73</v>
      </c>
      <c r="F8" s="109">
        <v>227</v>
      </c>
      <c r="G8" s="4">
        <v>33045</v>
      </c>
      <c r="H8" s="113">
        <f t="shared" ca="1" si="0"/>
        <v>30.3</v>
      </c>
      <c r="I8" s="3" t="s">
        <v>1095</v>
      </c>
      <c r="J8" s="3">
        <v>7</v>
      </c>
      <c r="K8" s="112">
        <v>2012</v>
      </c>
      <c r="L8" s="112"/>
      <c r="M8" s="3" t="s">
        <v>1096</v>
      </c>
      <c r="N8" s="3" t="s">
        <v>299</v>
      </c>
      <c r="O8" s="163" t="s">
        <v>371</v>
      </c>
      <c r="P8" s="48">
        <v>5005300</v>
      </c>
      <c r="Q8" s="14">
        <f>P8*1.9</f>
        <v>9510070</v>
      </c>
      <c r="R8" s="12"/>
      <c r="S8" s="12"/>
      <c r="T8" s="60"/>
      <c r="U8" s="60"/>
      <c r="W8" t="s">
        <v>1097</v>
      </c>
      <c r="X8" s="69">
        <v>4</v>
      </c>
      <c r="Y8" s="69">
        <v>55</v>
      </c>
      <c r="Z8" s="65">
        <f>38/55</f>
        <v>0.69090909090909092</v>
      </c>
      <c r="AA8" s="122">
        <v>110.5</v>
      </c>
      <c r="AB8" s="122">
        <v>105.2</v>
      </c>
      <c r="AC8" s="122">
        <f t="shared" si="1"/>
        <v>5.2999999999999972</v>
      </c>
      <c r="AD8" s="122">
        <v>20.5</v>
      </c>
      <c r="AE8" s="122">
        <v>10.8</v>
      </c>
      <c r="AF8" s="65">
        <v>0.55400000000000005</v>
      </c>
      <c r="AG8" s="122">
        <v>13.5</v>
      </c>
      <c r="AH8" s="122">
        <v>0.8</v>
      </c>
      <c r="AI8" s="122">
        <v>1.8</v>
      </c>
      <c r="AJ8" s="65">
        <v>0.111</v>
      </c>
      <c r="AK8" s="122">
        <v>-1.4</v>
      </c>
      <c r="AL8" s="122">
        <v>0.6</v>
      </c>
      <c r="AM8" s="122">
        <v>0.3</v>
      </c>
      <c r="AN8" s="122">
        <v>8.1999999999999993</v>
      </c>
    </row>
    <row r="9" spans="1:45" x14ac:dyDescent="0.2">
      <c r="A9" s="3">
        <v>55</v>
      </c>
      <c r="B9" s="3" t="s">
        <v>1116</v>
      </c>
      <c r="C9" s="3" t="s">
        <v>236</v>
      </c>
      <c r="D9" s="108">
        <v>611</v>
      </c>
      <c r="E9" s="108">
        <v>71</v>
      </c>
      <c r="F9" s="109">
        <v>232</v>
      </c>
      <c r="G9" s="4">
        <v>31103</v>
      </c>
      <c r="H9" s="113">
        <f t="shared" ca="1" si="0"/>
        <v>35.6</v>
      </c>
      <c r="I9" s="3" t="s">
        <v>470</v>
      </c>
      <c r="J9" s="3">
        <v>14</v>
      </c>
      <c r="K9" s="112">
        <v>2007</v>
      </c>
      <c r="L9" s="112">
        <v>9</v>
      </c>
      <c r="M9" s="3" t="s">
        <v>2072</v>
      </c>
      <c r="N9" s="3" t="s">
        <v>282</v>
      </c>
      <c r="O9" s="163" t="s">
        <v>2071</v>
      </c>
      <c r="P9" s="15">
        <v>2692991</v>
      </c>
      <c r="Q9" s="52">
        <v>1856061</v>
      </c>
      <c r="R9" s="12"/>
      <c r="S9" s="12"/>
      <c r="T9" s="70"/>
      <c r="U9" s="70"/>
      <c r="V9" s="159"/>
      <c r="W9" s="159"/>
      <c r="X9" s="104"/>
      <c r="Y9" s="104"/>
      <c r="Z9" s="173"/>
      <c r="AA9" s="172"/>
      <c r="AB9" s="172"/>
      <c r="AC9" s="172"/>
      <c r="AD9" s="172"/>
      <c r="AE9" s="172"/>
      <c r="AF9" s="173"/>
      <c r="AG9" s="172"/>
      <c r="AH9" s="172"/>
      <c r="AI9" s="172"/>
      <c r="AJ9" s="173"/>
      <c r="AK9" s="172"/>
      <c r="AL9" s="172"/>
      <c r="AM9" s="172"/>
      <c r="AN9" s="172"/>
      <c r="AO9" s="159"/>
      <c r="AP9" s="159"/>
      <c r="AQ9" s="159"/>
      <c r="AR9" s="159"/>
      <c r="AS9" s="159"/>
    </row>
    <row r="10" spans="1:45" x14ac:dyDescent="0.2">
      <c r="A10" s="3">
        <v>20</v>
      </c>
      <c r="B10" s="3" t="s">
        <v>1098</v>
      </c>
      <c r="C10" s="3" t="s">
        <v>232</v>
      </c>
      <c r="D10" s="108">
        <v>64</v>
      </c>
      <c r="E10" s="108">
        <v>67</v>
      </c>
      <c r="F10" s="109">
        <v>190</v>
      </c>
      <c r="G10" s="4">
        <v>35502</v>
      </c>
      <c r="H10" s="113">
        <f t="shared" ca="1" si="0"/>
        <v>23.6</v>
      </c>
      <c r="I10" s="3" t="s">
        <v>1099</v>
      </c>
      <c r="J10" s="3">
        <v>3</v>
      </c>
      <c r="K10" s="112">
        <v>2018</v>
      </c>
      <c r="L10" s="112">
        <v>26</v>
      </c>
      <c r="M10" s="3" t="s">
        <v>1100</v>
      </c>
      <c r="N10" s="3" t="s">
        <v>1101</v>
      </c>
      <c r="O10" s="3" t="s">
        <v>2156</v>
      </c>
      <c r="P10" s="11">
        <v>2090040</v>
      </c>
      <c r="Q10" s="51">
        <v>3768342</v>
      </c>
      <c r="R10" s="50">
        <f>Q10*3</f>
        <v>11305026</v>
      </c>
      <c r="S10" s="12"/>
      <c r="T10" s="60"/>
      <c r="U10" s="60"/>
      <c r="W10" t="s">
        <v>1102</v>
      </c>
      <c r="X10" s="69">
        <v>2</v>
      </c>
      <c r="Y10" s="69">
        <v>47</v>
      </c>
      <c r="Z10" s="65">
        <f>31/47</f>
        <v>0.65957446808510634</v>
      </c>
      <c r="AA10" s="122">
        <v>112.5</v>
      </c>
      <c r="AB10" s="122">
        <v>107.6</v>
      </c>
      <c r="AC10" s="122">
        <f t="shared" ref="AC10:AC13" si="2">AA10-AB10</f>
        <v>4.9000000000000057</v>
      </c>
      <c r="AD10" s="122">
        <v>27.5</v>
      </c>
      <c r="AE10" s="122">
        <v>9.1999999999999993</v>
      </c>
      <c r="AF10" s="65">
        <v>0.59899999999999998</v>
      </c>
      <c r="AG10" s="122">
        <v>13.3</v>
      </c>
      <c r="AH10" s="122">
        <v>1.7</v>
      </c>
      <c r="AI10" s="122">
        <v>1</v>
      </c>
      <c r="AJ10" s="65">
        <v>0.1</v>
      </c>
      <c r="AK10" s="122">
        <v>-1.4</v>
      </c>
      <c r="AL10" s="122">
        <v>-0.2</v>
      </c>
      <c r="AM10" s="122">
        <v>0.1</v>
      </c>
      <c r="AN10" s="122">
        <v>5.2</v>
      </c>
    </row>
    <row r="11" spans="1:45" x14ac:dyDescent="0.2">
      <c r="A11" s="3">
        <v>25</v>
      </c>
      <c r="B11" s="3" t="s">
        <v>1103</v>
      </c>
      <c r="C11" s="3" t="s">
        <v>236</v>
      </c>
      <c r="D11" s="108">
        <v>69</v>
      </c>
      <c r="E11" s="108">
        <v>73</v>
      </c>
      <c r="F11" s="109">
        <v>250</v>
      </c>
      <c r="G11" s="4">
        <v>35656</v>
      </c>
      <c r="H11" s="113">
        <f t="shared" ca="1" si="0"/>
        <v>23.1</v>
      </c>
      <c r="I11" s="3" t="s">
        <v>519</v>
      </c>
      <c r="J11" s="3">
        <v>2</v>
      </c>
      <c r="K11" s="112">
        <v>2019</v>
      </c>
      <c r="L11" s="112">
        <v>27</v>
      </c>
      <c r="M11" s="3" t="s">
        <v>1104</v>
      </c>
      <c r="N11" s="3" t="s">
        <v>247</v>
      </c>
      <c r="O11" s="11" t="s">
        <v>2108</v>
      </c>
      <c r="P11" s="11">
        <v>2075880</v>
      </c>
      <c r="Q11" s="51">
        <v>2174800</v>
      </c>
      <c r="R11" s="51">
        <v>3923484</v>
      </c>
      <c r="S11" s="50">
        <f>R11*3</f>
        <v>11770452</v>
      </c>
      <c r="T11" s="60"/>
      <c r="U11" s="60"/>
      <c r="W11" t="s">
        <v>1105</v>
      </c>
      <c r="X11" s="69">
        <v>5</v>
      </c>
      <c r="Y11" s="69">
        <v>12</v>
      </c>
      <c r="Z11" s="65">
        <f>9/12</f>
        <v>0.75</v>
      </c>
      <c r="AA11" s="122">
        <v>104.4</v>
      </c>
      <c r="AB11" s="122">
        <v>103.6</v>
      </c>
      <c r="AC11" s="122">
        <f t="shared" si="2"/>
        <v>0.80000000000001137</v>
      </c>
      <c r="AD11" s="122">
        <v>5.4</v>
      </c>
      <c r="AE11" s="122">
        <v>18.2</v>
      </c>
      <c r="AF11" s="65">
        <v>0.61399999999999999</v>
      </c>
      <c r="AG11" s="122">
        <v>23.5</v>
      </c>
      <c r="AH11" s="122">
        <v>0.1</v>
      </c>
      <c r="AI11" s="122">
        <v>0.1</v>
      </c>
      <c r="AJ11" s="65">
        <v>0.17499999999999999</v>
      </c>
      <c r="AK11" s="122">
        <v>2.2000000000000002</v>
      </c>
      <c r="AL11" s="122">
        <v>-0.1</v>
      </c>
      <c r="AM11" s="122">
        <v>0.1</v>
      </c>
      <c r="AN11" s="122">
        <v>11.2</v>
      </c>
    </row>
    <row r="12" spans="1:45" x14ac:dyDescent="0.2">
      <c r="A12" s="3">
        <v>14</v>
      </c>
      <c r="B12" s="3" t="s">
        <v>1107</v>
      </c>
      <c r="C12" s="3" t="s">
        <v>255</v>
      </c>
      <c r="D12" s="108">
        <v>65</v>
      </c>
      <c r="E12" s="108">
        <v>68</v>
      </c>
      <c r="F12" s="109">
        <v>215</v>
      </c>
      <c r="G12" s="4">
        <v>35356</v>
      </c>
      <c r="H12" s="113">
        <f t="shared" ca="1" si="0"/>
        <v>24</v>
      </c>
      <c r="I12" s="3" t="s">
        <v>519</v>
      </c>
      <c r="J12" s="3">
        <v>2</v>
      </c>
      <c r="K12" s="112">
        <v>2019</v>
      </c>
      <c r="L12" s="112">
        <v>48</v>
      </c>
      <c r="M12" s="3" t="s">
        <v>1108</v>
      </c>
      <c r="N12" s="3" t="s">
        <v>285</v>
      </c>
      <c r="O12" s="11" t="s">
        <v>2109</v>
      </c>
      <c r="P12" s="11">
        <v>1517981</v>
      </c>
      <c r="Q12" s="15">
        <v>1782621</v>
      </c>
      <c r="R12" s="15">
        <v>1930681</v>
      </c>
      <c r="S12" s="14">
        <v>2046307</v>
      </c>
      <c r="T12" s="60"/>
      <c r="U12" s="60"/>
      <c r="W12" t="s">
        <v>1109</v>
      </c>
      <c r="X12" s="69">
        <v>3</v>
      </c>
      <c r="Y12" s="69">
        <v>35</v>
      </c>
      <c r="Z12" s="65">
        <f>22/35</f>
        <v>0.62857142857142856</v>
      </c>
      <c r="AA12" s="122">
        <v>103.3</v>
      </c>
      <c r="AB12" s="122">
        <v>102.2</v>
      </c>
      <c r="AC12" s="122">
        <f t="shared" si="2"/>
        <v>1.0999999999999943</v>
      </c>
      <c r="AD12" s="122">
        <v>7.7</v>
      </c>
      <c r="AE12" s="122">
        <v>7.1</v>
      </c>
      <c r="AF12" s="65">
        <v>0.47199999999999998</v>
      </c>
      <c r="AG12" s="122">
        <v>11.2</v>
      </c>
      <c r="AH12" s="122">
        <v>0</v>
      </c>
      <c r="AI12" s="122">
        <v>0.3</v>
      </c>
      <c r="AJ12" s="65">
        <v>5.7000000000000002E-2</v>
      </c>
      <c r="AK12" s="122">
        <v>-4.7</v>
      </c>
      <c r="AL12" s="122">
        <v>1.2</v>
      </c>
      <c r="AM12" s="122">
        <v>-0.1</v>
      </c>
      <c r="AN12" s="122">
        <v>4.8</v>
      </c>
    </row>
    <row r="13" spans="1:45" x14ac:dyDescent="0.2">
      <c r="A13" s="3">
        <v>7</v>
      </c>
      <c r="B13" s="3" t="s">
        <v>1110</v>
      </c>
      <c r="C13" s="3" t="s">
        <v>255</v>
      </c>
      <c r="D13" s="108">
        <v>67</v>
      </c>
      <c r="E13" s="108">
        <v>67</v>
      </c>
      <c r="F13" s="109">
        <v>210</v>
      </c>
      <c r="G13" s="4">
        <v>35598</v>
      </c>
      <c r="H13" s="113">
        <f t="shared" ca="1" si="0"/>
        <v>23.3</v>
      </c>
      <c r="I13" s="3" t="s">
        <v>1111</v>
      </c>
      <c r="J13" s="3">
        <v>2</v>
      </c>
      <c r="K13" s="112">
        <v>2019</v>
      </c>
      <c r="L13" s="112"/>
      <c r="M13" s="3" t="s">
        <v>672</v>
      </c>
      <c r="N13" s="3" t="s">
        <v>295</v>
      </c>
      <c r="O13" s="163" t="s">
        <v>814</v>
      </c>
      <c r="P13" s="3" t="s">
        <v>295</v>
      </c>
      <c r="Q13" s="53"/>
      <c r="R13" s="12"/>
      <c r="S13" s="12"/>
      <c r="T13" s="60"/>
      <c r="U13" s="60"/>
      <c r="W13" t="s">
        <v>1112</v>
      </c>
      <c r="X13" s="69">
        <v>3</v>
      </c>
      <c r="Y13" s="69">
        <v>13</v>
      </c>
      <c r="Z13" s="65">
        <f>7/13</f>
        <v>0.53846153846153844</v>
      </c>
      <c r="AA13" s="122">
        <v>106.5</v>
      </c>
      <c r="AB13" s="122">
        <v>109.8</v>
      </c>
      <c r="AC13" s="122">
        <f t="shared" si="2"/>
        <v>-3.2999999999999972</v>
      </c>
      <c r="AD13" s="122">
        <v>7.5</v>
      </c>
      <c r="AE13" s="122">
        <v>5.9</v>
      </c>
      <c r="AF13" s="65">
        <v>0.40799999999999997</v>
      </c>
      <c r="AG13" s="122">
        <v>15.8</v>
      </c>
      <c r="AH13" s="122">
        <v>-0.1</v>
      </c>
      <c r="AI13" s="122">
        <v>0.1</v>
      </c>
      <c r="AJ13" s="65">
        <v>8.9999999999999993E-3</v>
      </c>
      <c r="AK13" s="122">
        <v>-5.7</v>
      </c>
      <c r="AL13" s="122">
        <v>-1.1000000000000001</v>
      </c>
      <c r="AM13" s="122">
        <v>-0.1</v>
      </c>
      <c r="AN13" s="122">
        <v>3.4</v>
      </c>
    </row>
    <row r="14" spans="1:45" x14ac:dyDescent="0.2">
      <c r="A14" s="60"/>
      <c r="B14" s="60" t="s">
        <v>297</v>
      </c>
      <c r="C14" s="60"/>
      <c r="D14" s="60"/>
      <c r="E14" s="60"/>
      <c r="F14" s="60"/>
      <c r="G14" s="60"/>
      <c r="H14" s="60"/>
      <c r="I14" s="60"/>
      <c r="J14" s="60"/>
      <c r="K14" s="120"/>
      <c r="L14" s="120"/>
      <c r="M14" s="78"/>
      <c r="N14" s="78"/>
      <c r="O14" s="78"/>
      <c r="P14" s="61"/>
      <c r="Q14" s="60"/>
      <c r="R14" s="60"/>
      <c r="S14" s="60"/>
      <c r="T14" s="60"/>
      <c r="U14" s="60"/>
      <c r="X14" s="69"/>
      <c r="Y14" s="69"/>
      <c r="Z14" s="65"/>
      <c r="AA14" s="122"/>
      <c r="AB14" s="122"/>
      <c r="AC14" s="122"/>
      <c r="AD14" s="122"/>
      <c r="AE14" s="122"/>
      <c r="AF14" s="65"/>
      <c r="AG14" s="122"/>
      <c r="AH14" s="122"/>
      <c r="AI14" s="122"/>
      <c r="AJ14" s="65"/>
      <c r="AK14" s="122"/>
      <c r="AL14" s="122"/>
      <c r="AM14" s="122"/>
      <c r="AN14" s="122"/>
    </row>
    <row r="15" spans="1:45" x14ac:dyDescent="0.2">
      <c r="B15" s="70" t="s">
        <v>1117</v>
      </c>
      <c r="K15" s="120"/>
      <c r="L15" s="120"/>
      <c r="M15" s="75"/>
      <c r="N15" s="75"/>
      <c r="O15" s="75"/>
      <c r="P15" s="61"/>
      <c r="X15" s="69"/>
      <c r="Y15" s="69"/>
      <c r="Z15" s="65"/>
      <c r="AA15" s="122"/>
      <c r="AB15" s="122"/>
      <c r="AC15" s="122"/>
      <c r="AD15" s="122"/>
      <c r="AE15" s="122"/>
      <c r="AF15" s="65"/>
      <c r="AG15" s="122"/>
      <c r="AH15" s="122"/>
      <c r="AI15" s="122"/>
      <c r="AJ15" s="65"/>
      <c r="AK15" s="122"/>
      <c r="AL15" s="122"/>
      <c r="AM15" s="122"/>
      <c r="AN15" s="122"/>
    </row>
    <row r="16" spans="1:45" x14ac:dyDescent="0.2">
      <c r="B16" s="71"/>
      <c r="K16" s="120"/>
      <c r="L16" s="120"/>
      <c r="M16" s="75"/>
      <c r="N16" s="75"/>
      <c r="O16" s="75"/>
      <c r="P16" s="61"/>
      <c r="X16" s="69"/>
      <c r="Y16" s="69"/>
      <c r="Z16" s="65"/>
      <c r="AA16" s="122"/>
      <c r="AB16" s="122"/>
      <c r="AC16" s="122"/>
      <c r="AD16" s="122"/>
      <c r="AE16" s="122"/>
      <c r="AF16" s="65"/>
      <c r="AG16" s="122"/>
      <c r="AH16" s="122"/>
      <c r="AI16" s="122"/>
      <c r="AJ16" s="65"/>
      <c r="AK16" s="122"/>
      <c r="AL16" s="122"/>
      <c r="AM16" s="122"/>
      <c r="AN16" s="122"/>
    </row>
    <row r="17" spans="1:40" x14ac:dyDescent="0.2">
      <c r="A17" s="3">
        <v>31</v>
      </c>
      <c r="B17" s="3" t="s">
        <v>72</v>
      </c>
      <c r="C17" s="3" t="s">
        <v>236</v>
      </c>
      <c r="D17" s="108">
        <v>68</v>
      </c>
      <c r="E17" s="108">
        <v>610</v>
      </c>
      <c r="F17" s="109">
        <v>218</v>
      </c>
      <c r="G17" s="4">
        <v>32753</v>
      </c>
      <c r="H17" s="113">
        <f t="shared" ref="H17:H21" ca="1" si="3">ROUNDDOWN(YEARFRAC($G$23,G17),1)</f>
        <v>31.1</v>
      </c>
      <c r="I17" s="3" t="s">
        <v>524</v>
      </c>
      <c r="J17" s="3">
        <v>10</v>
      </c>
      <c r="K17" s="112">
        <v>2011</v>
      </c>
      <c r="L17" s="112">
        <v>14</v>
      </c>
      <c r="M17" s="3" t="s">
        <v>1080</v>
      </c>
      <c r="N17" s="3"/>
      <c r="O17" s="3"/>
      <c r="P17" s="14">
        <v>18000000</v>
      </c>
      <c r="Q17" s="12"/>
      <c r="R17" s="12"/>
      <c r="S17" s="12"/>
      <c r="T17" s="60"/>
      <c r="U17" s="60"/>
      <c r="W17" t="s">
        <v>1081</v>
      </c>
      <c r="X17" s="69">
        <v>4</v>
      </c>
      <c r="Y17" s="69">
        <v>12</v>
      </c>
      <c r="Z17" s="65">
        <f>8/12</f>
        <v>0.66666666666666663</v>
      </c>
      <c r="AA17" s="122">
        <v>115.8</v>
      </c>
      <c r="AB17" s="122">
        <v>102.8</v>
      </c>
      <c r="AC17" s="122">
        <f t="shared" ref="AC17:AC21" si="4">AA17-AB17</f>
        <v>13</v>
      </c>
      <c r="AD17" s="122">
        <v>28.4</v>
      </c>
      <c r="AE17" s="122">
        <v>7.7</v>
      </c>
      <c r="AF17" s="65">
        <v>0.48</v>
      </c>
      <c r="AG17" s="122">
        <v>16.399999999999999</v>
      </c>
      <c r="AH17" s="122">
        <v>-0.2</v>
      </c>
      <c r="AI17" s="122">
        <v>0.4</v>
      </c>
      <c r="AJ17" s="65">
        <v>3.3000000000000002E-2</v>
      </c>
      <c r="AK17" s="122">
        <v>-3.1</v>
      </c>
      <c r="AL17" s="122">
        <v>0.5</v>
      </c>
      <c r="AM17" s="122">
        <v>-0.1</v>
      </c>
      <c r="AN17" s="122">
        <v>5.2</v>
      </c>
    </row>
    <row r="18" spans="1:40" x14ac:dyDescent="0.2">
      <c r="A18" s="3">
        <v>5</v>
      </c>
      <c r="B18" s="3" t="s">
        <v>73</v>
      </c>
      <c r="C18" s="3" t="s">
        <v>236</v>
      </c>
      <c r="D18" s="108">
        <v>67</v>
      </c>
      <c r="E18" s="108">
        <v>74</v>
      </c>
      <c r="F18" s="109">
        <v>240</v>
      </c>
      <c r="G18" s="4">
        <v>34360</v>
      </c>
      <c r="H18" s="113">
        <f t="shared" ca="1" si="3"/>
        <v>26.7</v>
      </c>
      <c r="I18" s="3" t="s">
        <v>498</v>
      </c>
      <c r="J18" s="3">
        <v>6</v>
      </c>
      <c r="K18" s="112">
        <v>2015</v>
      </c>
      <c r="L18" s="112">
        <v>32</v>
      </c>
      <c r="M18" s="3" t="s">
        <v>1084</v>
      </c>
      <c r="N18" s="3"/>
      <c r="O18" s="3"/>
      <c r="P18" s="14">
        <v>11400000</v>
      </c>
      <c r="Q18" s="12"/>
      <c r="R18" s="12"/>
      <c r="S18" s="12"/>
      <c r="T18" s="60"/>
      <c r="U18" s="60"/>
      <c r="W18" s="135" t="s">
        <v>240</v>
      </c>
      <c r="X18" s="69">
        <v>5</v>
      </c>
      <c r="Y18" s="69">
        <v>63</v>
      </c>
      <c r="Z18" s="65">
        <f>44/63</f>
        <v>0.69841269841269837</v>
      </c>
      <c r="AA18" s="122">
        <v>112.3</v>
      </c>
      <c r="AB18" s="122">
        <v>105.8</v>
      </c>
      <c r="AC18" s="122">
        <f t="shared" si="4"/>
        <v>6.5</v>
      </c>
      <c r="AD18" s="122">
        <v>27.8</v>
      </c>
      <c r="AE18" s="122">
        <v>23.1</v>
      </c>
      <c r="AF18" s="65">
        <v>0.60699999999999998</v>
      </c>
      <c r="AG18" s="122">
        <v>25.5</v>
      </c>
      <c r="AH18" s="122">
        <v>4.5</v>
      </c>
      <c r="AI18" s="122">
        <v>2.5</v>
      </c>
      <c r="AJ18" s="65">
        <v>0.193</v>
      </c>
      <c r="AK18" s="122">
        <v>2.4</v>
      </c>
      <c r="AL18" s="122">
        <v>0.5</v>
      </c>
      <c r="AM18" s="122">
        <v>2.2000000000000002</v>
      </c>
      <c r="AN18" s="122">
        <v>14.5</v>
      </c>
    </row>
    <row r="19" spans="1:40" x14ac:dyDescent="0.2">
      <c r="A19" s="3">
        <v>54</v>
      </c>
      <c r="B19" s="3" t="s">
        <v>75</v>
      </c>
      <c r="C19" s="3" t="s">
        <v>236</v>
      </c>
      <c r="D19" s="108">
        <v>68</v>
      </c>
      <c r="E19" s="108">
        <v>72</v>
      </c>
      <c r="F19" s="109">
        <v>235</v>
      </c>
      <c r="G19" s="4">
        <v>32581</v>
      </c>
      <c r="H19" s="113">
        <f t="shared" ca="1" si="3"/>
        <v>31.6</v>
      </c>
      <c r="I19" s="3" t="s">
        <v>270</v>
      </c>
      <c r="J19" s="3">
        <v>11</v>
      </c>
      <c r="K19" s="112">
        <v>2010</v>
      </c>
      <c r="L19" s="112">
        <v>14</v>
      </c>
      <c r="M19" s="3" t="s">
        <v>1106</v>
      </c>
      <c r="N19" s="3"/>
      <c r="O19" s="3"/>
      <c r="P19" s="14">
        <v>1620564</v>
      </c>
      <c r="Q19" s="12"/>
      <c r="R19" s="12"/>
      <c r="S19" s="12"/>
      <c r="T19" s="60"/>
      <c r="U19" s="60"/>
      <c r="W19" t="s">
        <v>831</v>
      </c>
      <c r="X19" s="69">
        <v>4</v>
      </c>
      <c r="Y19" s="69">
        <v>51</v>
      </c>
      <c r="Z19" s="65">
        <f>34/51</f>
        <v>0.66666666666666663</v>
      </c>
      <c r="AA19" s="122">
        <v>108.1</v>
      </c>
      <c r="AB19" s="122">
        <v>103.6</v>
      </c>
      <c r="AC19" s="122">
        <f t="shared" si="4"/>
        <v>4.5</v>
      </c>
      <c r="AD19" s="122">
        <v>11.9</v>
      </c>
      <c r="AE19" s="122">
        <v>11.7</v>
      </c>
      <c r="AF19" s="65">
        <v>0.57599999999999996</v>
      </c>
      <c r="AG19" s="122">
        <v>15.1</v>
      </c>
      <c r="AH19" s="122">
        <v>0.9</v>
      </c>
      <c r="AI19" s="122">
        <v>0.6</v>
      </c>
      <c r="AJ19" s="65">
        <v>0.11799999999999999</v>
      </c>
      <c r="AK19" s="122">
        <v>0.9</v>
      </c>
      <c r="AL19" s="122">
        <v>-0.5</v>
      </c>
      <c r="AM19" s="122">
        <v>0.4</v>
      </c>
      <c r="AN19" s="122">
        <v>8.6</v>
      </c>
    </row>
    <row r="20" spans="1:40" x14ac:dyDescent="0.2">
      <c r="A20" s="3">
        <v>1</v>
      </c>
      <c r="B20" s="3" t="s">
        <v>76</v>
      </c>
      <c r="C20" s="3" t="s">
        <v>255</v>
      </c>
      <c r="D20" s="108">
        <v>63</v>
      </c>
      <c r="E20" s="108">
        <v>70</v>
      </c>
      <c r="F20" s="109">
        <v>208</v>
      </c>
      <c r="G20" s="4">
        <v>32979</v>
      </c>
      <c r="H20" s="113">
        <f t="shared" ca="1" si="3"/>
        <v>30.5</v>
      </c>
      <c r="I20" s="3" t="s">
        <v>915</v>
      </c>
      <c r="J20" s="3">
        <v>10</v>
      </c>
      <c r="K20" s="112">
        <v>2011</v>
      </c>
      <c r="L20" s="112">
        <v>24</v>
      </c>
      <c r="M20" s="3" t="s">
        <v>988</v>
      </c>
      <c r="N20" s="3"/>
      <c r="O20" s="3"/>
      <c r="P20" s="14">
        <v>1620564</v>
      </c>
      <c r="Q20" s="12"/>
      <c r="R20" s="12"/>
      <c r="S20" s="12"/>
      <c r="T20" s="60"/>
      <c r="U20" s="60"/>
      <c r="W20" t="s">
        <v>876</v>
      </c>
      <c r="X20" s="69">
        <v>1</v>
      </c>
      <c r="Y20" s="69">
        <v>9</v>
      </c>
      <c r="Z20" s="65">
        <f>7/9</f>
        <v>0.77777777777777779</v>
      </c>
      <c r="AA20" s="122">
        <v>117.2</v>
      </c>
      <c r="AB20" s="122">
        <v>106</v>
      </c>
      <c r="AC20" s="122">
        <f t="shared" si="4"/>
        <v>11.200000000000003</v>
      </c>
      <c r="AD20" s="122">
        <v>19.5</v>
      </c>
      <c r="AE20" s="122">
        <v>15.6</v>
      </c>
      <c r="AF20" s="65">
        <v>0.67</v>
      </c>
      <c r="AG20" s="122">
        <v>19.100000000000001</v>
      </c>
      <c r="AH20" s="122">
        <v>0.3</v>
      </c>
      <c r="AI20" s="122">
        <v>0.2</v>
      </c>
      <c r="AJ20" s="65">
        <v>0.14199999999999999</v>
      </c>
      <c r="AK20" s="122">
        <v>2.1</v>
      </c>
      <c r="AL20" s="122">
        <v>0.6</v>
      </c>
      <c r="AM20" s="122">
        <v>0.2</v>
      </c>
      <c r="AN20" s="122">
        <v>10.199999999999999</v>
      </c>
    </row>
    <row r="21" spans="1:40" x14ac:dyDescent="0.2">
      <c r="A21" s="3">
        <v>15</v>
      </c>
      <c r="B21" s="3" t="s">
        <v>1113</v>
      </c>
      <c r="C21" s="3" t="s">
        <v>236</v>
      </c>
      <c r="D21" s="108">
        <v>68</v>
      </c>
      <c r="E21" s="108">
        <v>74</v>
      </c>
      <c r="F21" s="109">
        <v>230</v>
      </c>
      <c r="G21" s="4">
        <v>34823</v>
      </c>
      <c r="H21" s="113">
        <f t="shared" ca="1" si="3"/>
        <v>25.4</v>
      </c>
      <c r="I21" s="3" t="s">
        <v>439</v>
      </c>
      <c r="J21" s="3">
        <v>4</v>
      </c>
      <c r="K21" s="112">
        <v>2017</v>
      </c>
      <c r="L21" s="118"/>
      <c r="M21" s="3" t="s">
        <v>1114</v>
      </c>
      <c r="N21" s="3"/>
      <c r="O21" s="3"/>
      <c r="P21" s="53"/>
      <c r="Q21" s="12"/>
      <c r="R21" s="12"/>
      <c r="S21" s="12"/>
      <c r="T21" s="60"/>
      <c r="U21" s="60"/>
      <c r="W21" t="s">
        <v>1115</v>
      </c>
      <c r="X21" s="69">
        <v>4</v>
      </c>
      <c r="Y21" s="69">
        <v>13</v>
      </c>
      <c r="Z21" s="65">
        <f>8/13</f>
        <v>0.61538461538461542</v>
      </c>
      <c r="AA21" s="122">
        <v>111.1</v>
      </c>
      <c r="AB21" s="122">
        <v>105.4</v>
      </c>
      <c r="AC21" s="122">
        <f t="shared" si="4"/>
        <v>5.6999999999999886</v>
      </c>
      <c r="AD21" s="122">
        <v>3.2</v>
      </c>
      <c r="AE21" s="122">
        <v>28.4</v>
      </c>
      <c r="AF21" s="65">
        <v>0.77400000000000002</v>
      </c>
      <c r="AG21" s="122">
        <v>23.4</v>
      </c>
      <c r="AH21" s="122">
        <v>0.2</v>
      </c>
      <c r="AI21" s="122">
        <v>0.1</v>
      </c>
      <c r="AJ21" s="65">
        <v>0.29899999999999999</v>
      </c>
      <c r="AK21" s="122">
        <v>4.8</v>
      </c>
      <c r="AL21" s="122">
        <v>3.3</v>
      </c>
      <c r="AM21" s="122">
        <v>0.1</v>
      </c>
      <c r="AN21" s="122">
        <v>17.2</v>
      </c>
    </row>
    <row r="22" spans="1:40" x14ac:dyDescent="0.2">
      <c r="B22" s="71"/>
      <c r="K22" s="120"/>
      <c r="L22" s="120"/>
      <c r="M22" s="75"/>
      <c r="N22" s="75"/>
      <c r="O22" s="75"/>
      <c r="P22" s="61"/>
      <c r="X22" s="69"/>
      <c r="Y22" s="69"/>
      <c r="Z22" s="65"/>
      <c r="AA22" s="122"/>
      <c r="AB22" s="122"/>
      <c r="AC22" s="122"/>
      <c r="AD22" s="122"/>
      <c r="AE22" s="122"/>
      <c r="AF22" s="65"/>
      <c r="AG22" s="122"/>
      <c r="AH22" s="122"/>
      <c r="AI22" s="122"/>
      <c r="AJ22" s="65"/>
      <c r="AK22" s="122"/>
      <c r="AL22" s="122"/>
      <c r="AM22" s="122"/>
      <c r="AN22" s="122"/>
    </row>
    <row r="23" spans="1:40" x14ac:dyDescent="0.2">
      <c r="E23" s="62"/>
      <c r="F23" s="63"/>
      <c r="G23" s="62">
        <f ca="1">TODAY()</f>
        <v>44128</v>
      </c>
      <c r="H23" s="63">
        <f ca="1">AVERAGE(H2:H12)</f>
        <v>28.65454545454546</v>
      </c>
      <c r="J23" s="63">
        <f>AVERAGE(J2:J12)</f>
        <v>7.6363636363636367</v>
      </c>
      <c r="K23" s="120"/>
      <c r="L23" s="120"/>
      <c r="M23" s="75"/>
      <c r="N23" s="75"/>
      <c r="O23" s="75"/>
      <c r="P23" s="61"/>
      <c r="X23" s="137"/>
      <c r="Y23" s="137"/>
      <c r="Z23" s="127"/>
      <c r="AF23" s="127"/>
      <c r="AJ23" s="127"/>
    </row>
    <row r="24" spans="1:40" x14ac:dyDescent="0.2">
      <c r="B24" s="3"/>
      <c r="C24" s="60"/>
      <c r="H24" s="63">
        <f ca="1">MEDIAN(H2:H12)</f>
        <v>29.3</v>
      </c>
      <c r="J24" s="110">
        <f>MEDIAN(J2:J12)</f>
        <v>7</v>
      </c>
      <c r="K24" s="120"/>
      <c r="L24" s="120"/>
      <c r="M24" s="75"/>
      <c r="N24" s="75"/>
      <c r="O24" s="75"/>
      <c r="P24" s="61"/>
      <c r="X24" s="137"/>
      <c r="Y24" s="137"/>
      <c r="Z24" s="127"/>
      <c r="AF24" s="127"/>
    </row>
    <row r="25" spans="1:40" x14ac:dyDescent="0.2">
      <c r="B25" s="209" t="s">
        <v>2224</v>
      </c>
      <c r="C25" s="120"/>
      <c r="J25" s="3"/>
      <c r="K25" s="120"/>
      <c r="L25" s="120"/>
      <c r="M25" s="75"/>
      <c r="N25" s="75"/>
      <c r="O25" s="75"/>
      <c r="P25" s="181">
        <f>P2+P3+P4+P5+P6+P7+P10+P11+P12</f>
        <v>109039053</v>
      </c>
      <c r="Q25" s="75"/>
      <c r="X25" s="137"/>
      <c r="Y25" s="137"/>
      <c r="AF25" s="127"/>
    </row>
    <row r="26" spans="1:40" x14ac:dyDescent="0.2">
      <c r="B26" s="3" t="s">
        <v>2085</v>
      </c>
      <c r="C26" s="190">
        <v>9</v>
      </c>
      <c r="J26" s="209"/>
      <c r="K26" s="120"/>
      <c r="L26" s="120"/>
      <c r="M26" s="75"/>
      <c r="N26" s="75"/>
      <c r="O26" s="75"/>
      <c r="P26" s="182">
        <f>P2+P3+P4+P5+P6+P7+P8+P10+P11+P12</f>
        <v>114044353</v>
      </c>
      <c r="Q26" s="75"/>
      <c r="X26" s="137"/>
      <c r="Y26" s="137"/>
      <c r="AF26" s="127"/>
    </row>
    <row r="27" spans="1:40" x14ac:dyDescent="0.2">
      <c r="B27" s="3" t="s">
        <v>2088</v>
      </c>
      <c r="C27" s="212">
        <v>3</v>
      </c>
      <c r="J27" s="3"/>
      <c r="K27" s="120"/>
      <c r="L27" s="120"/>
      <c r="M27" s="75"/>
      <c r="N27" s="75"/>
      <c r="O27" s="3"/>
      <c r="P27" s="181">
        <f>P2+P3+P4+P5+P6+P7+P8+P9+P10+P11+P12</f>
        <v>116737344</v>
      </c>
      <c r="Q27" s="75"/>
      <c r="X27" s="137"/>
      <c r="Y27" s="137"/>
    </row>
    <row r="28" spans="1:40" x14ac:dyDescent="0.2">
      <c r="B28" s="3" t="s">
        <v>2086</v>
      </c>
      <c r="C28" s="212">
        <v>1</v>
      </c>
      <c r="J28" s="3"/>
      <c r="K28" s="58"/>
      <c r="L28" s="120"/>
      <c r="M28" s="75"/>
      <c r="N28" s="75"/>
      <c r="O28" s="22"/>
      <c r="P28" s="61"/>
      <c r="X28" s="137"/>
      <c r="Y28" s="137"/>
    </row>
    <row r="29" spans="1:40" x14ac:dyDescent="0.2">
      <c r="B29" s="3" t="s">
        <v>2219</v>
      </c>
      <c r="C29" s="22" t="s">
        <v>2384</v>
      </c>
      <c r="J29" s="3"/>
      <c r="K29" s="58"/>
      <c r="L29" s="120"/>
      <c r="M29" s="75"/>
      <c r="N29" s="75"/>
      <c r="O29" s="3" t="s">
        <v>300</v>
      </c>
      <c r="P29" s="11">
        <v>109140000</v>
      </c>
    </row>
    <row r="30" spans="1:40" x14ac:dyDescent="0.2">
      <c r="B30" s="24" t="s">
        <v>301</v>
      </c>
      <c r="C30" s="61">
        <v>0</v>
      </c>
      <c r="J30" s="3"/>
      <c r="K30" s="22"/>
      <c r="L30" s="120"/>
      <c r="M30" s="75"/>
      <c r="N30" s="75"/>
      <c r="O30" s="22" t="s">
        <v>302</v>
      </c>
      <c r="P30" s="11">
        <v>132627000</v>
      </c>
    </row>
    <row r="31" spans="1:40" x14ac:dyDescent="0.2">
      <c r="B31" s="3" t="s">
        <v>303</v>
      </c>
      <c r="C31" s="61">
        <v>0</v>
      </c>
      <c r="J31" s="3"/>
      <c r="K31" s="22"/>
      <c r="L31" s="120"/>
      <c r="M31" s="75"/>
      <c r="N31" s="75"/>
      <c r="O31" s="22"/>
      <c r="P31" s="11"/>
    </row>
    <row r="32" spans="1:40" x14ac:dyDescent="0.2">
      <c r="J32" s="24"/>
      <c r="K32" s="61"/>
      <c r="L32" s="61"/>
      <c r="O32" s="22"/>
    </row>
    <row r="33" spans="2:15" x14ac:dyDescent="0.2">
      <c r="B33" s="152" t="s">
        <v>2084</v>
      </c>
      <c r="J33" s="24"/>
      <c r="K33" s="61"/>
      <c r="L33" s="61"/>
      <c r="O33" s="22"/>
    </row>
    <row r="34" spans="2:15" x14ac:dyDescent="0.2">
      <c r="B34" s="3" t="s">
        <v>304</v>
      </c>
      <c r="C34" s="41">
        <f>49/(49+23)</f>
        <v>0.68055555555555558</v>
      </c>
      <c r="D34" s="3" t="s">
        <v>817</v>
      </c>
      <c r="E34" s="3"/>
      <c r="J34" s="3"/>
      <c r="L34" s="61"/>
    </row>
    <row r="35" spans="2:15" x14ac:dyDescent="0.2">
      <c r="B35" s="3" t="s">
        <v>306</v>
      </c>
      <c r="C35" s="113">
        <v>113.3</v>
      </c>
      <c r="D35" s="3" t="s">
        <v>2269</v>
      </c>
      <c r="E35" s="3"/>
    </row>
    <row r="36" spans="2:15" x14ac:dyDescent="0.2">
      <c r="B36" s="3" t="s">
        <v>307</v>
      </c>
      <c r="C36" s="113">
        <v>106.9</v>
      </c>
      <c r="D36" s="3" t="s">
        <v>2192</v>
      </c>
      <c r="E36" s="3"/>
    </row>
    <row r="37" spans="2:15" x14ac:dyDescent="0.2">
      <c r="B37" s="3" t="s">
        <v>308</v>
      </c>
      <c r="C37" s="113">
        <v>6.3</v>
      </c>
      <c r="D37" s="3" t="s">
        <v>2269</v>
      </c>
      <c r="E37" s="3"/>
    </row>
    <row r="38" spans="2:15" x14ac:dyDescent="0.2">
      <c r="B38" s="3" t="s">
        <v>309</v>
      </c>
      <c r="C38" s="36">
        <v>102.16</v>
      </c>
      <c r="D38" s="3" t="s">
        <v>2268</v>
      </c>
      <c r="E38" s="3"/>
    </row>
    <row r="39" spans="2:15" x14ac:dyDescent="0.2">
      <c r="B39" s="3"/>
      <c r="C39" s="3"/>
      <c r="D39" s="3"/>
      <c r="E39" s="3"/>
    </row>
    <row r="40" spans="2:15" x14ac:dyDescent="0.2">
      <c r="B40" s="2" t="s">
        <v>310</v>
      </c>
      <c r="C40" s="3"/>
      <c r="D40" s="3"/>
      <c r="E40" s="3"/>
    </row>
    <row r="41" spans="2:15" x14ac:dyDescent="0.2">
      <c r="B41" s="2" t="s">
        <v>1118</v>
      </c>
      <c r="C41" s="3"/>
      <c r="D41" s="3"/>
      <c r="E41" s="3"/>
    </row>
    <row r="42" spans="2:15" x14ac:dyDescent="0.2">
      <c r="B42" s="2" t="s">
        <v>1119</v>
      </c>
      <c r="C42" s="3"/>
      <c r="D42" s="3"/>
      <c r="E42" s="3"/>
    </row>
    <row r="43" spans="2:15" x14ac:dyDescent="0.2">
      <c r="B43" s="10"/>
      <c r="C43" s="3"/>
      <c r="D43" s="3"/>
      <c r="E43" s="3"/>
    </row>
    <row r="44" spans="2:15" x14ac:dyDescent="0.2">
      <c r="B44" s="2" t="s">
        <v>318</v>
      </c>
      <c r="C44" s="3"/>
      <c r="D44" s="3"/>
      <c r="E44" s="3"/>
    </row>
    <row r="45" spans="2:15" x14ac:dyDescent="0.2">
      <c r="B45" s="2" t="s">
        <v>1120</v>
      </c>
      <c r="C45" s="3"/>
      <c r="D45" s="3"/>
      <c r="E45" s="3"/>
    </row>
    <row r="46" spans="2:15" x14ac:dyDescent="0.2">
      <c r="B46" s="2" t="s">
        <v>480</v>
      </c>
      <c r="C46" s="3"/>
      <c r="D46" s="3"/>
      <c r="E46" s="3"/>
    </row>
    <row r="47" spans="2:15" x14ac:dyDescent="0.2">
      <c r="B47" s="2" t="s">
        <v>1121</v>
      </c>
      <c r="C47" s="3"/>
      <c r="D47" s="3"/>
      <c r="E47" s="3"/>
    </row>
    <row r="48" spans="2:15" x14ac:dyDescent="0.2">
      <c r="B48" s="2" t="s">
        <v>1122</v>
      </c>
      <c r="C48" s="3"/>
      <c r="D48" s="3"/>
      <c r="E48" s="3"/>
    </row>
    <row r="49" spans="2:9" x14ac:dyDescent="0.2">
      <c r="B49" s="2" t="s">
        <v>1123</v>
      </c>
      <c r="C49" s="3"/>
      <c r="D49" s="3"/>
      <c r="E49" s="3"/>
    </row>
    <row r="50" spans="2:9" x14ac:dyDescent="0.2">
      <c r="B50" s="2" t="s">
        <v>1124</v>
      </c>
      <c r="C50" s="3"/>
      <c r="D50" s="3"/>
      <c r="E50" s="3"/>
    </row>
    <row r="51" spans="2:9" x14ac:dyDescent="0.2">
      <c r="B51" s="2" t="s">
        <v>1125</v>
      </c>
      <c r="C51" s="3"/>
      <c r="D51" s="3"/>
      <c r="E51" s="3"/>
    </row>
    <row r="52" spans="2:9" x14ac:dyDescent="0.2">
      <c r="B52" s="2"/>
      <c r="C52" s="3"/>
      <c r="D52" s="3"/>
      <c r="E52" s="3"/>
    </row>
    <row r="53" spans="2:9" x14ac:dyDescent="0.2">
      <c r="B53" s="205" t="s">
        <v>2228</v>
      </c>
      <c r="C53" s="3"/>
      <c r="D53" s="3"/>
      <c r="E53" s="3"/>
    </row>
    <row r="54" spans="2:9" x14ac:dyDescent="0.2">
      <c r="B54" s="39" t="s">
        <v>322</v>
      </c>
      <c r="C54" s="3">
        <v>49</v>
      </c>
      <c r="D54" s="3">
        <v>23</v>
      </c>
      <c r="E54" s="3" t="s">
        <v>817</v>
      </c>
      <c r="G54" t="s">
        <v>420</v>
      </c>
      <c r="I54" s="144" t="s">
        <v>2390</v>
      </c>
    </row>
    <row r="55" spans="2:9" x14ac:dyDescent="0.2">
      <c r="B55" s="39" t="s">
        <v>325</v>
      </c>
      <c r="C55" s="3">
        <v>48</v>
      </c>
      <c r="D55" s="3">
        <v>34</v>
      </c>
      <c r="E55" s="3" t="s">
        <v>763</v>
      </c>
      <c r="G55" t="s">
        <v>420</v>
      </c>
      <c r="I55" t="s">
        <v>824</v>
      </c>
    </row>
    <row r="56" spans="2:9" x14ac:dyDescent="0.2">
      <c r="B56" s="39" t="s">
        <v>327</v>
      </c>
      <c r="C56" s="3">
        <v>42</v>
      </c>
      <c r="D56" s="3">
        <v>40</v>
      </c>
      <c r="E56" s="3" t="s">
        <v>765</v>
      </c>
      <c r="G56" t="s">
        <v>420</v>
      </c>
      <c r="I56" s="144" t="s">
        <v>324</v>
      </c>
    </row>
    <row r="57" spans="2:9" x14ac:dyDescent="0.2">
      <c r="B57" s="39" t="s">
        <v>330</v>
      </c>
      <c r="C57" s="3">
        <v>51</v>
      </c>
      <c r="D57" s="3">
        <v>31</v>
      </c>
      <c r="E57" s="3" t="s">
        <v>1006</v>
      </c>
      <c r="G57" t="s">
        <v>420</v>
      </c>
      <c r="I57" t="s">
        <v>2380</v>
      </c>
    </row>
    <row r="58" spans="2:9" x14ac:dyDescent="0.2">
      <c r="B58" s="39" t="s">
        <v>333</v>
      </c>
      <c r="C58" s="3">
        <v>53</v>
      </c>
      <c r="D58" s="3">
        <v>29</v>
      </c>
      <c r="E58" s="3" t="s">
        <v>1006</v>
      </c>
      <c r="G58" t="s">
        <v>420</v>
      </c>
      <c r="I58" t="s">
        <v>1014</v>
      </c>
    </row>
    <row r="59" spans="2:9" x14ac:dyDescent="0.2">
      <c r="B59" s="39" t="s">
        <v>336</v>
      </c>
      <c r="C59" s="3">
        <v>56</v>
      </c>
      <c r="D59" s="3">
        <v>26</v>
      </c>
      <c r="E59" s="41" t="s">
        <v>767</v>
      </c>
      <c r="G59" t="s">
        <v>420</v>
      </c>
      <c r="I59" t="s">
        <v>2381</v>
      </c>
    </row>
    <row r="60" spans="2:9" x14ac:dyDescent="0.2">
      <c r="B60" s="39" t="s">
        <v>339</v>
      </c>
      <c r="C60" s="3">
        <v>57</v>
      </c>
      <c r="D60" s="3">
        <v>25</v>
      </c>
      <c r="E60" s="41" t="s">
        <v>767</v>
      </c>
      <c r="G60" t="s">
        <v>420</v>
      </c>
      <c r="I60" t="s">
        <v>2382</v>
      </c>
    </row>
    <row r="61" spans="2:9" x14ac:dyDescent="0.2">
      <c r="B61" s="37" t="s">
        <v>342</v>
      </c>
      <c r="C61" s="3">
        <v>56</v>
      </c>
      <c r="D61" s="3">
        <v>26</v>
      </c>
      <c r="E61" s="3" t="s">
        <v>1006</v>
      </c>
      <c r="G61" t="s">
        <v>1126</v>
      </c>
      <c r="I61" t="s">
        <v>1889</v>
      </c>
    </row>
    <row r="62" spans="2:9" x14ac:dyDescent="0.2">
      <c r="B62" s="37" t="s">
        <v>346</v>
      </c>
      <c r="C62" s="3">
        <v>40</v>
      </c>
      <c r="D62" s="3">
        <v>26</v>
      </c>
      <c r="E62" s="3" t="s">
        <v>826</v>
      </c>
      <c r="G62" t="s">
        <v>1126</v>
      </c>
      <c r="I62" t="s">
        <v>2383</v>
      </c>
    </row>
    <row r="63" spans="2:9" x14ac:dyDescent="0.2">
      <c r="B63" s="37" t="s">
        <v>348</v>
      </c>
      <c r="C63" s="3">
        <v>32</v>
      </c>
      <c r="D63" s="3">
        <v>50</v>
      </c>
      <c r="E63" s="3" t="s">
        <v>758</v>
      </c>
      <c r="G63" t="s">
        <v>1126</v>
      </c>
      <c r="I63" s="144" t="s">
        <v>324</v>
      </c>
    </row>
    <row r="64" spans="2:9" x14ac:dyDescent="0.2">
      <c r="B64" s="3" t="s">
        <v>350</v>
      </c>
      <c r="C64" s="60">
        <f>SUM(C54:C63)</f>
        <v>484</v>
      </c>
      <c r="D64" s="60">
        <f>SUM(D54:D63)</f>
        <v>310</v>
      </c>
      <c r="E64" s="65">
        <f>C64/(C64+D64)</f>
        <v>0.60957178841309823</v>
      </c>
    </row>
  </sheetData>
  <pageMargins left="0.7" right="0.7" top="0.75" bottom="0.75" header="0.3" footer="0.3"/>
  <ignoredErrors>
    <ignoredError sqref="J23:J24" formulaRange="1"/>
  </ignoredErrors>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9CE8E-EA62-1C41-841D-DA6DC7C0DE3D}">
  <dimension ref="A1:AR63"/>
  <sheetViews>
    <sheetView zoomScaleNormal="100" workbookViewId="0">
      <selection sqref="A1:AR1"/>
    </sheetView>
  </sheetViews>
  <sheetFormatPr baseColWidth="10" defaultColWidth="11" defaultRowHeight="16" x14ac:dyDescent="0.2"/>
  <cols>
    <col min="1" max="1" width="3.33203125" customWidth="1"/>
    <col min="2" max="2" width="22.33203125" customWidth="1"/>
    <col min="3" max="3" width="13" customWidth="1"/>
    <col min="4" max="4" width="9.33203125" customWidth="1"/>
    <col min="5" max="5" width="10.5" customWidth="1"/>
    <col min="6" max="6" width="8.5" customWidth="1"/>
    <col min="7" max="7" width="10.5" customWidth="1"/>
    <col min="8" max="8" width="6.1640625" customWidth="1"/>
    <col min="9" max="9" width="28.1640625" customWidth="1"/>
    <col min="10" max="10" width="11.5" customWidth="1"/>
    <col min="11" max="11" width="13.33203125" bestFit="1" customWidth="1"/>
    <col min="12" max="12" width="6.6640625" customWidth="1"/>
    <col min="13" max="13" width="26.83203125" customWidth="1"/>
    <col min="14" max="14" width="15.1640625" customWidth="1"/>
    <col min="15" max="15" width="47.1640625" customWidth="1"/>
    <col min="16" max="16" width="14" customWidth="1"/>
    <col min="17" max="17" width="13.6640625" customWidth="1"/>
    <col min="18" max="18" width="12.5" customWidth="1"/>
    <col min="19" max="19" width="11.83203125" customWidth="1"/>
    <col min="20" max="20" width="12.1640625" customWidth="1"/>
    <col min="21" max="21" width="10.5" customWidth="1"/>
    <col min="22" max="22" width="79.33203125" customWidth="1"/>
    <col min="23" max="23" width="21" customWidth="1"/>
    <col min="24" max="24" width="9.83203125" customWidth="1"/>
    <col min="25" max="25" width="3.83203125" customWidth="1"/>
    <col min="26" max="26" width="7.83203125" customWidth="1"/>
    <col min="27" max="28" width="5.83203125" customWidth="1"/>
    <col min="29" max="29" width="7.6640625" customWidth="1"/>
    <col min="30" max="30" width="5.33203125" customWidth="1"/>
    <col min="31" max="31" width="4.83203125" customWidth="1"/>
    <col min="32" max="32" width="6.33203125" customWidth="1"/>
    <col min="33" max="33" width="7.5" customWidth="1"/>
    <col min="34" max="35" width="5.1640625" customWidth="1"/>
    <col min="36" max="36" width="6.5" customWidth="1"/>
    <col min="37" max="37" width="6.33203125" customWidth="1"/>
    <col min="38" max="38" width="6" customWidth="1"/>
    <col min="39" max="39" width="5.83203125" customWidth="1"/>
    <col min="40" max="40" width="5.33203125" customWidth="1"/>
  </cols>
  <sheetData>
    <row r="1" spans="1:44" x14ac:dyDescent="0.2">
      <c r="A1" s="223" t="s">
        <v>2394</v>
      </c>
      <c r="B1" s="223" t="s">
        <v>2395</v>
      </c>
      <c r="C1" s="223" t="s">
        <v>2396</v>
      </c>
      <c r="D1" s="223" t="s">
        <v>2397</v>
      </c>
      <c r="E1" s="223" t="s">
        <v>2398</v>
      </c>
      <c r="F1" s="223" t="s">
        <v>2399</v>
      </c>
      <c r="G1" s="223" t="s">
        <v>2400</v>
      </c>
      <c r="H1" s="223" t="s">
        <v>2401</v>
      </c>
      <c r="I1" s="223" t="s">
        <v>2402</v>
      </c>
      <c r="J1" s="223" t="s">
        <v>2403</v>
      </c>
      <c r="K1" s="223" t="s">
        <v>2404</v>
      </c>
      <c r="L1" s="223" t="s">
        <v>2405</v>
      </c>
      <c r="M1" s="223" t="s">
        <v>2406</v>
      </c>
      <c r="N1" s="223" t="s">
        <v>2407</v>
      </c>
      <c r="O1" s="223" t="s">
        <v>2408</v>
      </c>
      <c r="P1" s="223" t="s">
        <v>2409</v>
      </c>
      <c r="Q1" s="223" t="s">
        <v>2410</v>
      </c>
      <c r="R1" s="223" t="s">
        <v>2411</v>
      </c>
      <c r="S1" s="223" t="s">
        <v>2412</v>
      </c>
      <c r="T1" s="223" t="s">
        <v>2413</v>
      </c>
      <c r="U1" s="223" t="s">
        <v>2414</v>
      </c>
      <c r="V1" s="223" t="s">
        <v>2415</v>
      </c>
      <c r="W1" s="223" t="s">
        <v>2416</v>
      </c>
      <c r="X1" s="223" t="s">
        <v>2433</v>
      </c>
      <c r="Y1" s="223" t="s">
        <v>2417</v>
      </c>
      <c r="Z1" s="223" t="s">
        <v>2418</v>
      </c>
      <c r="AA1" s="223" t="s">
        <v>2419</v>
      </c>
      <c r="AB1" s="223" t="s">
        <v>2420</v>
      </c>
      <c r="AC1" s="223" t="s">
        <v>2421</v>
      </c>
      <c r="AD1" s="223" t="s">
        <v>2422</v>
      </c>
      <c r="AE1" s="223" t="s">
        <v>2423</v>
      </c>
      <c r="AF1" s="223" t="s">
        <v>2424</v>
      </c>
      <c r="AG1" s="223" t="s">
        <v>2425</v>
      </c>
      <c r="AH1" s="223" t="s">
        <v>2426</v>
      </c>
      <c r="AI1" s="223" t="s">
        <v>2427</v>
      </c>
      <c r="AJ1" s="223" t="s">
        <v>2428</v>
      </c>
      <c r="AK1" s="223" t="s">
        <v>2429</v>
      </c>
      <c r="AL1" s="223" t="s">
        <v>2430</v>
      </c>
      <c r="AM1" s="223" t="s">
        <v>2431</v>
      </c>
      <c r="AN1" s="223" t="s">
        <v>2432</v>
      </c>
      <c r="AO1" s="224"/>
      <c r="AP1" s="225"/>
      <c r="AQ1" s="6"/>
      <c r="AR1" s="6"/>
    </row>
    <row r="2" spans="1:44" x14ac:dyDescent="0.2">
      <c r="A2" s="3">
        <v>23</v>
      </c>
      <c r="B2" s="3" t="s">
        <v>1127</v>
      </c>
      <c r="C2" s="3" t="s">
        <v>244</v>
      </c>
      <c r="D2" s="108">
        <v>69</v>
      </c>
      <c r="E2" s="108">
        <v>70</v>
      </c>
      <c r="F2" s="109">
        <v>250</v>
      </c>
      <c r="G2" s="4">
        <v>31046</v>
      </c>
      <c r="H2" s="113">
        <f t="shared" ref="H2:H13" ca="1" si="0">ROUNDDOWN(YEARFRAC($G$24,G2),1)</f>
        <v>35.799999999999997</v>
      </c>
      <c r="I2" s="3" t="s">
        <v>1128</v>
      </c>
      <c r="J2" s="3">
        <v>18</v>
      </c>
      <c r="K2" s="112">
        <v>2003</v>
      </c>
      <c r="L2" s="112">
        <v>1</v>
      </c>
      <c r="M2" s="3" t="s">
        <v>1129</v>
      </c>
      <c r="N2" s="3" t="s">
        <v>285</v>
      </c>
      <c r="O2" s="3" t="s">
        <v>1130</v>
      </c>
      <c r="P2" s="11">
        <v>39219566</v>
      </c>
      <c r="Q2" s="48">
        <v>41002774</v>
      </c>
      <c r="R2" s="14">
        <v>45937500</v>
      </c>
      <c r="S2" s="3"/>
      <c r="T2" s="3"/>
      <c r="V2" t="s">
        <v>355</v>
      </c>
      <c r="W2" t="s">
        <v>1131</v>
      </c>
      <c r="X2" s="69">
        <v>1</v>
      </c>
      <c r="Y2" s="69">
        <v>60</v>
      </c>
      <c r="Z2" s="65">
        <f>47/60</f>
        <v>0.78333333333333333</v>
      </c>
      <c r="AA2" s="122">
        <v>113.3</v>
      </c>
      <c r="AB2" s="122">
        <v>103</v>
      </c>
      <c r="AC2" s="122">
        <f t="shared" ref="AC2:AC11" si="1">AA2-AB2</f>
        <v>10.299999999999997</v>
      </c>
      <c r="AD2" s="122">
        <v>34.9</v>
      </c>
      <c r="AE2" s="122">
        <v>26</v>
      </c>
      <c r="AF2" s="65">
        <v>0.58199999999999996</v>
      </c>
      <c r="AG2" s="122">
        <v>31.6</v>
      </c>
      <c r="AH2" s="122">
        <v>6.1</v>
      </c>
      <c r="AI2" s="122">
        <v>3.4</v>
      </c>
      <c r="AJ2" s="65">
        <v>0.218</v>
      </c>
      <c r="AK2" s="122">
        <v>6.8</v>
      </c>
      <c r="AL2" s="122">
        <v>1.9</v>
      </c>
      <c r="AM2" s="122">
        <v>5.7</v>
      </c>
      <c r="AN2" s="122">
        <v>20</v>
      </c>
    </row>
    <row r="3" spans="1:44" x14ac:dyDescent="0.2">
      <c r="A3" s="3">
        <v>3</v>
      </c>
      <c r="B3" s="3" t="s">
        <v>77</v>
      </c>
      <c r="C3" s="3" t="s">
        <v>236</v>
      </c>
      <c r="D3" s="108">
        <v>610</v>
      </c>
      <c r="E3" s="108">
        <v>76</v>
      </c>
      <c r="F3" s="109">
        <v>253</v>
      </c>
      <c r="G3" s="4">
        <v>34039</v>
      </c>
      <c r="H3" s="113">
        <f t="shared" ca="1" si="0"/>
        <v>27.6</v>
      </c>
      <c r="I3" s="3" t="s">
        <v>270</v>
      </c>
      <c r="J3" s="3">
        <v>9</v>
      </c>
      <c r="K3" s="112">
        <v>2012</v>
      </c>
      <c r="L3" s="112">
        <v>1</v>
      </c>
      <c r="M3" s="3" t="s">
        <v>1132</v>
      </c>
      <c r="N3" s="3" t="s">
        <v>1133</v>
      </c>
      <c r="O3" s="3" t="s">
        <v>1134</v>
      </c>
      <c r="P3" s="48">
        <v>28751774</v>
      </c>
      <c r="Q3" s="14">
        <v>37170000</v>
      </c>
      <c r="R3" s="12"/>
      <c r="S3" s="12"/>
      <c r="T3" s="12"/>
      <c r="W3" t="s">
        <v>1135</v>
      </c>
      <c r="X3" s="69">
        <v>4</v>
      </c>
      <c r="Y3" s="69">
        <v>55</v>
      </c>
      <c r="Z3" s="65">
        <f>43/55</f>
        <v>0.78181818181818186</v>
      </c>
      <c r="AA3" s="122">
        <v>112.3</v>
      </c>
      <c r="AB3" s="122">
        <v>105.6</v>
      </c>
      <c r="AC3" s="122">
        <f t="shared" si="1"/>
        <v>6.7000000000000028</v>
      </c>
      <c r="AD3" s="122">
        <v>34.299999999999997</v>
      </c>
      <c r="AE3" s="122">
        <v>28.2</v>
      </c>
      <c r="AF3" s="65">
        <v>0.61399999999999999</v>
      </c>
      <c r="AG3" s="122">
        <v>29.7</v>
      </c>
      <c r="AH3" s="122">
        <v>6.2</v>
      </c>
      <c r="AI3" s="122">
        <v>4.0999999999999996</v>
      </c>
      <c r="AJ3" s="65">
        <v>0.26200000000000001</v>
      </c>
      <c r="AK3" s="122">
        <v>5.8</v>
      </c>
      <c r="AL3" s="122">
        <v>2.8</v>
      </c>
      <c r="AM3" s="122">
        <v>5</v>
      </c>
      <c r="AN3" s="122">
        <v>18.3</v>
      </c>
    </row>
    <row r="4" spans="1:44" x14ac:dyDescent="0.2">
      <c r="A4" s="3">
        <v>14</v>
      </c>
      <c r="B4" s="3" t="s">
        <v>1136</v>
      </c>
      <c r="C4" s="3" t="s">
        <v>255</v>
      </c>
      <c r="D4" s="108">
        <v>66</v>
      </c>
      <c r="E4" s="108">
        <v>610</v>
      </c>
      <c r="F4" s="109">
        <v>215</v>
      </c>
      <c r="G4" s="4">
        <v>31950</v>
      </c>
      <c r="H4" s="113">
        <f t="shared" ca="1" si="0"/>
        <v>33.299999999999997</v>
      </c>
      <c r="I4" s="3" t="s">
        <v>281</v>
      </c>
      <c r="J4" s="3">
        <v>12</v>
      </c>
      <c r="K4" s="112">
        <v>2009</v>
      </c>
      <c r="L4" s="112">
        <v>46</v>
      </c>
      <c r="M4" s="3" t="s">
        <v>433</v>
      </c>
      <c r="N4" s="3" t="s">
        <v>285</v>
      </c>
      <c r="O4" s="3" t="s">
        <v>1137</v>
      </c>
      <c r="P4" s="11">
        <v>15365853</v>
      </c>
      <c r="Q4" s="14">
        <f>P4*1.3</f>
        <v>19975608.900000002</v>
      </c>
      <c r="R4" s="12"/>
      <c r="S4" s="12"/>
      <c r="T4" s="12"/>
      <c r="W4" t="s">
        <v>1138</v>
      </c>
      <c r="X4" s="69">
        <v>3</v>
      </c>
      <c r="Y4" s="69">
        <v>61</v>
      </c>
      <c r="Z4" s="65">
        <f>48/61</f>
        <v>0.78688524590163933</v>
      </c>
      <c r="AA4" s="122">
        <v>113.6</v>
      </c>
      <c r="AB4" s="122">
        <v>105</v>
      </c>
      <c r="AC4" s="122">
        <f t="shared" si="1"/>
        <v>8.5999999999999943</v>
      </c>
      <c r="AD4" s="122">
        <v>25.1</v>
      </c>
      <c r="AE4" s="122">
        <v>11.1</v>
      </c>
      <c r="AF4" s="65">
        <v>0.56399999999999995</v>
      </c>
      <c r="AG4" s="122">
        <v>13.8</v>
      </c>
      <c r="AH4" s="122">
        <v>1.1000000000000001</v>
      </c>
      <c r="AI4" s="122">
        <v>2.4</v>
      </c>
      <c r="AJ4" s="65">
        <v>0.108</v>
      </c>
      <c r="AK4" s="122">
        <v>-0.8</v>
      </c>
      <c r="AL4" s="122">
        <v>1.7</v>
      </c>
      <c r="AM4" s="122">
        <v>1.1000000000000001</v>
      </c>
      <c r="AN4" s="122">
        <v>6.6</v>
      </c>
    </row>
    <row r="5" spans="1:44" x14ac:dyDescent="0.2">
      <c r="A5" s="3">
        <v>1</v>
      </c>
      <c r="B5" s="3" t="s">
        <v>78</v>
      </c>
      <c r="C5" s="3" t="s">
        <v>255</v>
      </c>
      <c r="D5" s="108">
        <v>65</v>
      </c>
      <c r="E5" s="108">
        <v>68</v>
      </c>
      <c r="F5" s="109">
        <v>204</v>
      </c>
      <c r="G5" s="4">
        <v>34018</v>
      </c>
      <c r="H5" s="113">
        <f t="shared" ca="1" si="0"/>
        <v>27.6</v>
      </c>
      <c r="I5" s="3" t="s">
        <v>223</v>
      </c>
      <c r="J5" s="3">
        <v>8</v>
      </c>
      <c r="K5" s="112">
        <v>2013</v>
      </c>
      <c r="L5" s="112">
        <v>8</v>
      </c>
      <c r="M5" s="3" t="s">
        <v>714</v>
      </c>
      <c r="N5" s="3" t="s">
        <v>285</v>
      </c>
      <c r="O5" s="3" t="s">
        <v>1139</v>
      </c>
      <c r="P5" s="48">
        <v>8493746</v>
      </c>
      <c r="Q5" s="14">
        <f>P5*1.9</f>
        <v>16138117.399999999</v>
      </c>
      <c r="R5" s="12"/>
      <c r="S5" s="12"/>
      <c r="T5" s="12"/>
      <c r="V5" t="s">
        <v>1140</v>
      </c>
      <c r="W5" t="s">
        <v>1141</v>
      </c>
      <c r="X5" s="69">
        <v>3</v>
      </c>
      <c r="Y5" s="69">
        <v>63</v>
      </c>
      <c r="Z5" s="65">
        <f>49/63</f>
        <v>0.77777777777777779</v>
      </c>
      <c r="AA5" s="122">
        <v>112.6</v>
      </c>
      <c r="AB5" s="122">
        <v>107</v>
      </c>
      <c r="AC5" s="122">
        <f t="shared" si="1"/>
        <v>5.5999999999999943</v>
      </c>
      <c r="AD5" s="122">
        <v>25.5</v>
      </c>
      <c r="AE5" s="122">
        <v>11.6</v>
      </c>
      <c r="AF5" s="65">
        <v>0.59199999999999997</v>
      </c>
      <c r="AG5" s="122">
        <v>14.8</v>
      </c>
      <c r="AH5" s="122">
        <v>2</v>
      </c>
      <c r="AI5" s="122">
        <v>1.8</v>
      </c>
      <c r="AJ5" s="65">
        <v>0.114</v>
      </c>
      <c r="AK5" s="122">
        <v>-0.8</v>
      </c>
      <c r="AL5" s="122">
        <v>0.5</v>
      </c>
      <c r="AM5" s="122">
        <v>0.7</v>
      </c>
      <c r="AN5" s="122">
        <v>6.8</v>
      </c>
    </row>
    <row r="6" spans="1:44" x14ac:dyDescent="0.2">
      <c r="A6" s="3">
        <v>11</v>
      </c>
      <c r="B6" s="3" t="s">
        <v>79</v>
      </c>
      <c r="C6" s="3" t="s">
        <v>232</v>
      </c>
      <c r="D6" s="108">
        <v>63</v>
      </c>
      <c r="E6" s="108">
        <v>67</v>
      </c>
      <c r="F6" s="109">
        <v>180</v>
      </c>
      <c r="G6" s="4">
        <v>33203</v>
      </c>
      <c r="H6" s="113">
        <f t="shared" ca="1" si="0"/>
        <v>29.9</v>
      </c>
      <c r="I6" s="3" t="s">
        <v>424</v>
      </c>
      <c r="J6" s="3">
        <v>11</v>
      </c>
      <c r="K6" s="112">
        <v>2010</v>
      </c>
      <c r="L6" s="112">
        <v>19</v>
      </c>
      <c r="M6" s="3" t="s">
        <v>436</v>
      </c>
      <c r="N6" s="3" t="s">
        <v>299</v>
      </c>
      <c r="O6" s="3" t="s">
        <v>371</v>
      </c>
      <c r="P6" s="48">
        <v>5005350</v>
      </c>
      <c r="Q6" s="14">
        <f>P6*1.3</f>
        <v>6506955</v>
      </c>
      <c r="R6" s="12"/>
      <c r="S6" s="12"/>
      <c r="T6" s="12"/>
      <c r="W6" t="s">
        <v>1142</v>
      </c>
      <c r="X6" s="69">
        <v>2</v>
      </c>
      <c r="Y6" s="69">
        <v>49</v>
      </c>
      <c r="Z6" s="65">
        <f>36/49</f>
        <v>0.73469387755102045</v>
      </c>
      <c r="AA6" s="122">
        <v>111.3</v>
      </c>
      <c r="AB6" s="122">
        <v>104</v>
      </c>
      <c r="AC6" s="122">
        <f t="shared" si="1"/>
        <v>7.2999999999999972</v>
      </c>
      <c r="AD6" s="122">
        <v>24.2</v>
      </c>
      <c r="AE6" s="122">
        <v>8.9</v>
      </c>
      <c r="AF6" s="65">
        <v>0.53700000000000003</v>
      </c>
      <c r="AG6" s="122">
        <v>15.7</v>
      </c>
      <c r="AH6" s="122">
        <v>0.2</v>
      </c>
      <c r="AI6" s="122">
        <v>1.4</v>
      </c>
      <c r="AJ6" s="65">
        <v>6.6000000000000003E-2</v>
      </c>
      <c r="AK6" s="122">
        <v>-2.9</v>
      </c>
      <c r="AL6" s="122">
        <v>0.5</v>
      </c>
      <c r="AM6" s="122">
        <v>-0.1</v>
      </c>
      <c r="AN6" s="122">
        <v>5.5</v>
      </c>
    </row>
    <row r="7" spans="1:44" x14ac:dyDescent="0.2">
      <c r="A7" s="3">
        <v>7</v>
      </c>
      <c r="B7" s="3" t="s">
        <v>1143</v>
      </c>
      <c r="C7" s="3" t="s">
        <v>236</v>
      </c>
      <c r="D7" s="108">
        <v>70</v>
      </c>
      <c r="E7" s="108">
        <v>76</v>
      </c>
      <c r="F7" s="109">
        <v>270</v>
      </c>
      <c r="G7" s="4">
        <v>32161</v>
      </c>
      <c r="H7" s="113">
        <f t="shared" ca="1" si="0"/>
        <v>32.700000000000003</v>
      </c>
      <c r="I7" s="3" t="s">
        <v>528</v>
      </c>
      <c r="J7" s="3">
        <v>13</v>
      </c>
      <c r="K7" s="112">
        <v>2008</v>
      </c>
      <c r="L7" s="112">
        <v>18</v>
      </c>
      <c r="M7" s="3" t="s">
        <v>1144</v>
      </c>
      <c r="N7" s="3" t="s">
        <v>285</v>
      </c>
      <c r="O7" s="3" t="s">
        <v>1145</v>
      </c>
      <c r="P7" s="48">
        <v>4200000</v>
      </c>
      <c r="Q7" s="14">
        <f>P7*1.9</f>
        <v>7980000</v>
      </c>
      <c r="R7" s="12"/>
      <c r="S7" s="12"/>
      <c r="T7" s="12"/>
      <c r="W7" s="135" t="s">
        <v>240</v>
      </c>
      <c r="X7" s="69">
        <v>5</v>
      </c>
      <c r="Y7" s="69">
        <v>61</v>
      </c>
      <c r="Z7" s="65">
        <f>48/61</f>
        <v>0.78688524590163933</v>
      </c>
      <c r="AA7" s="122">
        <v>113.6</v>
      </c>
      <c r="AB7" s="122">
        <v>104.7</v>
      </c>
      <c r="AC7" s="122">
        <f t="shared" si="1"/>
        <v>8.8999999999999915</v>
      </c>
      <c r="AD7" s="122">
        <v>16.8</v>
      </c>
      <c r="AE7" s="122">
        <v>20</v>
      </c>
      <c r="AF7" s="65">
        <v>0.65500000000000003</v>
      </c>
      <c r="AG7" s="122">
        <v>15</v>
      </c>
      <c r="AH7" s="122">
        <v>2.2000000000000002</v>
      </c>
      <c r="AI7" s="122">
        <v>2.2999999999999998</v>
      </c>
      <c r="AJ7" s="65">
        <v>0.21099999999999999</v>
      </c>
      <c r="AK7" s="122">
        <v>-0.3</v>
      </c>
      <c r="AL7" s="122">
        <v>2.2999999999999998</v>
      </c>
      <c r="AM7" s="122">
        <v>1.1000000000000001</v>
      </c>
      <c r="AN7" s="122">
        <v>11.6</v>
      </c>
    </row>
    <row r="8" spans="1:44" x14ac:dyDescent="0.2">
      <c r="A8" s="3">
        <v>0</v>
      </c>
      <c r="B8" s="3" t="s">
        <v>1150</v>
      </c>
      <c r="C8" s="3" t="s">
        <v>236</v>
      </c>
      <c r="D8" s="108">
        <v>68</v>
      </c>
      <c r="E8" s="108">
        <v>70</v>
      </c>
      <c r="F8" s="109">
        <v>221</v>
      </c>
      <c r="G8" s="4">
        <v>34904</v>
      </c>
      <c r="H8" s="113">
        <f t="shared" ca="1" si="0"/>
        <v>25.2</v>
      </c>
      <c r="I8" s="3" t="s">
        <v>710</v>
      </c>
      <c r="J8" s="3">
        <v>4</v>
      </c>
      <c r="K8" s="112">
        <v>2017</v>
      </c>
      <c r="L8" s="112">
        <v>27</v>
      </c>
      <c r="M8" s="3" t="s">
        <v>1151</v>
      </c>
      <c r="N8" s="3" t="s">
        <v>1152</v>
      </c>
      <c r="O8" s="3" t="s">
        <v>1153</v>
      </c>
      <c r="P8" s="11">
        <v>3562178</v>
      </c>
      <c r="Q8" s="50">
        <f>P8*3</f>
        <v>10686534</v>
      </c>
      <c r="R8" s="12"/>
      <c r="S8" s="12"/>
      <c r="T8" s="12"/>
      <c r="W8" t="s">
        <v>1154</v>
      </c>
      <c r="X8" s="69">
        <v>4</v>
      </c>
      <c r="Y8" s="69">
        <v>54</v>
      </c>
      <c r="Z8" s="65">
        <f>43/54</f>
        <v>0.79629629629629628</v>
      </c>
      <c r="AA8" s="122">
        <v>109.8</v>
      </c>
      <c r="AB8" s="122">
        <v>104.5</v>
      </c>
      <c r="AC8" s="122">
        <f t="shared" si="1"/>
        <v>5.2999999999999972</v>
      </c>
      <c r="AD8" s="122">
        <v>24.6</v>
      </c>
      <c r="AE8" s="122">
        <v>11.6</v>
      </c>
      <c r="AF8" s="65">
        <v>0.52200000000000002</v>
      </c>
      <c r="AG8" s="122">
        <v>23.2</v>
      </c>
      <c r="AH8" s="122">
        <v>-0.2</v>
      </c>
      <c r="AI8" s="122">
        <v>1.6</v>
      </c>
      <c r="AJ8" s="65">
        <v>5.1999999999999998E-2</v>
      </c>
      <c r="AK8" s="122">
        <v>-2.2000000000000002</v>
      </c>
      <c r="AL8" s="122">
        <v>-1.3</v>
      </c>
      <c r="AM8" s="122">
        <v>-0.5</v>
      </c>
      <c r="AN8" s="122">
        <v>8.1999999999999993</v>
      </c>
    </row>
    <row r="9" spans="1:44" x14ac:dyDescent="0.2">
      <c r="A9" s="3">
        <v>28</v>
      </c>
      <c r="B9" s="3" t="s">
        <v>80</v>
      </c>
      <c r="C9" s="3" t="s">
        <v>232</v>
      </c>
      <c r="D9" s="108">
        <v>61</v>
      </c>
      <c r="E9" s="108">
        <v>64</v>
      </c>
      <c r="F9" s="109">
        <v>180</v>
      </c>
      <c r="G9" s="4">
        <v>34051</v>
      </c>
      <c r="H9" s="113">
        <f t="shared" ca="1" si="0"/>
        <v>27.5</v>
      </c>
      <c r="I9" s="3" t="s">
        <v>256</v>
      </c>
      <c r="J9" s="3">
        <v>5</v>
      </c>
      <c r="K9" s="112">
        <v>2015</v>
      </c>
      <c r="L9" s="112"/>
      <c r="M9" s="3" t="s">
        <v>1146</v>
      </c>
      <c r="N9" s="3" t="s">
        <v>285</v>
      </c>
      <c r="O9" s="3" t="s">
        <v>1147</v>
      </c>
      <c r="P9" s="15">
        <v>3000000</v>
      </c>
      <c r="Q9" s="14">
        <v>3900000</v>
      </c>
      <c r="R9" s="12"/>
      <c r="S9" s="12"/>
      <c r="T9" s="12"/>
      <c r="W9" s="135" t="s">
        <v>291</v>
      </c>
      <c r="X9" s="69">
        <v>1</v>
      </c>
      <c r="Y9" s="69">
        <v>38</v>
      </c>
      <c r="Z9" s="65">
        <f>30/38</f>
        <v>0.78947368421052633</v>
      </c>
      <c r="AA9" s="122">
        <v>109.1</v>
      </c>
      <c r="AB9" s="122">
        <v>100.3</v>
      </c>
      <c r="AC9" s="122">
        <f t="shared" si="1"/>
        <v>8.7999999999999972</v>
      </c>
      <c r="AD9" s="122">
        <v>10.8</v>
      </c>
      <c r="AE9" s="122">
        <v>10.5</v>
      </c>
      <c r="AF9" s="65">
        <v>0.51700000000000002</v>
      </c>
      <c r="AG9" s="122">
        <v>20.8</v>
      </c>
      <c r="AH9" s="122">
        <v>-0.1</v>
      </c>
      <c r="AI9" s="122">
        <v>0.4</v>
      </c>
      <c r="AJ9" s="65">
        <v>4.2999999999999997E-2</v>
      </c>
      <c r="AK9" s="122">
        <v>-2.2999999999999998</v>
      </c>
      <c r="AL9" s="122">
        <v>-1</v>
      </c>
      <c r="AM9" s="122">
        <v>-0.1</v>
      </c>
      <c r="AN9" s="122">
        <v>7.7</v>
      </c>
    </row>
    <row r="10" spans="1:44" x14ac:dyDescent="0.2">
      <c r="A10" s="3">
        <v>4</v>
      </c>
      <c r="B10" s="3" t="s">
        <v>1148</v>
      </c>
      <c r="C10" s="3" t="s">
        <v>232</v>
      </c>
      <c r="D10" s="108">
        <v>65</v>
      </c>
      <c r="E10" s="108">
        <v>66</v>
      </c>
      <c r="F10" s="109">
        <v>186</v>
      </c>
      <c r="G10" s="4">
        <v>34393</v>
      </c>
      <c r="H10" s="113">
        <f t="shared" ca="1" si="0"/>
        <v>26.6</v>
      </c>
      <c r="I10" s="3" t="s">
        <v>386</v>
      </c>
      <c r="J10" s="3">
        <v>4</v>
      </c>
      <c r="K10" s="112">
        <v>2016</v>
      </c>
      <c r="L10" s="112"/>
      <c r="M10" s="3" t="s">
        <v>714</v>
      </c>
      <c r="N10" s="3" t="s">
        <v>5</v>
      </c>
      <c r="O10" s="3" t="s">
        <v>1147</v>
      </c>
      <c r="P10" s="11">
        <v>2750000</v>
      </c>
      <c r="Q10" s="14">
        <f>P10*1.9</f>
        <v>5225000</v>
      </c>
      <c r="R10" s="12"/>
      <c r="S10" s="12"/>
      <c r="T10" s="12"/>
      <c r="W10" t="s">
        <v>1149</v>
      </c>
      <c r="X10" s="69">
        <v>2</v>
      </c>
      <c r="Y10" s="69">
        <v>58</v>
      </c>
      <c r="Z10" s="65">
        <f>45/58</f>
        <v>0.77586206896551724</v>
      </c>
      <c r="AA10" s="122">
        <v>110.6</v>
      </c>
      <c r="AB10" s="122">
        <v>100.3</v>
      </c>
      <c r="AC10" s="122">
        <f t="shared" si="1"/>
        <v>10.299999999999997</v>
      </c>
      <c r="AD10" s="122">
        <v>17.8</v>
      </c>
      <c r="AE10" s="122">
        <v>11</v>
      </c>
      <c r="AF10" s="65">
        <v>0.53800000000000003</v>
      </c>
      <c r="AG10" s="122">
        <v>13.9</v>
      </c>
      <c r="AH10" s="122">
        <v>0.6</v>
      </c>
      <c r="AI10" s="122">
        <v>1.6</v>
      </c>
      <c r="AJ10" s="65">
        <v>0.10299999999999999</v>
      </c>
      <c r="AK10" s="122">
        <v>-2.4</v>
      </c>
      <c r="AL10" s="122">
        <v>2.4</v>
      </c>
      <c r="AM10" s="122">
        <v>0.5</v>
      </c>
      <c r="AN10" s="122">
        <v>7.5</v>
      </c>
    </row>
    <row r="11" spans="1:44" x14ac:dyDescent="0.2">
      <c r="A11" s="3">
        <v>9</v>
      </c>
      <c r="B11" s="3" t="s">
        <v>81</v>
      </c>
      <c r="C11" s="3" t="s">
        <v>250</v>
      </c>
      <c r="D11" s="108">
        <v>61</v>
      </c>
      <c r="E11" s="108">
        <v>69</v>
      </c>
      <c r="F11" s="109">
        <v>180</v>
      </c>
      <c r="G11" s="4">
        <v>31465</v>
      </c>
      <c r="H11" s="113">
        <f t="shared" ca="1" si="0"/>
        <v>34.6</v>
      </c>
      <c r="I11" s="3" t="s">
        <v>270</v>
      </c>
      <c r="J11" s="3">
        <v>15</v>
      </c>
      <c r="K11" s="112">
        <v>2006</v>
      </c>
      <c r="L11" s="112">
        <v>21</v>
      </c>
      <c r="M11" s="3" t="s">
        <v>1032</v>
      </c>
      <c r="N11" s="3" t="s">
        <v>282</v>
      </c>
      <c r="O11" s="3" t="s">
        <v>380</v>
      </c>
      <c r="P11" s="48">
        <v>2692991</v>
      </c>
      <c r="Q11" s="14">
        <v>1856061</v>
      </c>
      <c r="R11" s="12"/>
      <c r="S11" s="12"/>
      <c r="T11" s="12"/>
      <c r="W11" t="s">
        <v>742</v>
      </c>
      <c r="X11" s="69">
        <v>1</v>
      </c>
      <c r="Y11" s="69">
        <v>48</v>
      </c>
      <c r="Z11" s="65">
        <f>37/48</f>
        <v>0.77083333333333337</v>
      </c>
      <c r="AA11" s="122">
        <v>108.7</v>
      </c>
      <c r="AB11" s="122">
        <v>107.3</v>
      </c>
      <c r="AC11" s="122">
        <f t="shared" si="1"/>
        <v>1.4000000000000057</v>
      </c>
      <c r="AD11" s="122">
        <v>20.5</v>
      </c>
      <c r="AE11" s="122">
        <v>12.4</v>
      </c>
      <c r="AF11" s="65">
        <v>0.49399999999999999</v>
      </c>
      <c r="AG11" s="122">
        <v>18.7</v>
      </c>
      <c r="AH11" s="122">
        <v>0.2</v>
      </c>
      <c r="AI11" s="122">
        <v>1.3</v>
      </c>
      <c r="AJ11" s="65">
        <v>7.2999999999999995E-2</v>
      </c>
      <c r="AK11" s="122">
        <v>-1.1000000000000001</v>
      </c>
      <c r="AL11" s="122">
        <v>0</v>
      </c>
      <c r="AM11" s="122">
        <v>0.2</v>
      </c>
      <c r="AN11" s="122">
        <v>10.4</v>
      </c>
    </row>
    <row r="12" spans="1:44" x14ac:dyDescent="0.2">
      <c r="A12" s="3">
        <v>5</v>
      </c>
      <c r="B12" s="3" t="s">
        <v>1160</v>
      </c>
      <c r="C12" s="3" t="s">
        <v>255</v>
      </c>
      <c r="D12" s="108">
        <v>64</v>
      </c>
      <c r="E12" s="108">
        <v>71</v>
      </c>
      <c r="F12" s="109">
        <v>234</v>
      </c>
      <c r="G12" s="4">
        <v>36855</v>
      </c>
      <c r="H12" s="113">
        <f t="shared" ca="1" si="0"/>
        <v>19.899999999999999</v>
      </c>
      <c r="I12" s="3" t="s">
        <v>230</v>
      </c>
      <c r="J12" s="3">
        <v>2</v>
      </c>
      <c r="K12" s="112">
        <v>2019</v>
      </c>
      <c r="L12" s="112">
        <v>46</v>
      </c>
      <c r="M12" s="3" t="s">
        <v>1161</v>
      </c>
      <c r="N12" s="3" t="s">
        <v>282</v>
      </c>
      <c r="O12" s="3" t="s">
        <v>402</v>
      </c>
      <c r="P12" s="11">
        <v>1517981</v>
      </c>
      <c r="Q12" s="50">
        <v>1782621</v>
      </c>
      <c r="R12" s="12"/>
      <c r="S12" s="12"/>
      <c r="T12" s="12"/>
      <c r="X12" s="69"/>
      <c r="Y12" s="69"/>
      <c r="Z12" s="65"/>
      <c r="AA12" s="122"/>
      <c r="AB12" s="122"/>
      <c r="AC12" s="122"/>
      <c r="AD12" s="122"/>
      <c r="AE12" s="122"/>
      <c r="AF12" s="65"/>
      <c r="AG12" s="122"/>
      <c r="AH12" s="122"/>
      <c r="AI12" s="122"/>
      <c r="AJ12" s="65"/>
      <c r="AK12" s="122"/>
      <c r="AL12" s="122"/>
      <c r="AM12" s="122"/>
      <c r="AN12" s="122"/>
    </row>
    <row r="13" spans="1:44" x14ac:dyDescent="0.2">
      <c r="A13" s="3">
        <v>12</v>
      </c>
      <c r="B13" s="3" t="s">
        <v>1163</v>
      </c>
      <c r="C13" s="3" t="s">
        <v>236</v>
      </c>
      <c r="D13" s="108">
        <v>68</v>
      </c>
      <c r="E13" s="108"/>
      <c r="F13" s="109">
        <v>240</v>
      </c>
      <c r="G13" s="4">
        <v>35346</v>
      </c>
      <c r="H13" s="113">
        <f t="shared" ca="1" si="0"/>
        <v>24</v>
      </c>
      <c r="I13" s="3" t="s">
        <v>1164</v>
      </c>
      <c r="J13" s="3">
        <v>2</v>
      </c>
      <c r="K13" s="112">
        <v>2019</v>
      </c>
      <c r="L13" s="112"/>
      <c r="M13" s="3" t="s">
        <v>1165</v>
      </c>
      <c r="N13" s="3" t="s">
        <v>295</v>
      </c>
      <c r="O13" s="3" t="s">
        <v>1166</v>
      </c>
      <c r="P13" s="3" t="s">
        <v>295</v>
      </c>
      <c r="Q13" s="34"/>
      <c r="R13" s="54"/>
      <c r="S13" s="54"/>
      <c r="T13" s="54"/>
      <c r="X13" s="69"/>
      <c r="Y13" s="69"/>
      <c r="Z13" s="65"/>
      <c r="AA13" s="122"/>
      <c r="AB13" s="122"/>
      <c r="AC13" s="122"/>
      <c r="AD13" s="122"/>
      <c r="AE13" s="122"/>
      <c r="AF13" s="65"/>
      <c r="AG13" s="122"/>
      <c r="AH13" s="122"/>
      <c r="AI13" s="122"/>
      <c r="AJ13" s="65"/>
      <c r="AK13" s="122"/>
      <c r="AL13" s="122"/>
      <c r="AM13" s="122"/>
      <c r="AN13" s="122"/>
    </row>
    <row r="14" spans="1:44" x14ac:dyDescent="0.2">
      <c r="A14" s="3"/>
      <c r="B14" s="3" t="s">
        <v>297</v>
      </c>
      <c r="C14" s="3"/>
      <c r="D14" s="3"/>
      <c r="E14" s="3"/>
      <c r="F14" s="3"/>
      <c r="G14" s="3"/>
      <c r="H14" s="3"/>
      <c r="I14" s="3"/>
      <c r="J14" s="3"/>
      <c r="K14" s="58"/>
      <c r="L14" s="58"/>
      <c r="M14" s="58"/>
      <c r="N14" s="16"/>
      <c r="O14" s="16"/>
      <c r="P14" s="58">
        <v>5000000</v>
      </c>
      <c r="Q14" s="58">
        <v>5000000</v>
      </c>
      <c r="R14" s="16"/>
      <c r="S14" s="16"/>
      <c r="T14" s="16"/>
      <c r="X14" s="137"/>
      <c r="Y14" s="137"/>
      <c r="Z14" s="127"/>
      <c r="AJ14" s="127"/>
    </row>
    <row r="15" spans="1:44" x14ac:dyDescent="0.2">
      <c r="A15" s="3"/>
      <c r="B15" s="3" t="s">
        <v>1929</v>
      </c>
      <c r="C15" s="3"/>
      <c r="D15" s="3"/>
      <c r="E15" s="3"/>
      <c r="F15" s="3"/>
      <c r="G15" s="3"/>
      <c r="H15" s="3"/>
      <c r="I15" s="3"/>
      <c r="J15" s="3"/>
      <c r="K15" s="55"/>
      <c r="L15" s="16"/>
      <c r="M15" s="16"/>
      <c r="N15" s="16"/>
      <c r="O15" s="16"/>
      <c r="P15" s="11">
        <v>1964760</v>
      </c>
      <c r="Q15" s="11">
        <v>2063280</v>
      </c>
      <c r="R15" s="51">
        <v>2161440</v>
      </c>
      <c r="S15" s="51">
        <v>3901399</v>
      </c>
      <c r="T15" s="50">
        <v>11704197</v>
      </c>
      <c r="X15" s="137"/>
      <c r="Y15" s="137"/>
      <c r="Z15" s="127"/>
      <c r="AJ15" s="127"/>
    </row>
    <row r="16" spans="1:44" x14ac:dyDescent="0.2">
      <c r="A16" s="3"/>
      <c r="B16" s="5"/>
      <c r="C16" s="3"/>
      <c r="D16" s="3"/>
      <c r="E16" s="3"/>
      <c r="F16" s="3"/>
      <c r="G16" s="3"/>
      <c r="H16" s="3"/>
      <c r="I16" s="3"/>
      <c r="J16" s="3"/>
      <c r="K16" s="55"/>
      <c r="L16" s="16"/>
      <c r="M16" s="16"/>
      <c r="N16" s="16"/>
      <c r="O16" s="16"/>
      <c r="P16" s="11"/>
      <c r="Q16" s="11"/>
      <c r="R16" s="16"/>
      <c r="S16" s="16"/>
      <c r="T16" s="16"/>
      <c r="X16" s="137"/>
      <c r="Y16" s="137"/>
      <c r="Z16" s="127"/>
      <c r="AJ16" s="127"/>
    </row>
    <row r="17" spans="1:40" x14ac:dyDescent="0.2">
      <c r="A17" s="3">
        <v>88</v>
      </c>
      <c r="B17" s="3" t="s">
        <v>82</v>
      </c>
      <c r="C17" s="3" t="s">
        <v>244</v>
      </c>
      <c r="D17" s="108">
        <v>68</v>
      </c>
      <c r="E17" s="108">
        <v>611</v>
      </c>
      <c r="F17" s="109">
        <v>245</v>
      </c>
      <c r="G17" s="4">
        <v>32753</v>
      </c>
      <c r="H17" s="113">
        <f t="shared" ref="H17:H22" ca="1" si="2">ROUNDDOWN(YEARFRAC($G$24,G17),1)</f>
        <v>31.1</v>
      </c>
      <c r="I17" s="3" t="s">
        <v>524</v>
      </c>
      <c r="J17" s="3">
        <v>10</v>
      </c>
      <c r="K17" s="112">
        <v>2011</v>
      </c>
      <c r="L17" s="112">
        <v>13</v>
      </c>
      <c r="M17" s="3" t="s">
        <v>1155</v>
      </c>
      <c r="N17" s="3"/>
      <c r="O17" s="3"/>
      <c r="P17" s="14">
        <v>2100000</v>
      </c>
      <c r="Q17" s="12"/>
      <c r="R17" s="54"/>
      <c r="S17" s="54"/>
      <c r="T17" s="54"/>
      <c r="W17" t="s">
        <v>1156</v>
      </c>
      <c r="X17" s="69">
        <v>4</v>
      </c>
      <c r="Y17" s="69">
        <v>8</v>
      </c>
      <c r="Z17" s="65">
        <f>6/8</f>
        <v>0.75</v>
      </c>
      <c r="AA17" s="122">
        <v>95.1</v>
      </c>
      <c r="AB17" s="122">
        <v>101.5</v>
      </c>
      <c r="AC17" s="122">
        <f t="shared" ref="AC17:AC19" si="3">AA17-AB17</f>
        <v>-6.4000000000000057</v>
      </c>
      <c r="AD17" s="122">
        <v>14.7</v>
      </c>
      <c r="AE17" s="122">
        <v>9.8000000000000007</v>
      </c>
      <c r="AF17" s="65">
        <v>0.503</v>
      </c>
      <c r="AG17" s="122">
        <v>15.3</v>
      </c>
      <c r="AH17" s="122">
        <v>0.1</v>
      </c>
      <c r="AI17" s="122">
        <v>0.2</v>
      </c>
      <c r="AJ17" s="65">
        <v>8.5999999999999993E-2</v>
      </c>
      <c r="AK17" s="122">
        <v>-2.5</v>
      </c>
      <c r="AL17" s="122">
        <v>0.1</v>
      </c>
      <c r="AM17" s="122">
        <v>0</v>
      </c>
      <c r="AN17" s="122">
        <v>6.1</v>
      </c>
    </row>
    <row r="18" spans="1:40" x14ac:dyDescent="0.2">
      <c r="A18" s="3">
        <v>10</v>
      </c>
      <c r="B18" s="3" t="s">
        <v>83</v>
      </c>
      <c r="C18" s="3" t="s">
        <v>236</v>
      </c>
      <c r="D18" s="108">
        <v>66</v>
      </c>
      <c r="E18" s="108">
        <v>67</v>
      </c>
      <c r="F18" s="109">
        <v>237</v>
      </c>
      <c r="G18" s="4">
        <v>31238</v>
      </c>
      <c r="H18" s="113">
        <f t="shared" ca="1" si="2"/>
        <v>35.200000000000003</v>
      </c>
      <c r="I18" s="3" t="s">
        <v>915</v>
      </c>
      <c r="J18" s="3">
        <v>14</v>
      </c>
      <c r="K18" s="112">
        <v>2007</v>
      </c>
      <c r="L18" s="112">
        <v>22</v>
      </c>
      <c r="M18" s="3" t="s">
        <v>427</v>
      </c>
      <c r="N18" s="3"/>
      <c r="O18" s="3"/>
      <c r="P18" s="14">
        <v>1620564</v>
      </c>
      <c r="Q18" s="12"/>
      <c r="R18" s="54"/>
      <c r="S18" s="54"/>
      <c r="T18" s="54"/>
      <c r="W18" t="s">
        <v>1157</v>
      </c>
      <c r="X18" s="69">
        <v>4</v>
      </c>
      <c r="Y18" s="69">
        <v>40</v>
      </c>
      <c r="Z18" s="65">
        <f>29/40</f>
        <v>0.72499999999999998</v>
      </c>
      <c r="AA18" s="122">
        <v>100</v>
      </c>
      <c r="AB18" s="122">
        <v>97.5</v>
      </c>
      <c r="AC18" s="122">
        <f t="shared" si="3"/>
        <v>2.5</v>
      </c>
      <c r="AD18" s="122">
        <v>7.8</v>
      </c>
      <c r="AE18" s="122">
        <v>7.4</v>
      </c>
      <c r="AF18" s="65">
        <v>0.56999999999999995</v>
      </c>
      <c r="AG18" s="122">
        <v>7.7</v>
      </c>
      <c r="AH18" s="122">
        <v>0.2</v>
      </c>
      <c r="AI18" s="122">
        <v>0.4</v>
      </c>
      <c r="AJ18" s="65">
        <v>0.10299999999999999</v>
      </c>
      <c r="AK18" s="122">
        <v>-2.7</v>
      </c>
      <c r="AL18" s="122">
        <v>2</v>
      </c>
      <c r="AM18" s="122">
        <v>0.1</v>
      </c>
      <c r="AN18" s="122">
        <v>5.6</v>
      </c>
    </row>
    <row r="19" spans="1:40" x14ac:dyDescent="0.2">
      <c r="A19" s="3">
        <v>39</v>
      </c>
      <c r="B19" s="3" t="s">
        <v>84</v>
      </c>
      <c r="C19" s="3" t="s">
        <v>236</v>
      </c>
      <c r="D19" s="108">
        <v>610</v>
      </c>
      <c r="E19" s="108">
        <v>75</v>
      </c>
      <c r="F19" s="109">
        <v>265</v>
      </c>
      <c r="G19" s="4">
        <v>31389</v>
      </c>
      <c r="H19" s="113">
        <f t="shared" ca="1" si="2"/>
        <v>34.799999999999997</v>
      </c>
      <c r="I19" s="3" t="s">
        <v>1158</v>
      </c>
      <c r="J19" s="3">
        <v>17</v>
      </c>
      <c r="K19" s="112">
        <v>2004</v>
      </c>
      <c r="L19" s="112">
        <v>1</v>
      </c>
      <c r="M19" s="3" t="s">
        <v>1159</v>
      </c>
      <c r="N19" s="3"/>
      <c r="O19" s="3"/>
      <c r="P19" s="14">
        <v>1620564</v>
      </c>
      <c r="Q19" s="12"/>
      <c r="R19" s="54"/>
      <c r="S19" s="54"/>
      <c r="T19" s="54"/>
      <c r="W19" s="135" t="s">
        <v>240</v>
      </c>
      <c r="X19" s="69">
        <v>5</v>
      </c>
      <c r="Y19" s="69">
        <v>62</v>
      </c>
      <c r="Z19" s="65">
        <f>49/62</f>
        <v>0.79032258064516125</v>
      </c>
      <c r="AA19" s="122">
        <v>112.8</v>
      </c>
      <c r="AB19" s="122">
        <v>106</v>
      </c>
      <c r="AC19" s="122">
        <f t="shared" si="3"/>
        <v>6.7999999999999972</v>
      </c>
      <c r="AD19" s="122">
        <v>19.2</v>
      </c>
      <c r="AE19" s="122">
        <v>18.7</v>
      </c>
      <c r="AF19" s="65">
        <v>0.69599999999999995</v>
      </c>
      <c r="AG19" s="122">
        <v>14.5</v>
      </c>
      <c r="AH19" s="122">
        <v>2.6</v>
      </c>
      <c r="AI19" s="122">
        <v>2.4</v>
      </c>
      <c r="AJ19" s="65">
        <v>0.20200000000000001</v>
      </c>
      <c r="AK19" s="122">
        <v>-0.8</v>
      </c>
      <c r="AL19" s="122">
        <v>1.4</v>
      </c>
      <c r="AM19" s="122">
        <v>0.8</v>
      </c>
      <c r="AN19" s="122">
        <v>11.4</v>
      </c>
    </row>
    <row r="20" spans="1:40" x14ac:dyDescent="0.2">
      <c r="A20" s="3">
        <v>18</v>
      </c>
      <c r="B20" s="3" t="s">
        <v>85</v>
      </c>
      <c r="C20" s="3" t="s">
        <v>232</v>
      </c>
      <c r="D20" s="108">
        <v>63</v>
      </c>
      <c r="E20" s="108">
        <v>67</v>
      </c>
      <c r="F20" s="109">
        <v>210</v>
      </c>
      <c r="G20" s="4">
        <v>33582</v>
      </c>
      <c r="H20" s="113">
        <f t="shared" ca="1" si="2"/>
        <v>28.8</v>
      </c>
      <c r="I20" s="3" t="s">
        <v>777</v>
      </c>
      <c r="J20" s="3">
        <v>9</v>
      </c>
      <c r="K20" s="112">
        <v>2012</v>
      </c>
      <c r="L20" s="112">
        <v>4</v>
      </c>
      <c r="M20" s="3" t="s">
        <v>1162</v>
      </c>
      <c r="N20" s="3"/>
      <c r="O20" s="3"/>
      <c r="P20" s="14">
        <v>1620564</v>
      </c>
      <c r="Q20" s="3"/>
      <c r="R20" s="54"/>
      <c r="S20" s="54"/>
      <c r="T20" s="54"/>
      <c r="X20" s="69"/>
      <c r="Y20" s="69"/>
      <c r="Z20" s="65"/>
      <c r="AA20" s="122"/>
      <c r="AB20" s="122"/>
      <c r="AC20" s="122"/>
      <c r="AD20" s="122"/>
      <c r="AE20" s="122"/>
      <c r="AF20" s="65"/>
      <c r="AG20" s="122"/>
      <c r="AH20" s="122"/>
      <c r="AI20" s="122"/>
      <c r="AJ20" s="127"/>
    </row>
    <row r="21" spans="1:40" x14ac:dyDescent="0.2">
      <c r="A21" s="3">
        <v>21</v>
      </c>
      <c r="B21" s="3" t="s">
        <v>2073</v>
      </c>
      <c r="C21" s="3" t="s">
        <v>255</v>
      </c>
      <c r="D21" s="108">
        <v>66</v>
      </c>
      <c r="E21" s="108">
        <v>610</v>
      </c>
      <c r="F21" s="109">
        <v>225</v>
      </c>
      <c r="G21" s="4">
        <v>31299</v>
      </c>
      <c r="H21" s="113">
        <f t="shared" ca="1" si="2"/>
        <v>35.1</v>
      </c>
      <c r="I21" s="3" t="s">
        <v>2074</v>
      </c>
      <c r="J21" s="3">
        <v>17</v>
      </c>
      <c r="K21" s="112">
        <v>2004</v>
      </c>
      <c r="L21" s="112">
        <v>18</v>
      </c>
      <c r="M21" s="3" t="s">
        <v>2149</v>
      </c>
      <c r="N21" s="3"/>
      <c r="O21" s="3"/>
      <c r="P21" s="14">
        <v>1620564</v>
      </c>
      <c r="Q21" s="3"/>
      <c r="R21" s="54"/>
      <c r="S21" s="54"/>
      <c r="T21" s="54"/>
      <c r="X21" s="69"/>
      <c r="Y21" s="69"/>
      <c r="Z21" s="65"/>
      <c r="AA21" s="122"/>
      <c r="AB21" s="122"/>
      <c r="AC21" s="122"/>
      <c r="AD21" s="122"/>
      <c r="AE21" s="122"/>
      <c r="AF21" s="65"/>
      <c r="AG21" s="122"/>
      <c r="AH21" s="122"/>
      <c r="AI21" s="122"/>
      <c r="AJ21" s="127"/>
    </row>
    <row r="22" spans="1:40" x14ac:dyDescent="0.2">
      <c r="A22" s="3">
        <v>37</v>
      </c>
      <c r="B22" s="3" t="s">
        <v>1167</v>
      </c>
      <c r="C22" s="3" t="s">
        <v>236</v>
      </c>
      <c r="D22" s="108">
        <v>610</v>
      </c>
      <c r="E22" s="108">
        <v>72</v>
      </c>
      <c r="F22" s="109">
        <v>200</v>
      </c>
      <c r="G22" s="4">
        <v>35754</v>
      </c>
      <c r="H22" s="113">
        <f t="shared" ca="1" si="2"/>
        <v>22.9</v>
      </c>
      <c r="I22" s="3" t="s">
        <v>224</v>
      </c>
      <c r="J22" s="3">
        <v>3</v>
      </c>
      <c r="K22" s="112">
        <v>2018</v>
      </c>
      <c r="L22" s="112">
        <v>60</v>
      </c>
      <c r="M22" s="3" t="s">
        <v>1168</v>
      </c>
      <c r="N22" s="3"/>
      <c r="O22" s="3"/>
      <c r="P22" s="68">
        <v>1620564</v>
      </c>
      <c r="Q22" s="3"/>
      <c r="R22" s="12"/>
      <c r="S22" s="12"/>
      <c r="T22" s="12"/>
      <c r="X22" s="69"/>
      <c r="Y22" s="69"/>
      <c r="Z22" s="65"/>
      <c r="AA22" s="122"/>
      <c r="AB22" s="122"/>
      <c r="AC22" s="122"/>
      <c r="AD22" s="122"/>
      <c r="AE22" s="122"/>
      <c r="AJ22" s="127"/>
    </row>
    <row r="23" spans="1:40" x14ac:dyDescent="0.2">
      <c r="A23" s="3"/>
      <c r="B23" s="3"/>
      <c r="C23" s="3"/>
      <c r="D23" s="108"/>
      <c r="E23" s="108"/>
      <c r="F23" s="109"/>
      <c r="G23" s="4"/>
      <c r="H23" s="113"/>
      <c r="I23" s="3"/>
      <c r="J23" s="3"/>
      <c r="K23" s="112"/>
      <c r="L23" s="112"/>
      <c r="M23" s="3"/>
      <c r="N23" s="3"/>
      <c r="O23" s="3"/>
      <c r="P23" s="58"/>
      <c r="Q23" s="3"/>
      <c r="R23" s="12"/>
      <c r="S23" s="12"/>
      <c r="T23" s="12"/>
      <c r="X23" s="69"/>
      <c r="Y23" s="69"/>
      <c r="Z23" s="65"/>
      <c r="AA23" s="122"/>
      <c r="AB23" s="122"/>
      <c r="AC23" s="122"/>
      <c r="AD23" s="122"/>
      <c r="AE23" s="122"/>
      <c r="AJ23" s="127"/>
    </row>
    <row r="24" spans="1:40" x14ac:dyDescent="0.2">
      <c r="E24" s="62"/>
      <c r="F24" s="63"/>
      <c r="G24" s="62">
        <f ca="1">TODAY()</f>
        <v>44128</v>
      </c>
      <c r="H24" s="63">
        <f ca="1">AVERAGE(H2:H12)</f>
        <v>29.154545454545453</v>
      </c>
      <c r="J24" s="63">
        <f>AVERAGE(J2:J12)</f>
        <v>9.1818181818181817</v>
      </c>
      <c r="K24" s="75"/>
      <c r="L24" s="75"/>
      <c r="M24" s="75"/>
      <c r="N24" s="75"/>
      <c r="O24" s="75"/>
      <c r="P24" s="11"/>
      <c r="Q24" s="11"/>
      <c r="R24" s="16"/>
      <c r="S24" s="16"/>
      <c r="T24" s="16"/>
      <c r="X24" s="137"/>
      <c r="Y24" s="137"/>
      <c r="Z24" s="127"/>
    </row>
    <row r="25" spans="1:40" x14ac:dyDescent="0.2">
      <c r="B25" s="3"/>
      <c r="C25" s="60"/>
      <c r="H25" s="63">
        <f ca="1">MEDIAN(H2:H12)</f>
        <v>27.6</v>
      </c>
      <c r="J25" s="110">
        <f>MEDIAN(J2:J12)</f>
        <v>9</v>
      </c>
      <c r="K25" s="76"/>
      <c r="L25" s="120"/>
      <c r="M25" s="75"/>
      <c r="N25" s="75"/>
      <c r="O25" s="75"/>
      <c r="P25" s="61"/>
      <c r="R25" s="75"/>
      <c r="S25" s="75"/>
      <c r="T25" s="75"/>
      <c r="X25" s="137"/>
      <c r="Y25" s="137"/>
      <c r="Z25" s="127"/>
    </row>
    <row r="26" spans="1:40" x14ac:dyDescent="0.2">
      <c r="B26" s="209" t="s">
        <v>2224</v>
      </c>
      <c r="C26" s="60"/>
      <c r="J26" s="3"/>
      <c r="K26" s="75"/>
      <c r="L26" s="120"/>
      <c r="M26" s="75"/>
      <c r="N26" s="75"/>
      <c r="O26" s="75"/>
      <c r="P26" s="184">
        <f>P2+P4+P8+P10+P12+P14+P15+1000000</f>
        <v>70380338</v>
      </c>
    </row>
    <row r="27" spans="1:40" x14ac:dyDescent="0.2">
      <c r="B27" s="3" t="s">
        <v>2085</v>
      </c>
      <c r="C27" s="3">
        <v>5</v>
      </c>
      <c r="I27" s="209"/>
      <c r="J27" s="3"/>
      <c r="K27" s="75"/>
      <c r="L27" s="120"/>
      <c r="M27" s="75"/>
      <c r="N27" s="75"/>
      <c r="O27" s="75"/>
      <c r="P27" s="184">
        <f>P2+P3+P4+P5+P6+P7+P8+P10+P11+P12+P14+P15+1000000</f>
        <v>119524199</v>
      </c>
    </row>
    <row r="28" spans="1:40" x14ac:dyDescent="0.2">
      <c r="B28" s="3" t="s">
        <v>2088</v>
      </c>
      <c r="C28" s="3">
        <v>7</v>
      </c>
      <c r="I28" s="3"/>
      <c r="J28" s="3"/>
      <c r="K28" s="75"/>
      <c r="L28" s="120"/>
      <c r="M28" s="75"/>
      <c r="N28" s="75"/>
      <c r="O28" s="75"/>
      <c r="P28" s="61">
        <f>P2+P3+P4+P5+P6+P7+P8+P9+P10+P11+P12+P15+P14</f>
        <v>121524199</v>
      </c>
    </row>
    <row r="29" spans="1:40" x14ac:dyDescent="0.2">
      <c r="B29" s="3" t="s">
        <v>2086</v>
      </c>
      <c r="C29" s="3">
        <v>1</v>
      </c>
      <c r="I29" s="3"/>
      <c r="J29" s="3"/>
      <c r="K29" s="75"/>
      <c r="L29" s="120"/>
      <c r="M29" s="75"/>
      <c r="N29" s="75"/>
      <c r="O29" s="3"/>
      <c r="P29" s="123">
        <f>P2+P4+P5+P6+P7+P8+P9+P10+P11+P12+P14+P15</f>
        <v>92772425</v>
      </c>
    </row>
    <row r="30" spans="1:40" x14ac:dyDescent="0.2">
      <c r="B30" s="3" t="s">
        <v>2219</v>
      </c>
      <c r="C30" s="61" t="s">
        <v>2271</v>
      </c>
      <c r="I30" s="3"/>
      <c r="J30" s="3"/>
      <c r="K30" s="58"/>
      <c r="L30" s="75"/>
      <c r="M30" s="75"/>
      <c r="N30" s="75"/>
      <c r="O30" s="22"/>
    </row>
    <row r="31" spans="1:40" x14ac:dyDescent="0.2">
      <c r="B31" s="3" t="s">
        <v>301</v>
      </c>
      <c r="C31" s="61">
        <v>0</v>
      </c>
      <c r="I31" s="3"/>
      <c r="J31" s="3"/>
      <c r="K31" s="58"/>
      <c r="L31" s="75"/>
      <c r="M31" s="75"/>
      <c r="N31" s="75"/>
      <c r="O31" s="3" t="s">
        <v>300</v>
      </c>
      <c r="P31" s="11">
        <v>109140000</v>
      </c>
    </row>
    <row r="32" spans="1:40" x14ac:dyDescent="0.2">
      <c r="B32" s="3" t="s">
        <v>303</v>
      </c>
      <c r="C32" s="61">
        <v>0</v>
      </c>
      <c r="I32" s="3"/>
      <c r="J32" s="3"/>
      <c r="K32" s="58"/>
      <c r="L32" s="75"/>
      <c r="M32" s="75"/>
      <c r="N32" s="75"/>
      <c r="O32" s="22" t="s">
        <v>302</v>
      </c>
      <c r="P32" s="11">
        <v>132627000</v>
      </c>
    </row>
    <row r="33" spans="2:15" x14ac:dyDescent="0.2">
      <c r="I33" s="3"/>
      <c r="J33" s="3"/>
      <c r="K33" s="58"/>
      <c r="L33" s="75"/>
      <c r="M33" s="75"/>
      <c r="N33" s="75"/>
      <c r="O33" s="3"/>
    </row>
    <row r="34" spans="2:15" x14ac:dyDescent="0.2">
      <c r="B34" s="152" t="s">
        <v>2084</v>
      </c>
      <c r="I34" s="3"/>
      <c r="J34" s="3"/>
      <c r="K34" s="58"/>
      <c r="L34" s="75"/>
      <c r="M34" s="75"/>
      <c r="N34" s="75"/>
      <c r="O34" s="3"/>
    </row>
    <row r="35" spans="2:15" x14ac:dyDescent="0.2">
      <c r="B35" s="3" t="s">
        <v>304</v>
      </c>
      <c r="C35" s="41">
        <f>52/(52+19)</f>
        <v>0.73239436619718312</v>
      </c>
      <c r="D35" s="3" t="s">
        <v>943</v>
      </c>
      <c r="E35" s="3"/>
      <c r="I35" s="24"/>
      <c r="J35" s="61"/>
      <c r="K35" s="58"/>
      <c r="L35" s="75"/>
      <c r="M35" s="75"/>
      <c r="N35" s="75"/>
      <c r="O35" s="22"/>
    </row>
    <row r="36" spans="2:15" x14ac:dyDescent="0.2">
      <c r="B36" s="3" t="s">
        <v>306</v>
      </c>
      <c r="C36" s="113">
        <v>111.7</v>
      </c>
      <c r="D36" s="3" t="s">
        <v>1880</v>
      </c>
      <c r="E36" s="3"/>
    </row>
    <row r="37" spans="2:15" x14ac:dyDescent="0.2">
      <c r="B37" s="3" t="s">
        <v>307</v>
      </c>
      <c r="C37" s="113">
        <v>106.1</v>
      </c>
      <c r="D37" s="3" t="s">
        <v>2178</v>
      </c>
      <c r="E37" s="3"/>
    </row>
    <row r="38" spans="2:15" x14ac:dyDescent="0.2">
      <c r="B38" s="3" t="s">
        <v>308</v>
      </c>
      <c r="C38" s="113">
        <f>C36-C37</f>
        <v>5.6000000000000085</v>
      </c>
      <c r="D38" s="3" t="s">
        <v>2192</v>
      </c>
      <c r="E38" s="3"/>
    </row>
    <row r="39" spans="2:15" x14ac:dyDescent="0.2">
      <c r="B39" s="3" t="s">
        <v>309</v>
      </c>
      <c r="C39" s="36">
        <v>101.2</v>
      </c>
      <c r="D39" s="3" t="s">
        <v>1880</v>
      </c>
      <c r="E39" s="3"/>
    </row>
    <row r="40" spans="2:15" x14ac:dyDescent="0.2">
      <c r="B40" s="3"/>
      <c r="C40" s="3"/>
      <c r="D40" s="3"/>
      <c r="E40" s="3"/>
    </row>
    <row r="41" spans="2:15" x14ac:dyDescent="0.2">
      <c r="B41" s="3" t="s">
        <v>310</v>
      </c>
      <c r="C41" s="3"/>
      <c r="D41" s="3"/>
      <c r="E41" s="3"/>
    </row>
    <row r="42" spans="2:15" x14ac:dyDescent="0.2">
      <c r="B42" s="3" t="s">
        <v>1170</v>
      </c>
      <c r="C42" s="3"/>
      <c r="D42" s="3"/>
      <c r="E42" s="3"/>
    </row>
    <row r="43" spans="2:15" x14ac:dyDescent="0.2">
      <c r="B43" s="12"/>
      <c r="C43" s="3"/>
      <c r="D43" s="3"/>
      <c r="E43" s="3"/>
    </row>
    <row r="44" spans="2:15" x14ac:dyDescent="0.2">
      <c r="B44" s="3" t="s">
        <v>318</v>
      </c>
      <c r="C44" s="3"/>
      <c r="D44" s="3"/>
      <c r="E44" s="3"/>
    </row>
    <row r="45" spans="2:15" x14ac:dyDescent="0.2">
      <c r="B45" s="3" t="s">
        <v>1171</v>
      </c>
      <c r="C45" s="3"/>
      <c r="D45" s="3"/>
      <c r="E45" s="3"/>
    </row>
    <row r="46" spans="2:15" x14ac:dyDescent="0.2">
      <c r="B46" s="3" t="s">
        <v>1172</v>
      </c>
      <c r="C46" s="3"/>
      <c r="D46" s="3"/>
      <c r="E46" s="3"/>
    </row>
    <row r="47" spans="2:15" x14ac:dyDescent="0.2">
      <c r="B47" s="3" t="s">
        <v>1173</v>
      </c>
      <c r="C47" s="3"/>
      <c r="D47" s="3"/>
      <c r="E47" s="3"/>
    </row>
    <row r="48" spans="2:15" x14ac:dyDescent="0.2">
      <c r="B48" s="3" t="s">
        <v>1174</v>
      </c>
      <c r="C48" s="3"/>
      <c r="D48" s="3"/>
      <c r="E48" s="3"/>
    </row>
    <row r="49" spans="2:10" x14ac:dyDescent="0.2">
      <c r="B49" s="3" t="s">
        <v>1175</v>
      </c>
      <c r="C49" s="3"/>
      <c r="D49" s="3"/>
      <c r="E49" s="3"/>
    </row>
    <row r="50" spans="2:10" x14ac:dyDescent="0.2">
      <c r="B50" s="3"/>
      <c r="C50" s="3"/>
      <c r="D50" s="3"/>
      <c r="E50" s="3"/>
    </row>
    <row r="51" spans="2:10" x14ac:dyDescent="0.2">
      <c r="B51" s="5" t="s">
        <v>2228</v>
      </c>
      <c r="C51" s="3"/>
      <c r="D51" s="3"/>
      <c r="E51" s="3"/>
    </row>
    <row r="52" spans="2:10" x14ac:dyDescent="0.2">
      <c r="B52" s="39" t="s">
        <v>322</v>
      </c>
      <c r="C52" s="3">
        <v>52</v>
      </c>
      <c r="D52" s="3">
        <v>19</v>
      </c>
      <c r="E52" s="3" t="s">
        <v>943</v>
      </c>
      <c r="G52" t="s">
        <v>1067</v>
      </c>
      <c r="J52" t="s">
        <v>2370</v>
      </c>
    </row>
    <row r="53" spans="2:10" x14ac:dyDescent="0.2">
      <c r="B53" s="39" t="s">
        <v>325</v>
      </c>
      <c r="C53" s="3">
        <v>37</v>
      </c>
      <c r="D53" s="3">
        <v>45</v>
      </c>
      <c r="E53" s="3" t="s">
        <v>765</v>
      </c>
      <c r="G53" t="s">
        <v>1176</v>
      </c>
      <c r="J53" s="144" t="s">
        <v>324</v>
      </c>
    </row>
    <row r="54" spans="2:10" x14ac:dyDescent="0.2">
      <c r="B54" s="39" t="s">
        <v>327</v>
      </c>
      <c r="C54" s="3">
        <v>35</v>
      </c>
      <c r="D54" s="3">
        <v>47</v>
      </c>
      <c r="E54" s="3" t="s">
        <v>759</v>
      </c>
      <c r="G54" t="s">
        <v>1176</v>
      </c>
      <c r="J54" s="144" t="s">
        <v>324</v>
      </c>
    </row>
    <row r="55" spans="2:10" x14ac:dyDescent="0.2">
      <c r="B55" s="39" t="s">
        <v>330</v>
      </c>
      <c r="C55" s="3">
        <v>26</v>
      </c>
      <c r="D55" s="3">
        <v>56</v>
      </c>
      <c r="E55" s="3" t="s">
        <v>757</v>
      </c>
      <c r="G55" t="s">
        <v>1176</v>
      </c>
      <c r="J55" s="144" t="s">
        <v>324</v>
      </c>
    </row>
    <row r="56" spans="2:10" x14ac:dyDescent="0.2">
      <c r="B56" s="39" t="s">
        <v>333</v>
      </c>
      <c r="C56" s="3">
        <v>17</v>
      </c>
      <c r="D56" s="3">
        <v>65</v>
      </c>
      <c r="E56" s="3" t="s">
        <v>942</v>
      </c>
      <c r="G56" t="s">
        <v>695</v>
      </c>
      <c r="J56" s="144" t="s">
        <v>324</v>
      </c>
    </row>
    <row r="57" spans="2:10" x14ac:dyDescent="0.2">
      <c r="B57" s="39" t="s">
        <v>336</v>
      </c>
      <c r="C57" s="3">
        <v>21</v>
      </c>
      <c r="D57" s="3">
        <v>61</v>
      </c>
      <c r="E57" s="3" t="s">
        <v>757</v>
      </c>
      <c r="G57" t="s">
        <v>695</v>
      </c>
      <c r="J57" s="144" t="s">
        <v>324</v>
      </c>
    </row>
    <row r="58" spans="2:10" x14ac:dyDescent="0.2">
      <c r="B58" s="39" t="s">
        <v>339</v>
      </c>
      <c r="C58" s="3">
        <v>27</v>
      </c>
      <c r="D58" s="3">
        <v>55</v>
      </c>
      <c r="E58" s="3" t="s">
        <v>757</v>
      </c>
      <c r="G58" t="s">
        <v>997</v>
      </c>
      <c r="J58" s="144" t="s">
        <v>324</v>
      </c>
    </row>
    <row r="59" spans="2:10" x14ac:dyDescent="0.2">
      <c r="B59" s="39" t="s">
        <v>342</v>
      </c>
      <c r="C59" s="3">
        <v>45</v>
      </c>
      <c r="D59" s="3">
        <v>37</v>
      </c>
      <c r="E59" s="3" t="s">
        <v>754</v>
      </c>
      <c r="G59" t="s">
        <v>1177</v>
      </c>
      <c r="J59" t="s">
        <v>1178</v>
      </c>
    </row>
    <row r="60" spans="2:10" x14ac:dyDescent="0.2">
      <c r="B60" s="39" t="s">
        <v>346</v>
      </c>
      <c r="C60" s="3">
        <v>41</v>
      </c>
      <c r="D60" s="3">
        <v>25</v>
      </c>
      <c r="E60" s="41" t="s">
        <v>767</v>
      </c>
      <c r="G60" t="s">
        <v>694</v>
      </c>
      <c r="J60" t="s">
        <v>1179</v>
      </c>
    </row>
    <row r="61" spans="2:10" x14ac:dyDescent="0.2">
      <c r="B61" s="39" t="s">
        <v>348</v>
      </c>
      <c r="C61" s="3">
        <v>57</v>
      </c>
      <c r="D61" s="3">
        <v>25</v>
      </c>
      <c r="E61" s="41" t="s">
        <v>817</v>
      </c>
      <c r="G61" t="s">
        <v>1180</v>
      </c>
      <c r="J61" t="s">
        <v>1181</v>
      </c>
    </row>
    <row r="62" spans="2:10" x14ac:dyDescent="0.2">
      <c r="B62" t="s">
        <v>350</v>
      </c>
      <c r="C62" s="60">
        <f>SUM(C52:C61)</f>
        <v>358</v>
      </c>
      <c r="D62" s="60">
        <f>SUM(D52:D61)</f>
        <v>435</v>
      </c>
      <c r="E62" s="65">
        <f>C62/(C62+D62)</f>
        <v>0.45145018915510721</v>
      </c>
    </row>
    <row r="63" spans="2:10" x14ac:dyDescent="0.2">
      <c r="C63" s="60"/>
      <c r="D63" s="60"/>
    </row>
  </sheetData>
  <pageMargins left="0.7" right="0.7" top="0.75" bottom="0.75" header="0.3" footer="0.3"/>
  <ignoredErrors>
    <ignoredError sqref="J24:J25" formulaRange="1"/>
  </ignoredErrors>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1D184-FBA4-DD4E-864D-340C710806B3}">
  <dimension ref="A1:AR64"/>
  <sheetViews>
    <sheetView zoomScaleNormal="100" workbookViewId="0">
      <selection sqref="A1:AR1"/>
    </sheetView>
  </sheetViews>
  <sheetFormatPr baseColWidth="10" defaultColWidth="10.83203125" defaultRowHeight="16" x14ac:dyDescent="0.2"/>
  <cols>
    <col min="1" max="1" width="3.5" style="82" customWidth="1"/>
    <col min="2" max="2" width="18.5" style="82" customWidth="1"/>
    <col min="3" max="3" width="11" style="82" customWidth="1"/>
    <col min="4" max="5" width="10.83203125" style="82" customWidth="1"/>
    <col min="6" max="6" width="8.5" style="82" customWidth="1"/>
    <col min="7" max="7" width="18.6640625" style="82" customWidth="1"/>
    <col min="8" max="8" width="7.83203125" style="82" customWidth="1"/>
    <col min="9" max="9" width="17.83203125" style="82" customWidth="1"/>
    <col min="10" max="11" width="11.1640625" style="82" customWidth="1"/>
    <col min="12" max="12" width="6.6640625" style="82" customWidth="1"/>
    <col min="13" max="13" width="25.1640625" style="82" customWidth="1"/>
    <col min="14" max="14" width="15.83203125" style="82" customWidth="1"/>
    <col min="15" max="15" width="46" style="82" customWidth="1"/>
    <col min="16" max="16" width="13.1640625" style="82" customWidth="1"/>
    <col min="17" max="18" width="12" style="82" customWidth="1"/>
    <col min="19" max="19" width="12.33203125" style="82" bestFit="1" customWidth="1"/>
    <col min="20" max="21" width="10.83203125" style="82"/>
    <col min="22" max="23" width="27.5" style="82" customWidth="1"/>
    <col min="24" max="24" width="10" style="82" customWidth="1"/>
    <col min="25" max="25" width="3.83203125" style="82" customWidth="1"/>
    <col min="26" max="26" width="7.83203125" style="82" customWidth="1"/>
    <col min="27" max="27" width="6.1640625" style="82" customWidth="1"/>
    <col min="28" max="28" width="6.5" style="82" customWidth="1"/>
    <col min="29" max="30" width="7.5" style="82" customWidth="1"/>
    <col min="31" max="31" width="5" style="82" customWidth="1"/>
    <col min="32" max="32" width="5.83203125" style="82" customWidth="1"/>
    <col min="33" max="33" width="7.83203125" style="82" customWidth="1"/>
    <col min="34" max="34" width="5.1640625" style="82" customWidth="1"/>
    <col min="35" max="35" width="4.6640625" style="82" customWidth="1"/>
    <col min="36" max="36" width="6.5" style="82" customWidth="1"/>
    <col min="37" max="37" width="6.33203125" style="82" customWidth="1"/>
    <col min="38" max="38" width="6.1640625" style="82" customWidth="1"/>
    <col min="39" max="39" width="5.83203125" style="82" customWidth="1"/>
    <col min="40" max="40" width="5" style="82" customWidth="1"/>
    <col min="41" max="16384" width="10.83203125" style="82"/>
  </cols>
  <sheetData>
    <row r="1" spans="1:44" x14ac:dyDescent="0.2">
      <c r="A1" s="223" t="s">
        <v>2394</v>
      </c>
      <c r="B1" s="223" t="s">
        <v>2395</v>
      </c>
      <c r="C1" s="223" t="s">
        <v>2396</v>
      </c>
      <c r="D1" s="223" t="s">
        <v>2397</v>
      </c>
      <c r="E1" s="223" t="s">
        <v>2398</v>
      </c>
      <c r="F1" s="223" t="s">
        <v>2399</v>
      </c>
      <c r="G1" s="223" t="s">
        <v>2400</v>
      </c>
      <c r="H1" s="223" t="s">
        <v>2401</v>
      </c>
      <c r="I1" s="223" t="s">
        <v>2402</v>
      </c>
      <c r="J1" s="223" t="s">
        <v>2403</v>
      </c>
      <c r="K1" s="223" t="s">
        <v>2404</v>
      </c>
      <c r="L1" s="223" t="s">
        <v>2405</v>
      </c>
      <c r="M1" s="223" t="s">
        <v>2406</v>
      </c>
      <c r="N1" s="223" t="s">
        <v>2407</v>
      </c>
      <c r="O1" s="223" t="s">
        <v>2408</v>
      </c>
      <c r="P1" s="223" t="s">
        <v>2409</v>
      </c>
      <c r="Q1" s="223" t="s">
        <v>2410</v>
      </c>
      <c r="R1" s="223" t="s">
        <v>2411</v>
      </c>
      <c r="S1" s="223" t="s">
        <v>2412</v>
      </c>
      <c r="T1" s="223" t="s">
        <v>2413</v>
      </c>
      <c r="U1" s="223" t="s">
        <v>2414</v>
      </c>
      <c r="V1" s="223" t="s">
        <v>2415</v>
      </c>
      <c r="W1" s="223" t="s">
        <v>2416</v>
      </c>
      <c r="X1" s="223" t="s">
        <v>2433</v>
      </c>
      <c r="Y1" s="223" t="s">
        <v>2417</v>
      </c>
      <c r="Z1" s="223" t="s">
        <v>2418</v>
      </c>
      <c r="AA1" s="223" t="s">
        <v>2419</v>
      </c>
      <c r="AB1" s="223" t="s">
        <v>2420</v>
      </c>
      <c r="AC1" s="223" t="s">
        <v>2421</v>
      </c>
      <c r="AD1" s="223" t="s">
        <v>2422</v>
      </c>
      <c r="AE1" s="223" t="s">
        <v>2423</v>
      </c>
      <c r="AF1" s="223" t="s">
        <v>2424</v>
      </c>
      <c r="AG1" s="223" t="s">
        <v>2425</v>
      </c>
      <c r="AH1" s="223" t="s">
        <v>2426</v>
      </c>
      <c r="AI1" s="223" t="s">
        <v>2427</v>
      </c>
      <c r="AJ1" s="223" t="s">
        <v>2428</v>
      </c>
      <c r="AK1" s="223" t="s">
        <v>2429</v>
      </c>
      <c r="AL1" s="223" t="s">
        <v>2430</v>
      </c>
      <c r="AM1" s="223" t="s">
        <v>2431</v>
      </c>
      <c r="AN1" s="223" t="s">
        <v>2432</v>
      </c>
      <c r="AO1" s="224"/>
      <c r="AP1" s="225"/>
      <c r="AQ1" s="6"/>
      <c r="AR1" s="6"/>
    </row>
    <row r="2" spans="1:44" x14ac:dyDescent="0.2">
      <c r="A2" s="97">
        <v>14</v>
      </c>
      <c r="B2" s="100" t="s">
        <v>1182</v>
      </c>
      <c r="C2" s="100" t="s">
        <v>236</v>
      </c>
      <c r="D2" s="83">
        <v>610</v>
      </c>
      <c r="E2" s="83">
        <v>74</v>
      </c>
      <c r="F2" s="84">
        <v>252</v>
      </c>
      <c r="G2" s="85">
        <v>32891</v>
      </c>
      <c r="H2" s="86">
        <f ca="1">ROUNDDOWN(YEARFRAC($G$23,G2),1)</f>
        <v>30.7</v>
      </c>
      <c r="I2" s="100" t="s">
        <v>498</v>
      </c>
      <c r="J2" s="97">
        <v>8</v>
      </c>
      <c r="K2" s="97">
        <v>2013</v>
      </c>
      <c r="L2" s="97">
        <v>21</v>
      </c>
      <c r="M2" s="100" t="s">
        <v>892</v>
      </c>
      <c r="N2" s="100" t="s">
        <v>893</v>
      </c>
      <c r="O2" s="100" t="s">
        <v>2307</v>
      </c>
      <c r="P2" s="87">
        <v>17287640</v>
      </c>
      <c r="Q2" s="88">
        <f>P2*1.5</f>
        <v>25931460</v>
      </c>
      <c r="V2" s="100"/>
      <c r="W2" s="100" t="s">
        <v>1183</v>
      </c>
      <c r="X2" s="97">
        <v>5</v>
      </c>
      <c r="Y2" s="82">
        <v>12</v>
      </c>
      <c r="Z2" s="96">
        <f>5/12</f>
        <v>0.41666666666666669</v>
      </c>
      <c r="AA2" s="86">
        <v>103.7</v>
      </c>
      <c r="AB2" s="86">
        <v>103.7</v>
      </c>
      <c r="AC2" s="86">
        <f>AA2-AB2</f>
        <v>0</v>
      </c>
      <c r="AD2" s="86">
        <v>19.5</v>
      </c>
      <c r="AE2" s="86">
        <v>16.2</v>
      </c>
      <c r="AF2" s="96">
        <v>0.56799999999999995</v>
      </c>
      <c r="AG2" s="86">
        <v>15.6</v>
      </c>
      <c r="AH2" s="86">
        <v>0.2</v>
      </c>
      <c r="AI2" s="86">
        <v>0.4</v>
      </c>
      <c r="AJ2" s="96">
        <v>0.128</v>
      </c>
      <c r="AK2" s="86">
        <v>-1.2</v>
      </c>
      <c r="AL2" s="86">
        <v>2.9</v>
      </c>
      <c r="AM2" s="86">
        <v>0.2</v>
      </c>
      <c r="AN2" s="86">
        <v>13</v>
      </c>
    </row>
    <row r="3" spans="1:44" x14ac:dyDescent="0.2">
      <c r="A3" s="97">
        <v>17</v>
      </c>
      <c r="B3" s="100" t="s">
        <v>1184</v>
      </c>
      <c r="C3" s="100" t="s">
        <v>236</v>
      </c>
      <c r="D3" s="83">
        <v>611</v>
      </c>
      <c r="E3" s="83">
        <v>76</v>
      </c>
      <c r="F3" s="84">
        <v>265</v>
      </c>
      <c r="G3" s="85">
        <v>33730</v>
      </c>
      <c r="H3" s="86">
        <f t="shared" ref="H3:H13" ca="1" si="0">ROUNDDOWN(YEARFRAC($G$23,G3),1)</f>
        <v>28.4</v>
      </c>
      <c r="I3" s="100" t="s">
        <v>1185</v>
      </c>
      <c r="J3" s="97">
        <v>9</v>
      </c>
      <c r="K3" s="97">
        <v>2011</v>
      </c>
      <c r="L3" s="97">
        <v>5</v>
      </c>
      <c r="M3" s="100" t="s">
        <v>1186</v>
      </c>
      <c r="N3" s="100" t="s">
        <v>1</v>
      </c>
      <c r="O3" s="100" t="s">
        <v>2308</v>
      </c>
      <c r="P3" s="87">
        <v>15000000</v>
      </c>
      <c r="Q3" s="87">
        <v>14000000</v>
      </c>
      <c r="R3" s="88">
        <f>Q3*1.5</f>
        <v>21000000</v>
      </c>
      <c r="V3" s="100"/>
      <c r="W3" s="103" t="s">
        <v>240</v>
      </c>
      <c r="X3" s="104">
        <v>5</v>
      </c>
      <c r="Y3" s="82">
        <v>62</v>
      </c>
      <c r="Z3" s="96">
        <f>30/62</f>
        <v>0.4838709677419355</v>
      </c>
      <c r="AA3" s="86">
        <v>107.8</v>
      </c>
      <c r="AB3" s="86">
        <v>107.4</v>
      </c>
      <c r="AC3" s="86">
        <f t="shared" ref="AC3:AC12" si="1">AA3-AB3</f>
        <v>0.39999999999999147</v>
      </c>
      <c r="AD3" s="86">
        <v>26.3</v>
      </c>
      <c r="AE3" s="86">
        <v>22.3</v>
      </c>
      <c r="AF3" s="96">
        <v>0.63100000000000001</v>
      </c>
      <c r="AG3" s="86">
        <v>21.4</v>
      </c>
      <c r="AH3" s="86">
        <v>3.8</v>
      </c>
      <c r="AI3" s="86">
        <v>2.4</v>
      </c>
      <c r="AJ3" s="96">
        <v>0.182</v>
      </c>
      <c r="AK3" s="86">
        <v>2.2000000000000002</v>
      </c>
      <c r="AL3" s="86">
        <v>0</v>
      </c>
      <c r="AM3" s="86">
        <v>1.8</v>
      </c>
      <c r="AN3" s="86">
        <v>16.2</v>
      </c>
    </row>
    <row r="4" spans="1:44" x14ac:dyDescent="0.2">
      <c r="A4" s="97">
        <v>7</v>
      </c>
      <c r="B4" s="100" t="s">
        <v>1187</v>
      </c>
      <c r="C4" s="100" t="s">
        <v>232</v>
      </c>
      <c r="D4" s="83">
        <v>66</v>
      </c>
      <c r="E4" s="83">
        <v>610</v>
      </c>
      <c r="F4" s="84">
        <v>222</v>
      </c>
      <c r="G4" s="85">
        <v>35150</v>
      </c>
      <c r="H4" s="86">
        <f t="shared" ca="1" si="0"/>
        <v>24.5</v>
      </c>
      <c r="I4" s="100" t="s">
        <v>256</v>
      </c>
      <c r="J4" s="97">
        <v>6</v>
      </c>
      <c r="K4" s="97">
        <v>2015</v>
      </c>
      <c r="L4" s="97">
        <v>10</v>
      </c>
      <c r="M4" s="100" t="s">
        <v>1188</v>
      </c>
      <c r="N4" s="100" t="s">
        <v>1189</v>
      </c>
      <c r="O4" s="100" t="s">
        <v>2309</v>
      </c>
      <c r="P4" s="87">
        <v>13000000</v>
      </c>
      <c r="Q4" s="89">
        <v>13000000</v>
      </c>
      <c r="R4" s="88">
        <f>Q4*1.5</f>
        <v>19500000</v>
      </c>
      <c r="V4" s="100"/>
      <c r="W4" s="100" t="s">
        <v>1190</v>
      </c>
      <c r="X4" s="97">
        <v>3</v>
      </c>
      <c r="Y4" s="82">
        <v>11</v>
      </c>
      <c r="Z4" s="96">
        <f>7/11</f>
        <v>0.63636363636363635</v>
      </c>
      <c r="AA4" s="86">
        <v>106.2</v>
      </c>
      <c r="AB4" s="86">
        <v>99.9</v>
      </c>
      <c r="AC4" s="86">
        <f t="shared" si="1"/>
        <v>6.2999999999999972</v>
      </c>
      <c r="AD4" s="86">
        <v>32</v>
      </c>
      <c r="AE4" s="86">
        <v>8.6</v>
      </c>
      <c r="AF4" s="96">
        <v>0.44</v>
      </c>
      <c r="AG4" s="86">
        <v>20.7</v>
      </c>
      <c r="AH4" s="86">
        <v>0.4</v>
      </c>
      <c r="AI4" s="86">
        <v>0.4</v>
      </c>
      <c r="AJ4" s="96">
        <v>-3.0000000000000001E-3</v>
      </c>
      <c r="AK4" s="86">
        <v>-3.5</v>
      </c>
      <c r="AL4" s="86">
        <v>-0.1</v>
      </c>
      <c r="AM4" s="86">
        <v>-0.1</v>
      </c>
      <c r="AN4" s="86">
        <v>7.4</v>
      </c>
    </row>
    <row r="5" spans="1:44" x14ac:dyDescent="0.2">
      <c r="A5" s="97">
        <v>24</v>
      </c>
      <c r="B5" s="100" t="s">
        <v>1214</v>
      </c>
      <c r="C5" s="100" t="s">
        <v>255</v>
      </c>
      <c r="D5" s="83">
        <v>67</v>
      </c>
      <c r="E5" s="83">
        <v>65</v>
      </c>
      <c r="F5" s="84">
        <v>225</v>
      </c>
      <c r="G5" s="85">
        <v>35086</v>
      </c>
      <c r="H5" s="86">
        <f t="shared" ca="1" si="0"/>
        <v>24.7</v>
      </c>
      <c r="I5" s="100" t="s">
        <v>812</v>
      </c>
      <c r="J5" s="97">
        <v>4</v>
      </c>
      <c r="K5" s="97">
        <v>2017</v>
      </c>
      <c r="L5" s="97">
        <v>45</v>
      </c>
      <c r="M5" s="100" t="s">
        <v>1215</v>
      </c>
      <c r="N5" s="100" t="s">
        <v>1216</v>
      </c>
      <c r="O5" s="100" t="s">
        <v>2310</v>
      </c>
      <c r="P5" s="87">
        <v>11400000</v>
      </c>
      <c r="Q5" s="87">
        <v>12200000</v>
      </c>
      <c r="R5" s="87">
        <v>11400000</v>
      </c>
      <c r="S5" s="88">
        <f>R5*1.9</f>
        <v>21660000</v>
      </c>
      <c r="V5" s="100"/>
      <c r="W5" s="100" t="s">
        <v>1217</v>
      </c>
      <c r="X5" s="97">
        <v>2</v>
      </c>
      <c r="Y5" s="82">
        <v>65</v>
      </c>
      <c r="Z5" s="96">
        <f>32/65</f>
        <v>0.49230769230769234</v>
      </c>
      <c r="AA5" s="86">
        <v>108.6</v>
      </c>
      <c r="AB5" s="86">
        <v>108.9</v>
      </c>
      <c r="AC5" s="86">
        <f t="shared" si="1"/>
        <v>-0.30000000000001137</v>
      </c>
      <c r="AD5" s="86">
        <v>28.5</v>
      </c>
      <c r="AE5" s="86">
        <v>11.1</v>
      </c>
      <c r="AF5" s="96">
        <v>0.50800000000000001</v>
      </c>
      <c r="AG5" s="86">
        <v>25</v>
      </c>
      <c r="AH5" s="86">
        <v>-0.3</v>
      </c>
      <c r="AI5" s="86">
        <v>1.3</v>
      </c>
      <c r="AJ5" s="96">
        <v>2.5000000000000001E-2</v>
      </c>
      <c r="AK5" s="86">
        <v>-2.8</v>
      </c>
      <c r="AL5" s="86">
        <v>-1.5</v>
      </c>
      <c r="AM5" s="86">
        <v>-1.1000000000000001</v>
      </c>
      <c r="AN5" s="86">
        <v>6</v>
      </c>
    </row>
    <row r="6" spans="1:44" x14ac:dyDescent="0.2">
      <c r="A6" s="97">
        <v>1</v>
      </c>
      <c r="B6" s="100" t="s">
        <v>1193</v>
      </c>
      <c r="C6" s="100" t="s">
        <v>244</v>
      </c>
      <c r="D6" s="83">
        <v>69</v>
      </c>
      <c r="E6" s="83">
        <v>73</v>
      </c>
      <c r="F6" s="84">
        <v>230</v>
      </c>
      <c r="G6" s="85">
        <v>34232</v>
      </c>
      <c r="H6" s="86">
        <f t="shared" ca="1" si="0"/>
        <v>27</v>
      </c>
      <c r="I6" s="100" t="s">
        <v>564</v>
      </c>
      <c r="J6" s="97">
        <v>7</v>
      </c>
      <c r="K6" s="97">
        <v>2014</v>
      </c>
      <c r="L6" s="97">
        <v>30</v>
      </c>
      <c r="M6" s="100" t="s">
        <v>1194</v>
      </c>
      <c r="N6" s="100" t="s">
        <v>521</v>
      </c>
      <c r="O6" s="100" t="s">
        <v>2311</v>
      </c>
      <c r="P6" s="87">
        <v>9505100</v>
      </c>
      <c r="Q6" s="87">
        <v>9937150</v>
      </c>
      <c r="R6" s="88">
        <f>Q6*1.9</f>
        <v>18880585</v>
      </c>
      <c r="V6" s="100" t="s">
        <v>355</v>
      </c>
      <c r="W6" s="100" t="s">
        <v>1195</v>
      </c>
      <c r="X6" s="97">
        <v>4</v>
      </c>
      <c r="Y6" s="82">
        <v>59</v>
      </c>
      <c r="Z6" s="96">
        <f>30/59</f>
        <v>0.50847457627118642</v>
      </c>
      <c r="AA6" s="86">
        <v>101.8</v>
      </c>
      <c r="AB6" s="86">
        <v>105.9</v>
      </c>
      <c r="AC6" s="86">
        <f t="shared" si="1"/>
        <v>-4.1000000000000085</v>
      </c>
      <c r="AD6" s="86">
        <v>19.3</v>
      </c>
      <c r="AE6" s="86">
        <v>13</v>
      </c>
      <c r="AF6" s="96">
        <v>0.54200000000000004</v>
      </c>
      <c r="AG6" s="86">
        <v>13.3</v>
      </c>
      <c r="AH6" s="86">
        <v>0.9</v>
      </c>
      <c r="AI6" s="86">
        <v>1.4</v>
      </c>
      <c r="AJ6" s="96">
        <v>9.5000000000000001E-2</v>
      </c>
      <c r="AK6" s="86">
        <v>-1.3</v>
      </c>
      <c r="AL6" s="86">
        <v>1.9</v>
      </c>
      <c r="AM6" s="86">
        <v>0.7</v>
      </c>
      <c r="AN6" s="86">
        <v>9.9</v>
      </c>
    </row>
    <row r="7" spans="1:44" x14ac:dyDescent="0.2">
      <c r="A7" s="97">
        <v>12</v>
      </c>
      <c r="B7" s="100" t="s">
        <v>1196</v>
      </c>
      <c r="C7" s="100" t="s">
        <v>250</v>
      </c>
      <c r="D7" s="83">
        <v>63</v>
      </c>
      <c r="E7" s="83">
        <v>67</v>
      </c>
      <c r="F7" s="84">
        <v>174</v>
      </c>
      <c r="G7" s="85">
        <v>36382</v>
      </c>
      <c r="H7" s="86">
        <f t="shared" ca="1" si="0"/>
        <v>21.2</v>
      </c>
      <c r="I7" s="100" t="s">
        <v>1197</v>
      </c>
      <c r="J7" s="97">
        <v>2</v>
      </c>
      <c r="K7" s="97">
        <v>2019</v>
      </c>
      <c r="L7" s="97">
        <v>2</v>
      </c>
      <c r="M7" s="100" t="s">
        <v>1198</v>
      </c>
      <c r="N7" s="100" t="s">
        <v>247</v>
      </c>
      <c r="O7" s="100" t="s">
        <v>2130</v>
      </c>
      <c r="P7" s="87">
        <v>9166800</v>
      </c>
      <c r="Q7" s="90">
        <v>9603360</v>
      </c>
      <c r="R7" s="90">
        <v>12119440</v>
      </c>
      <c r="S7" s="91">
        <f>R7*2.5</f>
        <v>30298600</v>
      </c>
      <c r="V7" s="100"/>
      <c r="W7" s="100" t="s">
        <v>1199</v>
      </c>
      <c r="X7" s="97">
        <v>1</v>
      </c>
      <c r="Y7" s="82">
        <v>59</v>
      </c>
      <c r="Z7" s="96">
        <f>31/59</f>
        <v>0.52542372881355937</v>
      </c>
      <c r="AA7" s="86">
        <v>107.9</v>
      </c>
      <c r="AB7" s="86">
        <v>108.3</v>
      </c>
      <c r="AC7" s="86">
        <f t="shared" si="1"/>
        <v>-0.39999999999999147</v>
      </c>
      <c r="AD7" s="86">
        <v>30</v>
      </c>
      <c r="AE7" s="86">
        <v>18</v>
      </c>
      <c r="AF7" s="96">
        <v>0.56799999999999995</v>
      </c>
      <c r="AG7" s="86">
        <v>26</v>
      </c>
      <c r="AH7" s="86">
        <v>2.2000000000000002</v>
      </c>
      <c r="AI7" s="86">
        <v>1.2</v>
      </c>
      <c r="AJ7" s="96">
        <v>9.2999999999999999E-2</v>
      </c>
      <c r="AK7" s="86">
        <v>1.6</v>
      </c>
      <c r="AL7" s="86">
        <v>-1.3</v>
      </c>
      <c r="AM7" s="86">
        <v>1.1000000000000001</v>
      </c>
      <c r="AN7" s="86">
        <v>13.1</v>
      </c>
    </row>
    <row r="8" spans="1:44" x14ac:dyDescent="0.2">
      <c r="A8" s="97">
        <v>21</v>
      </c>
      <c r="B8" s="100" t="s">
        <v>208</v>
      </c>
      <c r="C8" s="100" t="s">
        <v>250</v>
      </c>
      <c r="D8" s="83">
        <v>60</v>
      </c>
      <c r="E8" s="83">
        <v>65</v>
      </c>
      <c r="F8" s="84">
        <v>196</v>
      </c>
      <c r="G8" s="85">
        <v>35195</v>
      </c>
      <c r="H8" s="86">
        <f t="shared" ca="1" si="0"/>
        <v>24.4</v>
      </c>
      <c r="I8" s="100" t="s">
        <v>256</v>
      </c>
      <c r="J8" s="97">
        <v>6</v>
      </c>
      <c r="K8" s="97">
        <v>2015</v>
      </c>
      <c r="L8" s="97">
        <v>24</v>
      </c>
      <c r="M8" s="100" t="s">
        <v>1191</v>
      </c>
      <c r="N8" s="100" t="s">
        <v>521</v>
      </c>
      <c r="O8" s="100" t="s">
        <v>2312</v>
      </c>
      <c r="P8" s="87">
        <v>8817143</v>
      </c>
      <c r="Q8" s="87">
        <v>8376286</v>
      </c>
      <c r="R8" s="88">
        <f>Q8*1.9</f>
        <v>15914943.399999999</v>
      </c>
      <c r="V8" s="100" t="s">
        <v>1192</v>
      </c>
      <c r="W8" s="103" t="s">
        <v>291</v>
      </c>
      <c r="X8" s="104">
        <v>1</v>
      </c>
      <c r="Y8" s="82">
        <v>65</v>
      </c>
      <c r="Z8" s="96">
        <f>32/65</f>
        <v>0.49230769230769234</v>
      </c>
      <c r="AA8" s="86">
        <v>106.9</v>
      </c>
      <c r="AB8" s="86">
        <v>109.2</v>
      </c>
      <c r="AC8" s="86">
        <f t="shared" si="1"/>
        <v>-2.2999999999999972</v>
      </c>
      <c r="AD8" s="86">
        <v>19</v>
      </c>
      <c r="AE8" s="86">
        <v>15.7</v>
      </c>
      <c r="AF8" s="96">
        <v>0.53200000000000003</v>
      </c>
      <c r="AG8" s="86">
        <v>17.2</v>
      </c>
      <c r="AH8" s="86">
        <v>2</v>
      </c>
      <c r="AI8" s="86">
        <v>1</v>
      </c>
      <c r="AJ8" s="96">
        <v>0.115</v>
      </c>
      <c r="AK8" s="86">
        <v>0.4</v>
      </c>
      <c r="AL8" s="86">
        <v>0.1</v>
      </c>
      <c r="AM8" s="86">
        <v>0.8</v>
      </c>
      <c r="AN8" s="86">
        <v>10.8</v>
      </c>
    </row>
    <row r="9" spans="1:44" x14ac:dyDescent="0.2">
      <c r="A9" s="97">
        <v>13</v>
      </c>
      <c r="B9" s="100" t="s">
        <v>1202</v>
      </c>
      <c r="C9" s="100" t="s">
        <v>236</v>
      </c>
      <c r="D9" s="83">
        <v>611</v>
      </c>
      <c r="E9" s="83">
        <v>74</v>
      </c>
      <c r="F9" s="84">
        <v>242</v>
      </c>
      <c r="G9" s="85">
        <v>36418</v>
      </c>
      <c r="H9" s="86">
        <f t="shared" ca="1" si="0"/>
        <v>21.1</v>
      </c>
      <c r="I9" s="100" t="s">
        <v>513</v>
      </c>
      <c r="J9" s="97">
        <v>3</v>
      </c>
      <c r="K9" s="97">
        <v>2018</v>
      </c>
      <c r="L9" s="97">
        <v>4</v>
      </c>
      <c r="M9" s="100" t="s">
        <v>1203</v>
      </c>
      <c r="N9" s="100" t="s">
        <v>247</v>
      </c>
      <c r="O9" s="100" t="s">
        <v>2313</v>
      </c>
      <c r="P9" s="87">
        <v>7257360</v>
      </c>
      <c r="Q9" s="90">
        <v>9180560</v>
      </c>
      <c r="R9" s="91">
        <f>Q9*3</f>
        <v>27541680</v>
      </c>
      <c r="V9" s="100"/>
      <c r="W9" s="100" t="s">
        <v>1204</v>
      </c>
      <c r="X9" s="97">
        <v>5</v>
      </c>
      <c r="Y9" s="82">
        <v>54</v>
      </c>
      <c r="Z9" s="96">
        <f>28/54</f>
        <v>0.51851851851851849</v>
      </c>
      <c r="AA9" s="86">
        <v>108.4</v>
      </c>
      <c r="AB9" s="86">
        <v>111.5</v>
      </c>
      <c r="AC9" s="86">
        <f t="shared" si="1"/>
        <v>-3.0999999999999943</v>
      </c>
      <c r="AD9" s="86">
        <v>28</v>
      </c>
      <c r="AE9" s="86">
        <v>16.100000000000001</v>
      </c>
      <c r="AF9" s="96">
        <v>0.59</v>
      </c>
      <c r="AG9" s="86">
        <v>23.9</v>
      </c>
      <c r="AH9" s="86">
        <v>1.5</v>
      </c>
      <c r="AI9" s="86">
        <v>1.7</v>
      </c>
      <c r="AJ9" s="96">
        <v>0.1</v>
      </c>
      <c r="AK9" s="86">
        <v>0.2</v>
      </c>
      <c r="AL9" s="86">
        <v>0</v>
      </c>
      <c r="AM9" s="86">
        <v>0.8</v>
      </c>
      <c r="AN9" s="86">
        <v>8.8000000000000007</v>
      </c>
    </row>
    <row r="10" spans="1:44" x14ac:dyDescent="0.2">
      <c r="A10" s="97">
        <v>23</v>
      </c>
      <c r="B10" s="100" t="s">
        <v>1205</v>
      </c>
      <c r="C10" s="100" t="s">
        <v>255</v>
      </c>
      <c r="D10" s="83">
        <v>66</v>
      </c>
      <c r="E10" s="83"/>
      <c r="F10" s="84">
        <v>201</v>
      </c>
      <c r="G10" s="85">
        <v>34766</v>
      </c>
      <c r="H10" s="86">
        <f t="shared" ca="1" si="0"/>
        <v>25.6</v>
      </c>
      <c r="I10" s="100" t="s">
        <v>393</v>
      </c>
      <c r="J10" s="97">
        <v>2</v>
      </c>
      <c r="K10" s="97">
        <v>2017</v>
      </c>
      <c r="L10" s="97"/>
      <c r="M10" s="100" t="s">
        <v>531</v>
      </c>
      <c r="N10" s="100" t="s">
        <v>543</v>
      </c>
      <c r="O10" s="100" t="s">
        <v>2115</v>
      </c>
      <c r="P10" s="87">
        <v>2750000</v>
      </c>
      <c r="Q10" s="91">
        <f>P10*1.3</f>
        <v>3575000</v>
      </c>
      <c r="V10" s="100"/>
      <c r="W10" s="100" t="s">
        <v>1206</v>
      </c>
      <c r="X10" s="97">
        <v>2</v>
      </c>
      <c r="Y10" s="82">
        <v>42</v>
      </c>
      <c r="Z10" s="96">
        <f>18/42</f>
        <v>0.42857142857142855</v>
      </c>
      <c r="AA10" s="86">
        <v>104.4</v>
      </c>
      <c r="AB10" s="86">
        <v>107.7</v>
      </c>
      <c r="AC10" s="86">
        <f t="shared" si="1"/>
        <v>-3.2999999999999972</v>
      </c>
      <c r="AD10" s="86">
        <v>11.3</v>
      </c>
      <c r="AE10" s="86">
        <v>8.8000000000000007</v>
      </c>
      <c r="AF10" s="96">
        <v>0.51500000000000001</v>
      </c>
      <c r="AG10" s="86">
        <v>17.600000000000001</v>
      </c>
      <c r="AH10" s="86">
        <v>-0.2</v>
      </c>
      <c r="AI10" s="86">
        <v>0.4</v>
      </c>
      <c r="AJ10" s="96">
        <v>1.2E-2</v>
      </c>
      <c r="AK10" s="86">
        <v>-2.6</v>
      </c>
      <c r="AL10" s="86">
        <v>-0.8</v>
      </c>
      <c r="AM10" s="86">
        <v>-0.2</v>
      </c>
      <c r="AN10" s="86">
        <v>6.5</v>
      </c>
    </row>
    <row r="11" spans="1:44" x14ac:dyDescent="0.2">
      <c r="A11" s="97">
        <v>15</v>
      </c>
      <c r="B11" s="100" t="s">
        <v>1207</v>
      </c>
      <c r="C11" s="100" t="s">
        <v>236</v>
      </c>
      <c r="D11" s="83">
        <v>68</v>
      </c>
      <c r="E11" s="83">
        <v>68</v>
      </c>
      <c r="F11" s="84">
        <v>215</v>
      </c>
      <c r="G11" s="85">
        <v>35327</v>
      </c>
      <c r="H11" s="86">
        <f t="shared" ca="1" si="0"/>
        <v>24</v>
      </c>
      <c r="I11" s="100" t="s">
        <v>1036</v>
      </c>
      <c r="J11" s="97">
        <v>2</v>
      </c>
      <c r="K11" s="97">
        <v>2019</v>
      </c>
      <c r="L11" s="97">
        <v>21</v>
      </c>
      <c r="M11" s="100" t="s">
        <v>1208</v>
      </c>
      <c r="N11" s="100" t="s">
        <v>247</v>
      </c>
      <c r="O11" s="100" t="s">
        <v>2116</v>
      </c>
      <c r="P11" s="87">
        <v>2602920</v>
      </c>
      <c r="Q11" s="90">
        <v>2726880</v>
      </c>
      <c r="R11" s="90">
        <v>4343920</v>
      </c>
      <c r="S11" s="91">
        <f>R11*3</f>
        <v>13031760</v>
      </c>
      <c r="V11" s="100"/>
      <c r="W11" s="100" t="s">
        <v>1209</v>
      </c>
      <c r="X11" s="97">
        <v>4</v>
      </c>
      <c r="Y11" s="82">
        <v>50</v>
      </c>
      <c r="Z11" s="96">
        <f>27/50</f>
        <v>0.54</v>
      </c>
      <c r="AA11" s="86">
        <v>108.2</v>
      </c>
      <c r="AB11" s="86">
        <v>107.1</v>
      </c>
      <c r="AC11" s="86">
        <f t="shared" si="1"/>
        <v>1.1000000000000085</v>
      </c>
      <c r="AD11" s="86">
        <v>21.7</v>
      </c>
      <c r="AE11" s="86">
        <v>21.8</v>
      </c>
      <c r="AF11" s="96">
        <v>0.67</v>
      </c>
      <c r="AG11" s="86">
        <v>19</v>
      </c>
      <c r="AH11" s="86">
        <v>3.1</v>
      </c>
      <c r="AI11" s="86">
        <v>1.3</v>
      </c>
      <c r="AJ11" s="96">
        <v>0.192</v>
      </c>
      <c r="AK11" s="86">
        <v>2.8</v>
      </c>
      <c r="AL11" s="86">
        <v>0.7</v>
      </c>
      <c r="AM11" s="86">
        <v>1.5</v>
      </c>
      <c r="AN11" s="86">
        <v>14.4</v>
      </c>
    </row>
    <row r="12" spans="1:44" x14ac:dyDescent="0.2">
      <c r="A12" s="97">
        <v>3</v>
      </c>
      <c r="B12" s="100" t="s">
        <v>1210</v>
      </c>
      <c r="C12" s="100" t="s">
        <v>255</v>
      </c>
      <c r="D12" s="83">
        <v>64</v>
      </c>
      <c r="E12" s="83">
        <v>67</v>
      </c>
      <c r="F12" s="84">
        <v>198</v>
      </c>
      <c r="G12" s="85">
        <v>34980</v>
      </c>
      <c r="H12" s="86">
        <f t="shared" ca="1" si="0"/>
        <v>25</v>
      </c>
      <c r="I12" s="100" t="s">
        <v>256</v>
      </c>
      <c r="J12" s="97">
        <v>3</v>
      </c>
      <c r="K12" s="97">
        <v>2018</v>
      </c>
      <c r="L12" s="97">
        <v>21</v>
      </c>
      <c r="M12" s="100" t="s">
        <v>1211</v>
      </c>
      <c r="N12" s="100" t="s">
        <v>1212</v>
      </c>
      <c r="O12" s="100" t="s">
        <v>2145</v>
      </c>
      <c r="P12" s="87">
        <v>2545320</v>
      </c>
      <c r="Q12" s="90">
        <v>4054695</v>
      </c>
      <c r="R12" s="91">
        <f>Q12*3</f>
        <v>12164085</v>
      </c>
      <c r="V12" s="100"/>
      <c r="W12" s="100" t="s">
        <v>1213</v>
      </c>
      <c r="X12" s="97">
        <v>2</v>
      </c>
      <c r="Y12" s="82">
        <v>30</v>
      </c>
      <c r="Z12" s="96">
        <f>14/30</f>
        <v>0.46666666666666667</v>
      </c>
      <c r="AA12" s="86">
        <v>105.2</v>
      </c>
      <c r="AB12" s="86">
        <v>111.6</v>
      </c>
      <c r="AC12" s="86">
        <f t="shared" si="1"/>
        <v>-6.3999999999999915</v>
      </c>
      <c r="AD12" s="86">
        <v>16.600000000000001</v>
      </c>
      <c r="AE12" s="86">
        <v>11.4</v>
      </c>
      <c r="AF12" s="96">
        <v>0.57699999999999996</v>
      </c>
      <c r="AG12" s="86">
        <v>17.899999999999999</v>
      </c>
      <c r="AH12" s="86">
        <v>0.5</v>
      </c>
      <c r="AI12" s="86">
        <v>0.3</v>
      </c>
      <c r="AJ12" s="96">
        <v>7.0000000000000007E-2</v>
      </c>
      <c r="AK12" s="86">
        <v>-1</v>
      </c>
      <c r="AL12" s="86">
        <v>-1.5</v>
      </c>
      <c r="AM12" s="86">
        <v>-0.1</v>
      </c>
      <c r="AN12" s="86">
        <v>8.1999999999999993</v>
      </c>
    </row>
    <row r="13" spans="1:44" x14ac:dyDescent="0.2">
      <c r="A13" s="97"/>
      <c r="B13" s="100" t="s">
        <v>88</v>
      </c>
      <c r="C13" s="100" t="s">
        <v>236</v>
      </c>
      <c r="D13" s="83">
        <v>611</v>
      </c>
      <c r="E13" s="83">
        <v>70</v>
      </c>
      <c r="F13" s="84">
        <v>240</v>
      </c>
      <c r="G13" s="85">
        <v>36479</v>
      </c>
      <c r="H13" s="86">
        <f t="shared" ca="1" si="0"/>
        <v>20.9</v>
      </c>
      <c r="I13" s="100" t="s">
        <v>786</v>
      </c>
      <c r="J13" s="97">
        <v>2</v>
      </c>
      <c r="K13" s="97">
        <v>2019</v>
      </c>
      <c r="L13" s="97"/>
      <c r="M13" s="100" t="s">
        <v>677</v>
      </c>
      <c r="N13" s="100" t="s">
        <v>282</v>
      </c>
      <c r="O13" s="214" t="s">
        <v>290</v>
      </c>
      <c r="P13" s="89">
        <v>1517981</v>
      </c>
      <c r="Q13" s="91">
        <v>2056061</v>
      </c>
      <c r="V13" s="100"/>
      <c r="W13" s="100"/>
      <c r="X13" s="97"/>
      <c r="Z13" s="96"/>
      <c r="AA13" s="86"/>
      <c r="AB13" s="86"/>
      <c r="AC13" s="86"/>
      <c r="AD13" s="86"/>
      <c r="AE13" s="86"/>
      <c r="AF13" s="96"/>
      <c r="AG13" s="86"/>
      <c r="AH13" s="86"/>
      <c r="AI13" s="86"/>
      <c r="AJ13" s="96"/>
      <c r="AK13" s="86"/>
      <c r="AL13" s="86"/>
      <c r="AM13" s="86"/>
      <c r="AN13" s="86"/>
    </row>
    <row r="14" spans="1:44" x14ac:dyDescent="0.2">
      <c r="B14" s="100" t="s">
        <v>297</v>
      </c>
      <c r="C14" s="100"/>
      <c r="F14" s="92"/>
      <c r="P14" s="94">
        <f>12650000+459414</f>
        <v>13109414</v>
      </c>
      <c r="X14" s="95"/>
    </row>
    <row r="15" spans="1:44" x14ac:dyDescent="0.2">
      <c r="B15" s="213" t="s">
        <v>1226</v>
      </c>
      <c r="C15" s="100"/>
      <c r="L15" s="37"/>
      <c r="P15" s="207">
        <v>898310</v>
      </c>
    </row>
    <row r="16" spans="1:44" x14ac:dyDescent="0.2">
      <c r="B16" s="208"/>
      <c r="C16" s="100"/>
      <c r="L16" s="37"/>
      <c r="P16" s="207"/>
      <c r="S16" s="87"/>
    </row>
    <row r="17" spans="1:40" x14ac:dyDescent="0.2">
      <c r="A17" s="97">
        <v>20</v>
      </c>
      <c r="B17" s="100" t="s">
        <v>86</v>
      </c>
      <c r="C17" s="100" t="s">
        <v>244</v>
      </c>
      <c r="D17" s="83">
        <v>68</v>
      </c>
      <c r="E17" s="83">
        <v>610</v>
      </c>
      <c r="F17" s="84">
        <v>207</v>
      </c>
      <c r="G17" s="85">
        <v>35471</v>
      </c>
      <c r="H17" s="86">
        <f t="shared" ref="H17:H21" ca="1" si="2">ROUNDDOWN(YEARFRAC($G$23,G17),1)</f>
        <v>23.7</v>
      </c>
      <c r="I17" s="100" t="s">
        <v>524</v>
      </c>
      <c r="J17" s="97">
        <v>4</v>
      </c>
      <c r="K17" s="97">
        <v>2017</v>
      </c>
      <c r="L17" s="97">
        <v>4</v>
      </c>
      <c r="M17" s="100" t="s">
        <v>1200</v>
      </c>
      <c r="N17" s="100"/>
      <c r="O17" s="100"/>
      <c r="P17" s="88">
        <v>8930242</v>
      </c>
      <c r="S17" s="94"/>
      <c r="V17" s="100"/>
      <c r="W17" s="100" t="s">
        <v>1201</v>
      </c>
      <c r="X17" s="97">
        <v>3</v>
      </c>
      <c r="Y17" s="82">
        <v>18</v>
      </c>
      <c r="Z17" s="96">
        <f>9/18</f>
        <v>0.5</v>
      </c>
      <c r="AA17" s="86">
        <v>109.1</v>
      </c>
      <c r="AB17" s="86">
        <v>105.9</v>
      </c>
      <c r="AC17" s="86">
        <f t="shared" ref="AC17:AC18" si="3">AA17-AB17</f>
        <v>3.1999999999999886</v>
      </c>
      <c r="AD17" s="86">
        <v>18.8</v>
      </c>
      <c r="AE17" s="86">
        <v>14</v>
      </c>
      <c r="AF17" s="96">
        <v>0.53900000000000003</v>
      </c>
      <c r="AG17" s="86">
        <v>23.2</v>
      </c>
      <c r="AH17" s="86">
        <v>0</v>
      </c>
      <c r="AI17" s="86">
        <v>0.4</v>
      </c>
      <c r="AJ17" s="96">
        <v>6.2E-2</v>
      </c>
      <c r="AK17" s="86">
        <v>-1.1000000000000001</v>
      </c>
      <c r="AL17" s="86">
        <v>1.2</v>
      </c>
      <c r="AM17" s="86">
        <v>0.2</v>
      </c>
      <c r="AN17" s="86">
        <v>8.8000000000000007</v>
      </c>
    </row>
    <row r="18" spans="1:40" x14ac:dyDescent="0.2">
      <c r="A18" s="97">
        <v>0</v>
      </c>
      <c r="B18" s="100" t="s">
        <v>87</v>
      </c>
      <c r="C18" s="100" t="s">
        <v>232</v>
      </c>
      <c r="D18" s="83">
        <v>62</v>
      </c>
      <c r="E18" s="83">
        <v>68</v>
      </c>
      <c r="F18" s="84">
        <v>200</v>
      </c>
      <c r="G18" s="85">
        <v>35944</v>
      </c>
      <c r="H18" s="86">
        <f t="shared" ca="1" si="2"/>
        <v>22.4</v>
      </c>
      <c r="I18" s="100" t="s">
        <v>226</v>
      </c>
      <c r="J18" s="97">
        <v>3</v>
      </c>
      <c r="K18" s="97">
        <v>2018</v>
      </c>
      <c r="L18" s="97">
        <v>46</v>
      </c>
      <c r="M18" s="100" t="s">
        <v>1200</v>
      </c>
      <c r="N18" s="100"/>
      <c r="O18" s="100"/>
      <c r="P18" s="91">
        <v>1907576</v>
      </c>
      <c r="V18" s="100"/>
      <c r="W18" s="100" t="s">
        <v>1218</v>
      </c>
      <c r="X18" s="97">
        <v>2</v>
      </c>
      <c r="Y18" s="82">
        <v>52</v>
      </c>
      <c r="Z18" s="96">
        <f>25/52</f>
        <v>0.48076923076923078</v>
      </c>
      <c r="AA18" s="86">
        <v>111.4</v>
      </c>
      <c r="AB18" s="86">
        <v>105.2</v>
      </c>
      <c r="AC18" s="86">
        <f t="shared" si="3"/>
        <v>6.2000000000000028</v>
      </c>
      <c r="AD18" s="86">
        <v>19.399999999999999</v>
      </c>
      <c r="AE18" s="86">
        <v>14.6</v>
      </c>
      <c r="AF18" s="96">
        <v>0.52500000000000002</v>
      </c>
      <c r="AG18" s="86">
        <v>19.600000000000001</v>
      </c>
      <c r="AH18" s="86">
        <v>0.4</v>
      </c>
      <c r="AI18" s="86">
        <v>1.4</v>
      </c>
      <c r="AJ18" s="96">
        <v>8.5999999999999993E-2</v>
      </c>
      <c r="AK18" s="86">
        <v>-1.6</v>
      </c>
      <c r="AL18" s="86">
        <v>1.8</v>
      </c>
      <c r="AM18" s="86">
        <v>0.6</v>
      </c>
      <c r="AN18" s="86">
        <v>10</v>
      </c>
    </row>
    <row r="19" spans="1:40" x14ac:dyDescent="0.2">
      <c r="A19" s="97">
        <v>44</v>
      </c>
      <c r="B19" s="100" t="s">
        <v>2042</v>
      </c>
      <c r="C19" s="100" t="s">
        <v>236</v>
      </c>
      <c r="D19" s="83">
        <v>68</v>
      </c>
      <c r="E19" s="83">
        <v>72</v>
      </c>
      <c r="F19" s="84">
        <v>240</v>
      </c>
      <c r="G19" s="85">
        <v>31199</v>
      </c>
      <c r="H19" s="86">
        <f t="shared" ca="1" si="2"/>
        <v>35.299999999999997</v>
      </c>
      <c r="I19" s="100" t="s">
        <v>862</v>
      </c>
      <c r="J19" s="97">
        <v>14</v>
      </c>
      <c r="K19" s="97">
        <v>2007</v>
      </c>
      <c r="L19" s="97"/>
      <c r="M19" s="100" t="s">
        <v>2046</v>
      </c>
      <c r="N19" s="100"/>
      <c r="O19" s="100"/>
      <c r="P19" s="88">
        <v>1707576</v>
      </c>
      <c r="Q19" s="193"/>
      <c r="V19" s="100"/>
      <c r="W19" s="100" t="s">
        <v>1774</v>
      </c>
      <c r="X19" s="97">
        <v>4</v>
      </c>
      <c r="Y19" s="82">
        <v>5</v>
      </c>
      <c r="Z19" s="96">
        <f>3/5</f>
        <v>0.6</v>
      </c>
      <c r="AA19" s="86">
        <v>114.4</v>
      </c>
      <c r="AB19" s="86">
        <v>95</v>
      </c>
      <c r="AC19" s="86">
        <f>AA19-AB19</f>
        <v>19.400000000000006</v>
      </c>
      <c r="AD19" s="86">
        <v>19.3</v>
      </c>
      <c r="AE19" s="86">
        <v>6.8</v>
      </c>
      <c r="AF19" s="96">
        <v>0.59299999999999997</v>
      </c>
      <c r="AG19" s="86">
        <v>12</v>
      </c>
      <c r="AH19" s="86">
        <v>0</v>
      </c>
      <c r="AI19" s="86">
        <v>0.1</v>
      </c>
      <c r="AJ19" s="96">
        <v>2.5999999999999999E-2</v>
      </c>
      <c r="AK19" s="86">
        <v>-3.4</v>
      </c>
      <c r="AL19" s="86">
        <v>0.3</v>
      </c>
      <c r="AM19" s="86">
        <v>0</v>
      </c>
      <c r="AN19" s="86">
        <v>5.8</v>
      </c>
    </row>
    <row r="20" spans="1:40" x14ac:dyDescent="0.2">
      <c r="A20" s="97">
        <v>18</v>
      </c>
      <c r="B20" s="100" t="s">
        <v>1219</v>
      </c>
      <c r="C20" s="100" t="s">
        <v>244</v>
      </c>
      <c r="D20" s="83">
        <v>68</v>
      </c>
      <c r="E20" s="83">
        <v>610</v>
      </c>
      <c r="F20" s="84">
        <v>215</v>
      </c>
      <c r="G20" s="85">
        <v>34620</v>
      </c>
      <c r="H20" s="86">
        <f t="shared" ca="1" si="2"/>
        <v>26</v>
      </c>
      <c r="I20" s="100" t="s">
        <v>1220</v>
      </c>
      <c r="J20" s="97">
        <v>3</v>
      </c>
      <c r="K20" s="97">
        <v>2018</v>
      </c>
      <c r="L20" s="97"/>
      <c r="M20" s="100" t="s">
        <v>1221</v>
      </c>
      <c r="N20" s="100"/>
      <c r="O20" s="100"/>
      <c r="P20" s="99">
        <v>1620564</v>
      </c>
      <c r="V20" s="100"/>
      <c r="W20" s="100" t="s">
        <v>1222</v>
      </c>
      <c r="X20" s="97">
        <v>3</v>
      </c>
      <c r="Y20" s="82">
        <v>16</v>
      </c>
      <c r="Z20" s="96">
        <f>8/16</f>
        <v>0.5</v>
      </c>
      <c r="AA20" s="86">
        <v>103.3</v>
      </c>
      <c r="AB20" s="86">
        <v>101.9</v>
      </c>
      <c r="AC20" s="86">
        <f t="shared" ref="AC20:AC21" si="4">AA20-AB20</f>
        <v>1.3999999999999915</v>
      </c>
      <c r="AD20" s="86">
        <v>6.2</v>
      </c>
      <c r="AE20" s="86">
        <v>9.5</v>
      </c>
      <c r="AF20" s="96">
        <v>0.46100000000000002</v>
      </c>
      <c r="AG20" s="86">
        <v>14.5</v>
      </c>
      <c r="AH20" s="86">
        <v>0</v>
      </c>
      <c r="AI20" s="86">
        <v>0.1</v>
      </c>
      <c r="AJ20" s="96">
        <v>4.7E-2</v>
      </c>
      <c r="AK20" s="86">
        <v>-3.6</v>
      </c>
      <c r="AL20" s="86">
        <v>1</v>
      </c>
      <c r="AM20" s="86">
        <v>0</v>
      </c>
      <c r="AN20" s="86">
        <v>5.4</v>
      </c>
    </row>
    <row r="21" spans="1:40" x14ac:dyDescent="0.2">
      <c r="A21" s="97">
        <v>46</v>
      </c>
      <c r="B21" s="100" t="s">
        <v>1223</v>
      </c>
      <c r="C21" s="100" t="s">
        <v>255</v>
      </c>
      <c r="D21" s="83">
        <v>65</v>
      </c>
      <c r="E21" s="83">
        <v>68</v>
      </c>
      <c r="F21" s="84">
        <v>210</v>
      </c>
      <c r="G21" s="85">
        <v>35146</v>
      </c>
      <c r="H21" s="86">
        <f t="shared" ca="1" si="2"/>
        <v>24.5</v>
      </c>
      <c r="I21" s="100" t="s">
        <v>1224</v>
      </c>
      <c r="J21" s="97">
        <v>2</v>
      </c>
      <c r="K21" s="97">
        <v>2019</v>
      </c>
      <c r="L21" s="97"/>
      <c r="M21" s="100" t="s">
        <v>436</v>
      </c>
      <c r="N21" s="100"/>
      <c r="O21" s="100"/>
      <c r="P21" s="99">
        <v>1445697</v>
      </c>
      <c r="V21" s="100"/>
      <c r="W21" s="100" t="s">
        <v>1225</v>
      </c>
      <c r="X21" s="97">
        <v>2</v>
      </c>
      <c r="Y21" s="82">
        <v>15</v>
      </c>
      <c r="Z21" s="96">
        <f>7/15</f>
        <v>0.46666666666666667</v>
      </c>
      <c r="AA21" s="86">
        <v>110</v>
      </c>
      <c r="AB21" s="86">
        <v>105.2</v>
      </c>
      <c r="AC21" s="86">
        <f t="shared" si="4"/>
        <v>4.7999999999999972</v>
      </c>
      <c r="AD21" s="86">
        <v>11.1</v>
      </c>
      <c r="AE21" s="86">
        <v>19</v>
      </c>
      <c r="AF21" s="96">
        <v>0.71099999999999997</v>
      </c>
      <c r="AG21" s="86">
        <v>10.4</v>
      </c>
      <c r="AH21" s="86">
        <v>0.5</v>
      </c>
      <c r="AI21" s="86">
        <v>0.2</v>
      </c>
      <c r="AJ21" s="96">
        <v>0.19500000000000001</v>
      </c>
      <c r="AK21" s="86">
        <v>2.7</v>
      </c>
      <c r="AL21" s="86">
        <v>2.2000000000000002</v>
      </c>
      <c r="AM21" s="86">
        <v>0.3</v>
      </c>
      <c r="AN21" s="86">
        <v>13.8</v>
      </c>
    </row>
    <row r="22" spans="1:40" x14ac:dyDescent="0.2">
      <c r="B22" s="208"/>
      <c r="C22" s="100"/>
      <c r="L22" s="37"/>
      <c r="P22" s="207"/>
    </row>
    <row r="23" spans="1:40" x14ac:dyDescent="0.2">
      <c r="B23" s="100"/>
      <c r="C23" s="100"/>
      <c r="G23" s="85">
        <f ca="1">TODAY()</f>
        <v>44128</v>
      </c>
      <c r="H23" s="95">
        <f ca="1">AVERAGE(H2:H13)</f>
        <v>24.791666666666668</v>
      </c>
      <c r="I23" s="95"/>
      <c r="J23" s="95">
        <f>AVERAGE(J2:J13)</f>
        <v>4.5</v>
      </c>
      <c r="N23" s="87"/>
    </row>
    <row r="24" spans="1:40" x14ac:dyDescent="0.2">
      <c r="B24" s="100"/>
      <c r="H24" s="131">
        <f ca="1">MEDIAN(H2:H13)</f>
        <v>24.6</v>
      </c>
      <c r="J24" s="97">
        <f>MEDIAN(J2:J13)</f>
        <v>3.5</v>
      </c>
      <c r="N24" s="94"/>
      <c r="O24" s="87"/>
      <c r="P24" s="87"/>
    </row>
    <row r="25" spans="1:40" x14ac:dyDescent="0.2">
      <c r="B25" s="209" t="s">
        <v>2224</v>
      </c>
      <c r="G25" s="209"/>
      <c r="P25" s="140">
        <f>P2+P3+P4+P5+P6+P7+P8+P9+P10+P11+P12+P14</f>
        <v>112441697</v>
      </c>
    </row>
    <row r="26" spans="1:40" x14ac:dyDescent="0.2">
      <c r="B26" s="3" t="s">
        <v>2085</v>
      </c>
      <c r="C26" s="82">
        <v>11</v>
      </c>
      <c r="G26" s="3"/>
      <c r="P26" s="87">
        <f>P2+P3+P4+P5+P6+P7+P8+P9+P10+P11+P12+P13+P14</f>
        <v>113959678</v>
      </c>
    </row>
    <row r="27" spans="1:40" x14ac:dyDescent="0.2">
      <c r="B27" s="3" t="s">
        <v>2088</v>
      </c>
      <c r="C27" s="82">
        <v>1</v>
      </c>
      <c r="G27" s="3"/>
      <c r="P27" s="94"/>
    </row>
    <row r="28" spans="1:40" x14ac:dyDescent="0.2">
      <c r="B28" s="3" t="s">
        <v>2086</v>
      </c>
      <c r="C28" s="82">
        <v>1</v>
      </c>
      <c r="D28" s="85"/>
      <c r="G28" s="3"/>
      <c r="O28" s="82" t="s">
        <v>300</v>
      </c>
      <c r="P28" s="94">
        <v>109140000</v>
      </c>
    </row>
    <row r="29" spans="1:40" x14ac:dyDescent="0.2">
      <c r="B29" s="3" t="s">
        <v>2219</v>
      </c>
      <c r="C29" s="82" t="s">
        <v>2305</v>
      </c>
      <c r="D29" s="85"/>
      <c r="G29" s="3"/>
      <c r="O29" s="94" t="s">
        <v>302</v>
      </c>
      <c r="P29" s="94">
        <v>132627000</v>
      </c>
    </row>
    <row r="30" spans="1:40" x14ac:dyDescent="0.2">
      <c r="B30" s="3" t="s">
        <v>301</v>
      </c>
      <c r="C30" s="94">
        <v>0</v>
      </c>
      <c r="D30" s="85"/>
      <c r="G30" s="3"/>
      <c r="H30" s="94"/>
      <c r="O30" s="94"/>
      <c r="P30" s="94"/>
    </row>
    <row r="31" spans="1:40" x14ac:dyDescent="0.2">
      <c r="B31" s="3" t="s">
        <v>303</v>
      </c>
      <c r="C31" s="94">
        <v>0</v>
      </c>
      <c r="D31" s="85"/>
      <c r="G31" s="3"/>
      <c r="H31" s="94"/>
      <c r="P31" s="94"/>
    </row>
    <row r="32" spans="1:40" x14ac:dyDescent="0.2">
      <c r="B32" s="100"/>
      <c r="C32" s="100"/>
      <c r="O32" s="94"/>
    </row>
    <row r="33" spans="2:15" x14ac:dyDescent="0.2">
      <c r="B33" s="208" t="s">
        <v>2084</v>
      </c>
      <c r="C33" s="100"/>
      <c r="O33" s="94"/>
    </row>
    <row r="34" spans="2:15" x14ac:dyDescent="0.2">
      <c r="B34" s="100" t="s">
        <v>304</v>
      </c>
      <c r="C34" s="96">
        <f>34/(34+39)</f>
        <v>0.46575342465753422</v>
      </c>
      <c r="D34" s="82" t="s">
        <v>819</v>
      </c>
    </row>
    <row r="35" spans="2:15" x14ac:dyDescent="0.2">
      <c r="B35" s="100" t="s">
        <v>306</v>
      </c>
      <c r="C35" s="86">
        <v>108.7</v>
      </c>
      <c r="D35" s="82" t="s">
        <v>2306</v>
      </c>
    </row>
    <row r="36" spans="2:15" x14ac:dyDescent="0.2">
      <c r="B36" s="100" t="s">
        <v>307</v>
      </c>
      <c r="C36" s="86">
        <v>109.7</v>
      </c>
      <c r="D36" s="82" t="s">
        <v>2303</v>
      </c>
    </row>
    <row r="37" spans="2:15" x14ac:dyDescent="0.2">
      <c r="B37" s="100" t="s">
        <v>308</v>
      </c>
      <c r="C37" s="86">
        <f>C35-C36</f>
        <v>-1</v>
      </c>
      <c r="D37" s="82" t="s">
        <v>2225</v>
      </c>
    </row>
    <row r="38" spans="2:15" x14ac:dyDescent="0.2">
      <c r="B38" s="100" t="s">
        <v>309</v>
      </c>
      <c r="C38" s="95">
        <v>103.31</v>
      </c>
      <c r="D38" s="82" t="s">
        <v>2216</v>
      </c>
      <c r="N38" s="87" t="s">
        <v>1227</v>
      </c>
    </row>
    <row r="39" spans="2:15" x14ac:dyDescent="0.2">
      <c r="B39" s="100"/>
      <c r="C39" s="100"/>
      <c r="N39" s="94" t="s">
        <v>1228</v>
      </c>
    </row>
    <row r="40" spans="2:15" x14ac:dyDescent="0.2">
      <c r="B40" s="101" t="s">
        <v>310</v>
      </c>
      <c r="C40" s="101"/>
    </row>
    <row r="41" spans="2:15" x14ac:dyDescent="0.2">
      <c r="B41" s="101" t="s">
        <v>2304</v>
      </c>
      <c r="C41" s="101"/>
    </row>
    <row r="42" spans="2:15" x14ac:dyDescent="0.2">
      <c r="B42" s="101" t="s">
        <v>1232</v>
      </c>
      <c r="C42" s="101"/>
    </row>
    <row r="43" spans="2:15" x14ac:dyDescent="0.2">
      <c r="B43" s="101" t="s">
        <v>1233</v>
      </c>
      <c r="C43" s="101"/>
    </row>
    <row r="44" spans="2:15" x14ac:dyDescent="0.2">
      <c r="B44" s="101" t="s">
        <v>1234</v>
      </c>
      <c r="C44" s="101"/>
    </row>
    <row r="45" spans="2:15" x14ac:dyDescent="0.2">
      <c r="B45" s="101" t="s">
        <v>1235</v>
      </c>
      <c r="C45" s="101"/>
    </row>
    <row r="46" spans="2:15" x14ac:dyDescent="0.2">
      <c r="B46" s="101" t="s">
        <v>1236</v>
      </c>
      <c r="C46" s="101"/>
    </row>
    <row r="47" spans="2:15" x14ac:dyDescent="0.2">
      <c r="B47" s="101" t="s">
        <v>1237</v>
      </c>
      <c r="C47" s="101"/>
    </row>
    <row r="48" spans="2:15" x14ac:dyDescent="0.2">
      <c r="B48" s="101"/>
      <c r="C48" s="101"/>
    </row>
    <row r="49" spans="2:11" x14ac:dyDescent="0.2">
      <c r="B49" s="101" t="s">
        <v>318</v>
      </c>
      <c r="C49" s="101"/>
    </row>
    <row r="50" spans="2:11" x14ac:dyDescent="0.2">
      <c r="B50" s="101" t="s">
        <v>1238</v>
      </c>
      <c r="C50" s="101"/>
    </row>
    <row r="51" spans="2:11" x14ac:dyDescent="0.2">
      <c r="B51" s="101" t="s">
        <v>1239</v>
      </c>
      <c r="C51" s="101"/>
    </row>
    <row r="52" spans="2:11" x14ac:dyDescent="0.2">
      <c r="B52" s="101"/>
      <c r="C52" s="101"/>
    </row>
    <row r="53" spans="2:11" x14ac:dyDescent="0.2">
      <c r="B53" s="217" t="s">
        <v>2228</v>
      </c>
      <c r="C53" s="102"/>
    </row>
    <row r="54" spans="2:11" x14ac:dyDescent="0.2">
      <c r="B54" s="39" t="s">
        <v>322</v>
      </c>
      <c r="C54" s="82">
        <v>34</v>
      </c>
      <c r="D54" s="82">
        <v>39</v>
      </c>
      <c r="E54" s="82" t="s">
        <v>819</v>
      </c>
      <c r="G54" s="82" t="s">
        <v>1231</v>
      </c>
      <c r="J54" s="114" t="s">
        <v>324</v>
      </c>
    </row>
    <row r="55" spans="2:11" x14ac:dyDescent="0.2">
      <c r="B55" s="39" t="s">
        <v>325</v>
      </c>
      <c r="C55" s="82">
        <v>33</v>
      </c>
      <c r="D55" s="82">
        <v>49</v>
      </c>
      <c r="E55" s="82" t="s">
        <v>820</v>
      </c>
      <c r="G55" s="82" t="s">
        <v>679</v>
      </c>
      <c r="I55" s="114"/>
      <c r="J55" s="114" t="s">
        <v>324</v>
      </c>
      <c r="K55" s="114"/>
    </row>
    <row r="56" spans="2:11" x14ac:dyDescent="0.2">
      <c r="B56" s="39" t="s">
        <v>327</v>
      </c>
      <c r="C56" s="82">
        <v>22</v>
      </c>
      <c r="D56" s="82">
        <v>60</v>
      </c>
      <c r="E56" s="82" t="s">
        <v>757</v>
      </c>
      <c r="G56" s="82" t="s">
        <v>1240</v>
      </c>
      <c r="I56" s="114"/>
      <c r="J56" s="114" t="s">
        <v>324</v>
      </c>
      <c r="K56" s="114"/>
    </row>
    <row r="57" spans="2:11" x14ac:dyDescent="0.2">
      <c r="B57" s="39" t="s">
        <v>330</v>
      </c>
      <c r="C57" s="82">
        <v>43</v>
      </c>
      <c r="D57" s="82">
        <v>39</v>
      </c>
      <c r="E57" s="82" t="s">
        <v>754</v>
      </c>
      <c r="G57" s="82" t="s">
        <v>1241</v>
      </c>
      <c r="J57" s="82" t="s">
        <v>1242</v>
      </c>
    </row>
    <row r="58" spans="2:11" x14ac:dyDescent="0.2">
      <c r="B58" s="39" t="s">
        <v>333</v>
      </c>
      <c r="C58" s="82">
        <v>42</v>
      </c>
      <c r="D58" s="82">
        <v>40</v>
      </c>
      <c r="E58" s="82" t="s">
        <v>754</v>
      </c>
      <c r="G58" s="82" t="s">
        <v>1243</v>
      </c>
      <c r="J58" s="82" t="s">
        <v>1178</v>
      </c>
    </row>
    <row r="59" spans="2:11" x14ac:dyDescent="0.2">
      <c r="B59" s="39" t="s">
        <v>336</v>
      </c>
      <c r="C59" s="82">
        <v>55</v>
      </c>
      <c r="D59" s="82">
        <v>27</v>
      </c>
      <c r="E59" s="82" t="s">
        <v>826</v>
      </c>
      <c r="G59" s="82" t="s">
        <v>1243</v>
      </c>
      <c r="J59" s="82" t="s">
        <v>1244</v>
      </c>
    </row>
    <row r="60" spans="2:11" x14ac:dyDescent="0.2">
      <c r="B60" s="39" t="s">
        <v>339</v>
      </c>
      <c r="C60" s="82">
        <v>50</v>
      </c>
      <c r="D60" s="82">
        <v>32</v>
      </c>
      <c r="E60" s="82" t="s">
        <v>754</v>
      </c>
      <c r="G60" s="82" t="s">
        <v>1243</v>
      </c>
      <c r="J60" s="82" t="s">
        <v>1245</v>
      </c>
    </row>
    <row r="61" spans="2:11" x14ac:dyDescent="0.2">
      <c r="B61" s="39" t="s">
        <v>342</v>
      </c>
      <c r="C61" s="82">
        <v>56</v>
      </c>
      <c r="D61" s="82">
        <v>26</v>
      </c>
      <c r="E61" s="82" t="s">
        <v>826</v>
      </c>
      <c r="G61" s="82" t="s">
        <v>487</v>
      </c>
      <c r="J61" s="82" t="s">
        <v>1246</v>
      </c>
    </row>
    <row r="62" spans="2:11" x14ac:dyDescent="0.2">
      <c r="B62" s="39" t="s">
        <v>346</v>
      </c>
      <c r="C62" s="82">
        <v>41</v>
      </c>
      <c r="D62" s="82">
        <v>25</v>
      </c>
      <c r="E62" s="82" t="s">
        <v>1006</v>
      </c>
      <c r="G62" s="82" t="s">
        <v>487</v>
      </c>
      <c r="J62" s="82" t="s">
        <v>950</v>
      </c>
    </row>
    <row r="63" spans="2:11" x14ac:dyDescent="0.2">
      <c r="B63" s="39" t="s">
        <v>348</v>
      </c>
      <c r="C63" s="82">
        <v>46</v>
      </c>
      <c r="D63" s="82">
        <v>36</v>
      </c>
      <c r="E63" s="82" t="s">
        <v>763</v>
      </c>
      <c r="G63" s="82" t="s">
        <v>487</v>
      </c>
      <c r="J63" s="82" t="s">
        <v>1247</v>
      </c>
    </row>
    <row r="64" spans="2:11" x14ac:dyDescent="0.2">
      <c r="B64" s="82" t="s">
        <v>350</v>
      </c>
      <c r="C64" s="82">
        <f>SUM(C54:C63)</f>
        <v>422</v>
      </c>
      <c r="D64" s="82">
        <f>SUM(D54:D63)</f>
        <v>373</v>
      </c>
      <c r="E64" s="96">
        <f>C64/(C64+D64)</f>
        <v>0.53081761006289307</v>
      </c>
    </row>
  </sheetData>
  <phoneticPr fontId="24" type="noConversion"/>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32C42-802D-B846-BA55-6302BEAF8511}">
  <dimension ref="A1:AR64"/>
  <sheetViews>
    <sheetView zoomScaleNormal="100" workbookViewId="0">
      <selection sqref="A1:AR1"/>
    </sheetView>
  </sheetViews>
  <sheetFormatPr baseColWidth="10" defaultColWidth="11" defaultRowHeight="16" x14ac:dyDescent="0.2"/>
  <cols>
    <col min="1" max="1" width="3.83203125" style="60" customWidth="1"/>
    <col min="2" max="2" width="18.5" style="60" customWidth="1"/>
    <col min="3" max="3" width="11" style="60" customWidth="1"/>
    <col min="4" max="4" width="11" style="60"/>
    <col min="5" max="5" width="11.1640625" style="60" customWidth="1"/>
    <col min="6" max="6" width="8.33203125" style="60" customWidth="1"/>
    <col min="7" max="7" width="10.6640625" style="60" customWidth="1"/>
    <col min="8" max="8" width="6" style="60" customWidth="1"/>
    <col min="9" max="9" width="18.5" style="60" customWidth="1"/>
    <col min="10" max="10" width="11" style="60" customWidth="1"/>
    <col min="11" max="11" width="12" style="60" customWidth="1"/>
    <col min="12" max="12" width="4.83203125" style="60" customWidth="1"/>
    <col min="13" max="13" width="32.6640625" style="60" customWidth="1"/>
    <col min="14" max="14" width="13.83203125" style="60" customWidth="1"/>
    <col min="15" max="15" width="44.83203125" style="60" customWidth="1"/>
    <col min="16" max="18" width="12.33203125" style="60" bestFit="1" customWidth="1"/>
    <col min="19" max="19" width="13.33203125" style="60" customWidth="1"/>
    <col min="20" max="20" width="12.1640625" style="60" customWidth="1"/>
    <col min="21" max="21" width="10.33203125" style="60" customWidth="1"/>
    <col min="22" max="22" width="129.5" style="60" customWidth="1"/>
    <col min="23" max="23" width="26.33203125" style="60" customWidth="1"/>
    <col min="24" max="24" width="10.1640625" style="60" customWidth="1"/>
    <col min="25" max="25" width="4.33203125" style="60" customWidth="1"/>
    <col min="26" max="26" width="7.83203125" style="60" customWidth="1"/>
    <col min="27" max="27" width="6" style="60" customWidth="1"/>
    <col min="28" max="28" width="5.83203125" style="60" customWidth="1"/>
    <col min="29" max="29" width="7.83203125" style="60" customWidth="1"/>
    <col min="30" max="30" width="5.33203125" style="60" customWidth="1"/>
    <col min="31" max="31" width="6.33203125" style="60" customWidth="1"/>
    <col min="32" max="32" width="6.5" style="60" customWidth="1"/>
    <col min="33" max="33" width="7.33203125" style="60" customWidth="1"/>
    <col min="34" max="35" width="5.1640625" style="60" customWidth="1"/>
    <col min="36" max="36" width="6.83203125" style="60" customWidth="1"/>
    <col min="37" max="37" width="6.5" style="60" customWidth="1"/>
    <col min="38" max="38" width="5.83203125" style="60" customWidth="1"/>
    <col min="39" max="39" width="5.6640625" style="60" customWidth="1"/>
    <col min="40" max="40" width="5.1640625" style="60" customWidth="1"/>
    <col min="41" max="16384" width="11" style="60"/>
  </cols>
  <sheetData>
    <row r="1" spans="1:44" x14ac:dyDescent="0.2">
      <c r="A1" s="223" t="s">
        <v>2394</v>
      </c>
      <c r="B1" s="223" t="s">
        <v>2395</v>
      </c>
      <c r="C1" s="223" t="s">
        <v>2396</v>
      </c>
      <c r="D1" s="223" t="s">
        <v>2397</v>
      </c>
      <c r="E1" s="223" t="s">
        <v>2398</v>
      </c>
      <c r="F1" s="223" t="s">
        <v>2399</v>
      </c>
      <c r="G1" s="223" t="s">
        <v>2400</v>
      </c>
      <c r="H1" s="223" t="s">
        <v>2401</v>
      </c>
      <c r="I1" s="223" t="s">
        <v>2402</v>
      </c>
      <c r="J1" s="223" t="s">
        <v>2403</v>
      </c>
      <c r="K1" s="223" t="s">
        <v>2404</v>
      </c>
      <c r="L1" s="223" t="s">
        <v>2405</v>
      </c>
      <c r="M1" s="223" t="s">
        <v>2406</v>
      </c>
      <c r="N1" s="223" t="s">
        <v>2407</v>
      </c>
      <c r="O1" s="223" t="s">
        <v>2408</v>
      </c>
      <c r="P1" s="223" t="s">
        <v>2409</v>
      </c>
      <c r="Q1" s="223" t="s">
        <v>2410</v>
      </c>
      <c r="R1" s="223" t="s">
        <v>2411</v>
      </c>
      <c r="S1" s="223" t="s">
        <v>2412</v>
      </c>
      <c r="T1" s="223" t="s">
        <v>2413</v>
      </c>
      <c r="U1" s="223" t="s">
        <v>2414</v>
      </c>
      <c r="V1" s="223" t="s">
        <v>2415</v>
      </c>
      <c r="W1" s="223" t="s">
        <v>2416</v>
      </c>
      <c r="X1" s="223" t="s">
        <v>2433</v>
      </c>
      <c r="Y1" s="223" t="s">
        <v>2417</v>
      </c>
      <c r="Z1" s="223" t="s">
        <v>2418</v>
      </c>
      <c r="AA1" s="223" t="s">
        <v>2419</v>
      </c>
      <c r="AB1" s="223" t="s">
        <v>2420</v>
      </c>
      <c r="AC1" s="223" t="s">
        <v>2421</v>
      </c>
      <c r="AD1" s="223" t="s">
        <v>2422</v>
      </c>
      <c r="AE1" s="223" t="s">
        <v>2423</v>
      </c>
      <c r="AF1" s="223" t="s">
        <v>2424</v>
      </c>
      <c r="AG1" s="223" t="s">
        <v>2425</v>
      </c>
      <c r="AH1" s="223" t="s">
        <v>2426</v>
      </c>
      <c r="AI1" s="223" t="s">
        <v>2427</v>
      </c>
      <c r="AJ1" s="223" t="s">
        <v>2428</v>
      </c>
      <c r="AK1" s="223" t="s">
        <v>2429</v>
      </c>
      <c r="AL1" s="223" t="s">
        <v>2430</v>
      </c>
      <c r="AM1" s="223" t="s">
        <v>2431</v>
      </c>
      <c r="AN1" s="223" t="s">
        <v>2432</v>
      </c>
      <c r="AO1" s="224"/>
      <c r="AP1" s="225"/>
      <c r="AQ1" s="6"/>
      <c r="AR1" s="6"/>
    </row>
    <row r="2" spans="1:44" x14ac:dyDescent="0.2">
      <c r="A2" s="110">
        <v>22</v>
      </c>
      <c r="B2" s="3" t="s">
        <v>1248</v>
      </c>
      <c r="C2" s="3" t="s">
        <v>255</v>
      </c>
      <c r="D2" s="108">
        <v>67</v>
      </c>
      <c r="E2" s="108">
        <v>68</v>
      </c>
      <c r="F2" s="109">
        <v>230</v>
      </c>
      <c r="G2" s="4">
        <v>32765</v>
      </c>
      <c r="H2" s="113">
        <f ca="1">ROUNDDOWN(YEARFRAC($G$23,G2),1)</f>
        <v>31.1</v>
      </c>
      <c r="I2" s="3" t="s">
        <v>1249</v>
      </c>
      <c r="J2" s="3">
        <v>9</v>
      </c>
      <c r="K2" s="110">
        <v>2011</v>
      </c>
      <c r="L2" s="110">
        <v>30</v>
      </c>
      <c r="M2" s="3" t="s">
        <v>1250</v>
      </c>
      <c r="N2" s="3" t="s">
        <v>354</v>
      </c>
      <c r="O2" s="3" t="s">
        <v>2111</v>
      </c>
      <c r="P2" s="11">
        <v>34379100</v>
      </c>
      <c r="Q2" s="11">
        <v>36016200</v>
      </c>
      <c r="R2" s="48">
        <v>37653300</v>
      </c>
      <c r="S2" s="14">
        <v>48234375</v>
      </c>
      <c r="T2" s="3"/>
      <c r="U2" s="3"/>
      <c r="V2" s="3" t="s">
        <v>355</v>
      </c>
      <c r="W2" s="3" t="s">
        <v>1251</v>
      </c>
      <c r="X2" s="110">
        <v>3</v>
      </c>
      <c r="Y2" s="110">
        <v>54</v>
      </c>
      <c r="Z2" s="41">
        <f>36/54</f>
        <v>0.66666666666666663</v>
      </c>
      <c r="AA2" s="113">
        <v>113.4</v>
      </c>
      <c r="AB2" s="113">
        <v>108.5</v>
      </c>
      <c r="AC2" s="113">
        <f t="shared" ref="AC2:AC10" si="0">AA2-AB2</f>
        <v>4.9000000000000057</v>
      </c>
      <c r="AD2" s="113">
        <v>34.299999999999997</v>
      </c>
      <c r="AE2" s="113">
        <v>23.4</v>
      </c>
      <c r="AF2" s="41">
        <v>0.58299999999999996</v>
      </c>
      <c r="AG2" s="113">
        <v>25.2</v>
      </c>
      <c r="AH2" s="113">
        <v>6</v>
      </c>
      <c r="AI2" s="113">
        <v>2.5</v>
      </c>
      <c r="AJ2" s="41">
        <v>0.219</v>
      </c>
      <c r="AK2" s="113">
        <v>4</v>
      </c>
      <c r="AL2" s="113">
        <v>1.3</v>
      </c>
      <c r="AM2" s="113">
        <v>3.4</v>
      </c>
      <c r="AN2" s="113">
        <v>15.7</v>
      </c>
    </row>
    <row r="3" spans="1:44" x14ac:dyDescent="0.2">
      <c r="A3" s="110">
        <v>28</v>
      </c>
      <c r="B3" s="3" t="s">
        <v>1229</v>
      </c>
      <c r="C3" s="3" t="s">
        <v>244</v>
      </c>
      <c r="D3" s="108">
        <v>66</v>
      </c>
      <c r="E3" s="108">
        <v>611</v>
      </c>
      <c r="F3" s="109">
        <v>215</v>
      </c>
      <c r="G3" s="4">
        <v>30709</v>
      </c>
      <c r="H3" s="113">
        <f t="shared" ref="H3:H10" ca="1" si="1">ROUNDDOWN(YEARFRAC($G$23,G3),1)</f>
        <v>36.700000000000003</v>
      </c>
      <c r="I3" s="3" t="s">
        <v>537</v>
      </c>
      <c r="J3" s="3">
        <v>16</v>
      </c>
      <c r="K3" s="110">
        <v>2004</v>
      </c>
      <c r="L3" s="110">
        <v>9</v>
      </c>
      <c r="M3" s="3" t="s">
        <v>979</v>
      </c>
      <c r="N3" s="3" t="s">
        <v>1</v>
      </c>
      <c r="O3" s="3" t="s">
        <v>2316</v>
      </c>
      <c r="P3" s="11">
        <v>15000000</v>
      </c>
      <c r="Q3" s="49">
        <v>15000000</v>
      </c>
      <c r="R3" s="14">
        <f>Q3*1.5</f>
        <v>22500000</v>
      </c>
      <c r="S3" s="3"/>
      <c r="T3" s="3"/>
      <c r="U3" s="3"/>
      <c r="V3" s="3" t="s">
        <v>1254</v>
      </c>
      <c r="W3" s="3" t="s">
        <v>1255</v>
      </c>
      <c r="X3" s="110">
        <v>2</v>
      </c>
      <c r="Y3" s="110">
        <v>14</v>
      </c>
      <c r="Z3" s="41">
        <f>7/14</f>
        <v>0.5</v>
      </c>
      <c r="AA3" s="113">
        <v>103.3</v>
      </c>
      <c r="AB3" s="113">
        <v>106.4</v>
      </c>
      <c r="AC3" s="113">
        <f t="shared" si="0"/>
        <v>-3.1000000000000085</v>
      </c>
      <c r="AD3" s="113">
        <v>18.5</v>
      </c>
      <c r="AE3" s="113">
        <v>11</v>
      </c>
      <c r="AF3" s="41">
        <v>0.55900000000000005</v>
      </c>
      <c r="AG3" s="113">
        <v>12.2</v>
      </c>
      <c r="AH3" s="113">
        <v>0</v>
      </c>
      <c r="AI3" s="113">
        <v>0.4</v>
      </c>
      <c r="AJ3" s="41">
        <v>7.8E-2</v>
      </c>
      <c r="AK3" s="113">
        <v>-2.5</v>
      </c>
      <c r="AL3" s="113">
        <v>1.9</v>
      </c>
      <c r="AM3" s="113">
        <v>0.1</v>
      </c>
      <c r="AN3" s="113">
        <v>7.8</v>
      </c>
    </row>
    <row r="4" spans="1:44" x14ac:dyDescent="0.2">
      <c r="A4" s="110">
        <v>9</v>
      </c>
      <c r="B4" s="3" t="s">
        <v>91</v>
      </c>
      <c r="C4" s="3" t="s">
        <v>236</v>
      </c>
      <c r="D4" s="108">
        <v>611</v>
      </c>
      <c r="E4" s="108">
        <v>610</v>
      </c>
      <c r="F4" s="109">
        <v>240</v>
      </c>
      <c r="G4" s="4">
        <v>33347</v>
      </c>
      <c r="H4" s="113">
        <f t="shared" ca="1" si="1"/>
        <v>29.5</v>
      </c>
      <c r="I4" s="3" t="s">
        <v>1036</v>
      </c>
      <c r="J4" s="3">
        <v>7</v>
      </c>
      <c r="K4" s="110">
        <v>2013</v>
      </c>
      <c r="L4" s="110">
        <v>13</v>
      </c>
      <c r="M4" s="3" t="s">
        <v>1257</v>
      </c>
      <c r="N4" s="3" t="s">
        <v>285</v>
      </c>
      <c r="O4" s="163" t="s">
        <v>1258</v>
      </c>
      <c r="P4" s="48">
        <v>13198243</v>
      </c>
      <c r="Q4" s="14">
        <f>P4*1.5</f>
        <v>19797364.5</v>
      </c>
      <c r="R4" s="3"/>
      <c r="S4" s="27"/>
      <c r="T4" s="3"/>
      <c r="U4" s="3"/>
      <c r="V4" s="3" t="s">
        <v>1259</v>
      </c>
      <c r="W4" s="5" t="s">
        <v>240</v>
      </c>
      <c r="X4" s="110">
        <v>5</v>
      </c>
      <c r="Y4" s="110">
        <v>59</v>
      </c>
      <c r="Z4" s="41">
        <f>38/59</f>
        <v>0.64406779661016944</v>
      </c>
      <c r="AA4" s="113">
        <v>111.6</v>
      </c>
      <c r="AB4" s="113">
        <v>108.7</v>
      </c>
      <c r="AC4" s="113">
        <f t="shared" si="0"/>
        <v>2.8999999999999915</v>
      </c>
      <c r="AD4" s="113">
        <v>18.5</v>
      </c>
      <c r="AE4" s="113">
        <v>14.7</v>
      </c>
      <c r="AF4" s="41">
        <v>0.64</v>
      </c>
      <c r="AG4" s="113">
        <v>16.899999999999999</v>
      </c>
      <c r="AH4" s="113">
        <v>1.7</v>
      </c>
      <c r="AI4" s="113">
        <v>1.5</v>
      </c>
      <c r="AJ4" s="41">
        <v>0.14000000000000001</v>
      </c>
      <c r="AK4" s="113">
        <v>0.1</v>
      </c>
      <c r="AL4" s="113">
        <v>1</v>
      </c>
      <c r="AM4" s="113">
        <v>0.8</v>
      </c>
      <c r="AN4" s="113">
        <v>10.3</v>
      </c>
    </row>
    <row r="5" spans="1:44" ht="17" x14ac:dyDescent="0.2">
      <c r="A5" s="110">
        <v>13</v>
      </c>
      <c r="B5" s="3" t="s">
        <v>1266</v>
      </c>
      <c r="C5" s="3" t="s">
        <v>236</v>
      </c>
      <c r="D5" s="108">
        <v>69</v>
      </c>
      <c r="E5" s="108">
        <v>73</v>
      </c>
      <c r="F5" s="109">
        <v>255</v>
      </c>
      <c r="G5" s="4">
        <v>35629</v>
      </c>
      <c r="H5" s="113">
        <f t="shared" ca="1" si="1"/>
        <v>23.2</v>
      </c>
      <c r="I5" s="3" t="s">
        <v>270</v>
      </c>
      <c r="J5" s="3">
        <v>3</v>
      </c>
      <c r="K5" s="110">
        <v>2017</v>
      </c>
      <c r="L5" s="110">
        <v>14</v>
      </c>
      <c r="M5" s="3" t="s">
        <v>1267</v>
      </c>
      <c r="N5" s="3" t="s">
        <v>247</v>
      </c>
      <c r="O5" s="3" t="s">
        <v>2317</v>
      </c>
      <c r="P5" s="11">
        <v>5115492</v>
      </c>
      <c r="Q5" s="50">
        <f>P5*3</f>
        <v>15346476</v>
      </c>
      <c r="R5" s="12"/>
      <c r="S5" s="12"/>
      <c r="T5" s="12"/>
      <c r="U5" s="128"/>
      <c r="V5" s="3"/>
      <c r="W5" s="3" t="s">
        <v>1268</v>
      </c>
      <c r="X5" s="110">
        <v>4</v>
      </c>
      <c r="Y5" s="110">
        <v>65</v>
      </c>
      <c r="Z5" s="41">
        <f>41/65</f>
        <v>0.63076923076923075</v>
      </c>
      <c r="AA5" s="113">
        <v>112.3</v>
      </c>
      <c r="AB5" s="113">
        <v>107.7</v>
      </c>
      <c r="AC5" s="113">
        <f t="shared" si="0"/>
        <v>4.5999999999999943</v>
      </c>
      <c r="AD5" s="113">
        <v>34.4</v>
      </c>
      <c r="AE5" s="113">
        <v>20.6</v>
      </c>
      <c r="AF5" s="41">
        <v>0.60599999999999998</v>
      </c>
      <c r="AG5" s="113">
        <v>20.8</v>
      </c>
      <c r="AH5" s="113">
        <v>4.5999999999999996</v>
      </c>
      <c r="AI5" s="113">
        <v>3.6</v>
      </c>
      <c r="AJ5" s="41">
        <v>0.17499999999999999</v>
      </c>
      <c r="AK5" s="113">
        <v>1.6</v>
      </c>
      <c r="AL5" s="113">
        <v>2.1</v>
      </c>
      <c r="AM5" s="113">
        <v>3.2</v>
      </c>
      <c r="AN5" s="113">
        <v>14.9</v>
      </c>
    </row>
    <row r="6" spans="1:44" ht="17" x14ac:dyDescent="0.2">
      <c r="A6" s="110">
        <v>14</v>
      </c>
      <c r="B6" s="3" t="s">
        <v>1263</v>
      </c>
      <c r="C6" s="3" t="s">
        <v>255</v>
      </c>
      <c r="D6" s="108">
        <v>65</v>
      </c>
      <c r="E6" s="108">
        <v>63</v>
      </c>
      <c r="F6" s="109">
        <v>195</v>
      </c>
      <c r="G6" s="4">
        <v>36545</v>
      </c>
      <c r="H6" s="113">
        <f t="shared" ca="1" si="1"/>
        <v>20.7</v>
      </c>
      <c r="I6" s="3" t="s">
        <v>270</v>
      </c>
      <c r="J6" s="3">
        <v>1</v>
      </c>
      <c r="K6" s="110">
        <v>2019</v>
      </c>
      <c r="L6" s="110">
        <v>13</v>
      </c>
      <c r="M6" s="3" t="s">
        <v>1264</v>
      </c>
      <c r="N6" s="3" t="s">
        <v>247</v>
      </c>
      <c r="O6" s="11" t="s">
        <v>2114</v>
      </c>
      <c r="P6" s="11">
        <v>3822240</v>
      </c>
      <c r="Q6" s="51">
        <v>4004280</v>
      </c>
      <c r="R6" s="51">
        <v>5722116</v>
      </c>
      <c r="S6" s="50">
        <f>R6*3</f>
        <v>17166348</v>
      </c>
      <c r="T6" s="3"/>
      <c r="U6" s="128"/>
      <c r="V6" s="3"/>
      <c r="W6" s="3" t="s">
        <v>1265</v>
      </c>
      <c r="X6" s="110">
        <v>2</v>
      </c>
      <c r="Y6" s="110">
        <v>47</v>
      </c>
      <c r="Z6" s="41">
        <f>31/47</f>
        <v>0.65957446808510634</v>
      </c>
      <c r="AA6" s="113">
        <v>106.9</v>
      </c>
      <c r="AB6" s="113">
        <v>108.6</v>
      </c>
      <c r="AC6" s="113">
        <f t="shared" si="0"/>
        <v>-1.6999999999999886</v>
      </c>
      <c r="AD6" s="113">
        <v>27.2</v>
      </c>
      <c r="AE6" s="113">
        <v>11.4</v>
      </c>
      <c r="AF6" s="41">
        <v>0.53400000000000003</v>
      </c>
      <c r="AG6" s="113">
        <v>22</v>
      </c>
      <c r="AH6" s="113">
        <v>-0.3</v>
      </c>
      <c r="AI6" s="113">
        <v>1.1000000000000001</v>
      </c>
      <c r="AJ6" s="41">
        <v>3.3000000000000002E-2</v>
      </c>
      <c r="AK6" s="113">
        <v>-1</v>
      </c>
      <c r="AL6" s="113">
        <v>-1.3</v>
      </c>
      <c r="AM6" s="113">
        <v>-0.1</v>
      </c>
      <c r="AN6" s="113">
        <v>9.1999999999999993</v>
      </c>
    </row>
    <row r="7" spans="1:44" x14ac:dyDescent="0.2">
      <c r="A7" s="110">
        <v>55</v>
      </c>
      <c r="B7" s="3" t="s">
        <v>96</v>
      </c>
      <c r="C7" s="3" t="s">
        <v>244</v>
      </c>
      <c r="D7" s="108">
        <v>67</v>
      </c>
      <c r="E7" s="108"/>
      <c r="F7" s="109">
        <v>215</v>
      </c>
      <c r="G7" s="4">
        <v>34446</v>
      </c>
      <c r="H7" s="113">
        <f t="shared" ca="1" si="1"/>
        <v>26.5</v>
      </c>
      <c r="I7" s="3" t="s">
        <v>443</v>
      </c>
      <c r="J7" s="3">
        <v>2</v>
      </c>
      <c r="K7" s="110">
        <v>2018</v>
      </c>
      <c r="L7" s="110"/>
      <c r="M7" s="3" t="s">
        <v>1144</v>
      </c>
      <c r="N7" s="3" t="s">
        <v>521</v>
      </c>
      <c r="O7" s="163" t="s">
        <v>1273</v>
      </c>
      <c r="P7" s="15">
        <v>1663861</v>
      </c>
      <c r="Q7" s="50">
        <v>2122822</v>
      </c>
      <c r="R7" s="12"/>
      <c r="S7" s="12"/>
      <c r="T7" s="12"/>
      <c r="U7" s="3"/>
      <c r="V7" s="3"/>
      <c r="W7" s="3" t="s">
        <v>1274</v>
      </c>
      <c r="X7" s="110">
        <v>3</v>
      </c>
      <c r="Y7" s="110">
        <v>65</v>
      </c>
      <c r="Z7" s="41">
        <f>41/65</f>
        <v>0.63076923076923075</v>
      </c>
      <c r="AA7" s="113">
        <v>113.9</v>
      </c>
      <c r="AB7" s="113">
        <v>106.2</v>
      </c>
      <c r="AC7" s="113">
        <f t="shared" si="0"/>
        <v>7.7000000000000028</v>
      </c>
      <c r="AD7" s="113">
        <v>30</v>
      </c>
      <c r="AE7" s="113">
        <v>12.8</v>
      </c>
      <c r="AF7" s="41">
        <v>0.67800000000000005</v>
      </c>
      <c r="AG7" s="113">
        <v>15.8</v>
      </c>
      <c r="AH7" s="113">
        <v>3.2</v>
      </c>
      <c r="AI7" s="113">
        <v>1.5</v>
      </c>
      <c r="AJ7" s="41">
        <v>0.11600000000000001</v>
      </c>
      <c r="AK7" s="113">
        <v>1.2</v>
      </c>
      <c r="AL7" s="113">
        <v>-0.9</v>
      </c>
      <c r="AM7" s="113">
        <v>1.1000000000000001</v>
      </c>
      <c r="AN7" s="113">
        <v>7.9</v>
      </c>
    </row>
    <row r="8" spans="1:44" x14ac:dyDescent="0.2">
      <c r="A8" s="110">
        <v>25</v>
      </c>
      <c r="B8" s="3" t="s">
        <v>97</v>
      </c>
      <c r="C8" s="3" t="s">
        <v>232</v>
      </c>
      <c r="D8" s="108">
        <v>62</v>
      </c>
      <c r="E8" s="108">
        <v>67</v>
      </c>
      <c r="F8" s="109">
        <v>190</v>
      </c>
      <c r="G8" s="4">
        <v>34914</v>
      </c>
      <c r="H8" s="113">
        <f t="shared" ca="1" si="1"/>
        <v>25.2</v>
      </c>
      <c r="I8" s="3" t="s">
        <v>1275</v>
      </c>
      <c r="J8" s="3">
        <v>1</v>
      </c>
      <c r="K8" s="110">
        <v>2018</v>
      </c>
      <c r="L8" s="110"/>
      <c r="M8" s="3" t="s">
        <v>1276</v>
      </c>
      <c r="N8" s="3" t="s">
        <v>521</v>
      </c>
      <c r="O8" s="163" t="s">
        <v>1273</v>
      </c>
      <c r="P8" s="15">
        <v>1663861</v>
      </c>
      <c r="Q8" s="50">
        <v>2122822</v>
      </c>
      <c r="R8" s="12"/>
      <c r="S8" s="12"/>
      <c r="T8" s="12"/>
      <c r="U8" s="3"/>
      <c r="V8" s="3"/>
      <c r="W8" s="3" t="s">
        <v>1277</v>
      </c>
      <c r="X8" s="110">
        <v>1</v>
      </c>
      <c r="Y8" s="110">
        <v>62</v>
      </c>
      <c r="Z8" s="41">
        <f>40/62</f>
        <v>0.64516129032258063</v>
      </c>
      <c r="AA8" s="113">
        <v>111.2</v>
      </c>
      <c r="AB8" s="113">
        <v>108.9</v>
      </c>
      <c r="AC8" s="113">
        <f t="shared" si="0"/>
        <v>2.2999999999999972</v>
      </c>
      <c r="AD8" s="113">
        <v>29.8</v>
      </c>
      <c r="AE8" s="113">
        <v>13.5</v>
      </c>
      <c r="AF8" s="41">
        <v>0.54500000000000004</v>
      </c>
      <c r="AG8" s="113">
        <v>23.7</v>
      </c>
      <c r="AH8" s="113">
        <v>1</v>
      </c>
      <c r="AI8" s="113">
        <v>1.4</v>
      </c>
      <c r="AJ8" s="41">
        <v>6.4000000000000001E-2</v>
      </c>
      <c r="AK8" s="113">
        <v>-0.7</v>
      </c>
      <c r="AL8" s="113">
        <v>-1.3</v>
      </c>
      <c r="AM8" s="113">
        <v>0</v>
      </c>
      <c r="AN8" s="113">
        <v>8.9</v>
      </c>
    </row>
    <row r="9" spans="1:44" x14ac:dyDescent="0.2">
      <c r="A9" s="110">
        <v>4</v>
      </c>
      <c r="B9" s="3" t="s">
        <v>1278</v>
      </c>
      <c r="C9" s="3" t="s">
        <v>244</v>
      </c>
      <c r="D9" s="108">
        <v>68</v>
      </c>
      <c r="E9" s="108">
        <v>72</v>
      </c>
      <c r="F9" s="109">
        <v>215</v>
      </c>
      <c r="G9" s="4">
        <v>36278</v>
      </c>
      <c r="H9" s="113">
        <f t="shared" ca="1" si="1"/>
        <v>21.4</v>
      </c>
      <c r="I9" s="3" t="s">
        <v>707</v>
      </c>
      <c r="J9" s="3">
        <v>1</v>
      </c>
      <c r="K9" s="110">
        <v>2019</v>
      </c>
      <c r="L9" s="110">
        <v>32</v>
      </c>
      <c r="M9" s="3" t="s">
        <v>1279</v>
      </c>
      <c r="N9" s="3" t="s">
        <v>521</v>
      </c>
      <c r="O9" s="3" t="s">
        <v>799</v>
      </c>
      <c r="P9" s="11">
        <v>1517981</v>
      </c>
      <c r="Q9" s="11">
        <v>1782621</v>
      </c>
      <c r="R9" s="50">
        <v>2228276</v>
      </c>
      <c r="S9" s="12"/>
      <c r="T9" s="12"/>
      <c r="U9" s="3"/>
      <c r="V9" s="3"/>
      <c r="W9" s="3" t="s">
        <v>1280</v>
      </c>
      <c r="X9" s="110">
        <v>4</v>
      </c>
      <c r="Y9" s="110">
        <v>5</v>
      </c>
      <c r="Z9" s="41">
        <f>2/5</f>
        <v>0.4</v>
      </c>
      <c r="AA9" s="113">
        <v>86.3</v>
      </c>
      <c r="AB9" s="113">
        <v>118</v>
      </c>
      <c r="AC9" s="113">
        <f t="shared" si="0"/>
        <v>-31.700000000000003</v>
      </c>
      <c r="AD9" s="113">
        <v>5.2</v>
      </c>
      <c r="AE9" s="113">
        <v>13.7</v>
      </c>
      <c r="AF9" s="41">
        <v>0.59499999999999997</v>
      </c>
      <c r="AG9" s="113">
        <v>11.7</v>
      </c>
      <c r="AH9" s="113">
        <v>0</v>
      </c>
      <c r="AI9" s="113">
        <v>0</v>
      </c>
      <c r="AJ9" s="41">
        <v>0.11899999999999999</v>
      </c>
      <c r="AK9" s="113">
        <v>-1.2</v>
      </c>
      <c r="AL9" s="113">
        <v>4</v>
      </c>
      <c r="AM9" s="113">
        <v>0</v>
      </c>
      <c r="AN9" s="113">
        <v>10.3</v>
      </c>
    </row>
    <row r="10" spans="1:44" x14ac:dyDescent="0.2">
      <c r="A10" s="110">
        <v>30</v>
      </c>
      <c r="B10" s="3" t="s">
        <v>1281</v>
      </c>
      <c r="C10" s="3" t="s">
        <v>236</v>
      </c>
      <c r="D10" s="108">
        <v>68</v>
      </c>
      <c r="E10" s="108">
        <v>611</v>
      </c>
      <c r="F10" s="109">
        <v>234</v>
      </c>
      <c r="G10" s="4">
        <v>35327</v>
      </c>
      <c r="H10" s="113">
        <f t="shared" ca="1" si="1"/>
        <v>24</v>
      </c>
      <c r="I10" s="3" t="s">
        <v>808</v>
      </c>
      <c r="J10" s="3">
        <v>1</v>
      </c>
      <c r="K10" s="110">
        <v>2019</v>
      </c>
      <c r="L10" s="110"/>
      <c r="M10" s="3" t="s">
        <v>1282</v>
      </c>
      <c r="N10" s="3" t="s">
        <v>521</v>
      </c>
      <c r="O10" s="3" t="s">
        <v>2190</v>
      </c>
      <c r="P10" s="11">
        <v>1517981</v>
      </c>
      <c r="Q10" s="49">
        <v>1782621</v>
      </c>
      <c r="R10" s="68">
        <v>2228276</v>
      </c>
      <c r="S10" s="80"/>
      <c r="T10" s="12"/>
      <c r="U10" s="3"/>
      <c r="V10" s="3"/>
      <c r="W10" s="3" t="s">
        <v>1283</v>
      </c>
      <c r="X10" s="110">
        <v>4</v>
      </c>
      <c r="Y10" s="110">
        <v>41</v>
      </c>
      <c r="Z10" s="41">
        <f>27/41</f>
        <v>0.65853658536585369</v>
      </c>
      <c r="AA10" s="113">
        <v>105.7</v>
      </c>
      <c r="AB10" s="113">
        <v>109.1</v>
      </c>
      <c r="AC10" s="113">
        <f t="shared" si="0"/>
        <v>-3.3999999999999915</v>
      </c>
      <c r="AD10" s="113">
        <v>7.5</v>
      </c>
      <c r="AE10" s="113">
        <v>17.2</v>
      </c>
      <c r="AF10" s="41">
        <v>0.66300000000000003</v>
      </c>
      <c r="AG10" s="113">
        <v>17.5</v>
      </c>
      <c r="AH10" s="113">
        <v>0.7</v>
      </c>
      <c r="AI10" s="113">
        <v>0.5</v>
      </c>
      <c r="AJ10" s="41">
        <v>0.17799999999999999</v>
      </c>
      <c r="AK10" s="113">
        <v>-3.4</v>
      </c>
      <c r="AL10" s="113">
        <v>0.9</v>
      </c>
      <c r="AM10" s="113">
        <v>0</v>
      </c>
      <c r="AN10" s="113">
        <v>8</v>
      </c>
    </row>
    <row r="11" spans="1:44" x14ac:dyDescent="0.2">
      <c r="A11" s="3"/>
      <c r="B11" s="3" t="s">
        <v>297</v>
      </c>
      <c r="C11" s="3"/>
      <c r="D11" s="3"/>
      <c r="E11" s="3"/>
      <c r="F11" s="3"/>
      <c r="G11" s="3"/>
      <c r="H11" s="3"/>
      <c r="I11" s="3"/>
      <c r="J11" s="3"/>
      <c r="K11" s="3"/>
      <c r="L11" s="3"/>
      <c r="M11" s="3"/>
      <c r="N11" s="3"/>
      <c r="O11" s="3"/>
      <c r="P11" s="11">
        <f>5214583+350087</f>
        <v>5564670</v>
      </c>
      <c r="Q11" s="11">
        <f>5214583</f>
        <v>5214583</v>
      </c>
      <c r="R11" s="11"/>
      <c r="S11" s="11"/>
      <c r="T11" s="12"/>
      <c r="U11" s="3"/>
      <c r="V11" s="3"/>
      <c r="W11" s="3"/>
      <c r="X11" s="110"/>
      <c r="Y11" s="110"/>
      <c r="Z11" s="41"/>
      <c r="AA11" s="113"/>
      <c r="AB11" s="113"/>
      <c r="AC11" s="113"/>
      <c r="AD11" s="113"/>
      <c r="AE11" s="113"/>
      <c r="AF11" s="41"/>
      <c r="AG11" s="113"/>
      <c r="AH11" s="113"/>
      <c r="AI11" s="113"/>
      <c r="AJ11" s="41"/>
      <c r="AK11" s="113"/>
      <c r="AL11" s="113"/>
      <c r="AM11" s="113"/>
      <c r="AN11" s="113"/>
    </row>
    <row r="12" spans="1:44" x14ac:dyDescent="0.2">
      <c r="A12" s="3"/>
      <c r="B12" s="3" t="s">
        <v>2187</v>
      </c>
      <c r="C12" s="3"/>
      <c r="D12" s="3"/>
      <c r="E12" s="3"/>
      <c r="F12" s="3"/>
      <c r="G12" s="3"/>
      <c r="H12" s="3"/>
      <c r="I12" s="3"/>
      <c r="J12" s="3"/>
      <c r="K12" s="3"/>
      <c r="L12" s="3"/>
      <c r="M12" s="3"/>
      <c r="N12" s="3"/>
      <c r="O12" s="3"/>
      <c r="P12" s="11">
        <v>2582160</v>
      </c>
      <c r="Q12" s="11">
        <v>2711280</v>
      </c>
      <c r="R12" s="51">
        <v>2840160</v>
      </c>
      <c r="S12" s="51">
        <f>R12*1.542</f>
        <v>4379526.72</v>
      </c>
      <c r="T12" s="50">
        <f>S12*3</f>
        <v>13138580.16</v>
      </c>
      <c r="U12" s="3"/>
      <c r="V12" s="3"/>
      <c r="W12" s="3"/>
      <c r="X12" s="110"/>
      <c r="Y12" s="110"/>
      <c r="Z12" s="41"/>
      <c r="AA12" s="113"/>
      <c r="AB12" s="113"/>
      <c r="AC12" s="113"/>
      <c r="AD12" s="113"/>
      <c r="AE12" s="113"/>
      <c r="AF12" s="41"/>
      <c r="AG12" s="113"/>
      <c r="AH12" s="113"/>
      <c r="AI12" s="113"/>
      <c r="AJ12" s="41"/>
      <c r="AK12" s="113"/>
      <c r="AL12" s="113"/>
      <c r="AM12" s="113"/>
      <c r="AN12" s="113"/>
    </row>
    <row r="13" spans="1:44" x14ac:dyDescent="0.2">
      <c r="A13" s="3"/>
      <c r="B13" s="5"/>
      <c r="C13" s="3"/>
      <c r="D13" s="3"/>
      <c r="E13" s="3"/>
      <c r="F13" s="3"/>
      <c r="G13" s="3"/>
      <c r="H13" s="3"/>
      <c r="I13" s="3"/>
      <c r="J13" s="3"/>
      <c r="K13" s="3"/>
      <c r="L13" s="3"/>
      <c r="M13" s="3"/>
      <c r="N13" s="3"/>
      <c r="O13" s="3"/>
      <c r="P13" s="11"/>
      <c r="Q13" s="11"/>
      <c r="R13" s="16"/>
      <c r="S13" s="16"/>
      <c r="T13" s="16"/>
      <c r="U13" s="3"/>
      <c r="V13" s="3"/>
      <c r="W13" s="3"/>
      <c r="X13" s="110"/>
      <c r="Y13" s="110"/>
      <c r="Z13" s="41"/>
      <c r="AA13" s="113"/>
      <c r="AB13" s="113"/>
      <c r="AC13" s="113"/>
      <c r="AD13" s="113"/>
      <c r="AE13" s="113"/>
      <c r="AF13" s="41"/>
      <c r="AG13" s="113"/>
      <c r="AH13" s="113"/>
      <c r="AI13" s="113"/>
      <c r="AJ13" s="41"/>
      <c r="AK13" s="113"/>
      <c r="AL13" s="113"/>
      <c r="AM13" s="113"/>
      <c r="AN13" s="113"/>
    </row>
    <row r="14" spans="1:44" x14ac:dyDescent="0.2">
      <c r="A14" s="110">
        <v>7</v>
      </c>
      <c r="B14" s="3" t="s">
        <v>89</v>
      </c>
      <c r="C14" s="3" t="s">
        <v>250</v>
      </c>
      <c r="D14" s="108">
        <v>63</v>
      </c>
      <c r="E14" s="108">
        <v>67</v>
      </c>
      <c r="F14" s="109">
        <v>190</v>
      </c>
      <c r="G14" s="4">
        <v>31538</v>
      </c>
      <c r="H14" s="113">
        <f t="shared" ref="H14:H21" ca="1" si="2">ROUNDDOWN(YEARFRAC($G$23,G14),1)</f>
        <v>34.4</v>
      </c>
      <c r="I14" s="3" t="s">
        <v>1252</v>
      </c>
      <c r="J14" s="3">
        <v>12</v>
      </c>
      <c r="K14" s="110">
        <v>2008</v>
      </c>
      <c r="L14" s="110">
        <v>45</v>
      </c>
      <c r="M14" s="3" t="s">
        <v>1253</v>
      </c>
      <c r="N14" s="3"/>
      <c r="O14" s="3"/>
      <c r="P14" s="14">
        <v>28826850</v>
      </c>
      <c r="Q14" s="12"/>
      <c r="R14" s="12"/>
      <c r="S14" s="12"/>
      <c r="T14" s="12"/>
      <c r="U14" s="3"/>
      <c r="V14" s="3"/>
      <c r="W14" s="5" t="s">
        <v>291</v>
      </c>
      <c r="X14" s="110">
        <v>1</v>
      </c>
      <c r="Y14" s="110">
        <v>54</v>
      </c>
      <c r="Z14" s="41">
        <f>34/54</f>
        <v>0.62962962962962965</v>
      </c>
      <c r="AA14" s="113">
        <v>111</v>
      </c>
      <c r="AB14" s="113">
        <v>108.7</v>
      </c>
      <c r="AC14" s="113">
        <f t="shared" ref="AC14:AC19" si="3">AA14-AB14</f>
        <v>2.2999999999999972</v>
      </c>
      <c r="AD14" s="113">
        <v>28.4</v>
      </c>
      <c r="AE14" s="113">
        <v>15.9</v>
      </c>
      <c r="AF14" s="41">
        <v>0.57099999999999995</v>
      </c>
      <c r="AG14" s="113">
        <v>25.7</v>
      </c>
      <c r="AH14" s="113">
        <v>2</v>
      </c>
      <c r="AI14" s="113">
        <v>1.1000000000000001</v>
      </c>
      <c r="AJ14" s="41">
        <v>9.5000000000000001E-2</v>
      </c>
      <c r="AK14" s="113">
        <v>1.4</v>
      </c>
      <c r="AL14" s="113">
        <v>-1.9</v>
      </c>
      <c r="AM14" s="113">
        <v>0.6</v>
      </c>
      <c r="AN14" s="113">
        <v>11.1</v>
      </c>
    </row>
    <row r="15" spans="1:44" x14ac:dyDescent="0.2">
      <c r="A15" s="110">
        <v>44</v>
      </c>
      <c r="B15" s="3" t="s">
        <v>90</v>
      </c>
      <c r="C15" s="3" t="s">
        <v>244</v>
      </c>
      <c r="D15" s="108">
        <v>66</v>
      </c>
      <c r="E15" s="108">
        <v>610</v>
      </c>
      <c r="F15" s="109">
        <v>226</v>
      </c>
      <c r="G15" s="4">
        <v>33315</v>
      </c>
      <c r="H15" s="113">
        <f t="shared" ca="1" si="2"/>
        <v>29.6</v>
      </c>
      <c r="I15" s="3" t="s">
        <v>537</v>
      </c>
      <c r="J15" s="3">
        <v>7</v>
      </c>
      <c r="K15" s="110">
        <v>2013</v>
      </c>
      <c r="L15" s="110">
        <v>23</v>
      </c>
      <c r="M15" s="3" t="s">
        <v>979</v>
      </c>
      <c r="N15" s="3"/>
      <c r="O15" s="3"/>
      <c r="P15" s="14">
        <v>19138172</v>
      </c>
      <c r="Q15" s="3"/>
      <c r="R15" s="3"/>
      <c r="S15" s="3"/>
      <c r="T15" s="3"/>
      <c r="U15" s="3"/>
      <c r="V15" s="3"/>
      <c r="W15" s="3" t="s">
        <v>1256</v>
      </c>
      <c r="X15" s="110">
        <v>3</v>
      </c>
      <c r="Y15" s="110">
        <v>6</v>
      </c>
      <c r="Z15" s="41">
        <f>3/6</f>
        <v>0.5</v>
      </c>
      <c r="AA15" s="113">
        <v>109.5</v>
      </c>
      <c r="AB15" s="113">
        <v>109.3</v>
      </c>
      <c r="AC15" s="113">
        <f t="shared" si="3"/>
        <v>0.20000000000000284</v>
      </c>
      <c r="AD15" s="113">
        <v>15.2</v>
      </c>
      <c r="AE15" s="113">
        <v>5.9</v>
      </c>
      <c r="AF15" s="41">
        <v>0.44700000000000001</v>
      </c>
      <c r="AG15" s="113">
        <v>11.5</v>
      </c>
      <c r="AH15" s="113">
        <v>-0.1</v>
      </c>
      <c r="AI15" s="113">
        <v>0.1</v>
      </c>
      <c r="AJ15" s="41">
        <v>-6.0000000000000001E-3</v>
      </c>
      <c r="AK15" s="113">
        <v>-4.5</v>
      </c>
      <c r="AL15" s="113">
        <v>0.8</v>
      </c>
      <c r="AM15" s="113">
        <v>0</v>
      </c>
      <c r="AN15" s="113">
        <v>3.2</v>
      </c>
    </row>
    <row r="16" spans="1:44" x14ac:dyDescent="0.2">
      <c r="A16" s="110">
        <v>0</v>
      </c>
      <c r="B16" s="3" t="s">
        <v>92</v>
      </c>
      <c r="C16" s="3" t="s">
        <v>236</v>
      </c>
      <c r="D16" s="108">
        <v>70</v>
      </c>
      <c r="E16" s="108">
        <v>73</v>
      </c>
      <c r="F16" s="109">
        <v>260</v>
      </c>
      <c r="G16" s="4">
        <v>33661</v>
      </c>
      <c r="H16" s="113">
        <f t="shared" ca="1" si="2"/>
        <v>28.6</v>
      </c>
      <c r="I16" s="3" t="s">
        <v>1260</v>
      </c>
      <c r="J16" s="3">
        <v>8</v>
      </c>
      <c r="K16" s="110">
        <v>2012</v>
      </c>
      <c r="L16" s="110">
        <v>11</v>
      </c>
      <c r="M16" s="3" t="s">
        <v>1261</v>
      </c>
      <c r="N16" s="3"/>
      <c r="O16" s="3"/>
      <c r="P16" s="14">
        <v>16929773</v>
      </c>
      <c r="Q16" s="3"/>
      <c r="R16" s="3"/>
      <c r="S16" s="3"/>
      <c r="T16" s="3"/>
      <c r="U16" s="3"/>
      <c r="V16" s="3"/>
      <c r="W16" s="5" t="s">
        <v>240</v>
      </c>
      <c r="X16" s="110">
        <v>5</v>
      </c>
      <c r="Y16" s="110">
        <v>49</v>
      </c>
      <c r="Z16" s="41">
        <f>34/49</f>
        <v>0.69387755102040816</v>
      </c>
      <c r="AA16" s="113">
        <v>111.1</v>
      </c>
      <c r="AB16" s="113">
        <v>105.5</v>
      </c>
      <c r="AC16" s="113">
        <f t="shared" si="3"/>
        <v>5.5999999999999943</v>
      </c>
      <c r="AD16" s="113">
        <v>20.100000000000001</v>
      </c>
      <c r="AE16" s="113">
        <v>11.1</v>
      </c>
      <c r="AF16" s="41">
        <v>0.64</v>
      </c>
      <c r="AG16" s="113">
        <v>12</v>
      </c>
      <c r="AH16" s="113">
        <v>1</v>
      </c>
      <c r="AI16" s="113">
        <v>1.1000000000000001</v>
      </c>
      <c r="AJ16" s="41">
        <v>0.104</v>
      </c>
      <c r="AK16" s="113">
        <v>-1</v>
      </c>
      <c r="AL16" s="113">
        <v>0.4</v>
      </c>
      <c r="AM16" s="113">
        <v>0.3</v>
      </c>
      <c r="AN16" s="113">
        <v>8.6999999999999993</v>
      </c>
    </row>
    <row r="17" spans="1:40" x14ac:dyDescent="0.2">
      <c r="A17" s="110">
        <v>99</v>
      </c>
      <c r="B17" s="3" t="s">
        <v>93</v>
      </c>
      <c r="C17" s="3" t="s">
        <v>236</v>
      </c>
      <c r="D17" s="108">
        <v>66</v>
      </c>
      <c r="E17" s="108">
        <v>69</v>
      </c>
      <c r="F17" s="109">
        <v>235</v>
      </c>
      <c r="G17" s="4">
        <v>33060</v>
      </c>
      <c r="H17" s="113">
        <f t="shared" ca="1" si="2"/>
        <v>30.3</v>
      </c>
      <c r="I17" s="3" t="s">
        <v>1249</v>
      </c>
      <c r="J17" s="3">
        <v>8</v>
      </c>
      <c r="K17" s="110">
        <v>2012</v>
      </c>
      <c r="L17" s="110">
        <v>34</v>
      </c>
      <c r="M17" s="3" t="s">
        <v>979</v>
      </c>
      <c r="N17" s="3"/>
      <c r="O17" s="3"/>
      <c r="P17" s="14">
        <v>14849513</v>
      </c>
      <c r="Q17" s="3"/>
      <c r="R17" s="3"/>
      <c r="S17" s="3"/>
      <c r="T17" s="3"/>
      <c r="U17" s="3"/>
      <c r="V17" s="3"/>
      <c r="W17" s="3" t="s">
        <v>1262</v>
      </c>
      <c r="X17" s="110">
        <v>4</v>
      </c>
      <c r="Y17" s="110">
        <v>13</v>
      </c>
      <c r="Z17" s="41">
        <f>6/13</f>
        <v>0.46153846153846156</v>
      </c>
      <c r="AA17" s="113">
        <v>110.1</v>
      </c>
      <c r="AB17" s="113">
        <v>112.2</v>
      </c>
      <c r="AC17" s="113">
        <f t="shared" si="3"/>
        <v>-2.1000000000000085</v>
      </c>
      <c r="AD17" s="113">
        <v>28.7</v>
      </c>
      <c r="AE17" s="113">
        <v>16</v>
      </c>
      <c r="AF17" s="41">
        <v>0.61799999999999999</v>
      </c>
      <c r="AG17" s="113">
        <v>15.8</v>
      </c>
      <c r="AH17" s="113">
        <v>0.7</v>
      </c>
      <c r="AI17" s="113">
        <v>0.6</v>
      </c>
      <c r="AJ17" s="41">
        <v>0.16800000000000001</v>
      </c>
      <c r="AK17" s="113">
        <v>0.7</v>
      </c>
      <c r="AL17" s="113">
        <v>1.1000000000000001</v>
      </c>
      <c r="AM17" s="113">
        <v>0.4</v>
      </c>
      <c r="AN17" s="113">
        <v>10.4</v>
      </c>
    </row>
    <row r="18" spans="1:40" x14ac:dyDescent="0.2">
      <c r="A18" s="110">
        <v>5</v>
      </c>
      <c r="B18" s="3" t="s">
        <v>94</v>
      </c>
      <c r="C18" s="3" t="s">
        <v>255</v>
      </c>
      <c r="D18" s="108">
        <v>66</v>
      </c>
      <c r="E18" s="108">
        <v>70</v>
      </c>
      <c r="F18" s="109">
        <v>210</v>
      </c>
      <c r="G18" s="4">
        <v>35476</v>
      </c>
      <c r="H18" s="113">
        <f t="shared" ca="1" si="2"/>
        <v>23.6</v>
      </c>
      <c r="I18" s="3" t="s">
        <v>856</v>
      </c>
      <c r="J18" s="3">
        <v>4</v>
      </c>
      <c r="K18" s="110">
        <v>2016</v>
      </c>
      <c r="L18" s="110"/>
      <c r="M18" s="3" t="s">
        <v>1269</v>
      </c>
      <c r="N18" s="3"/>
      <c r="O18" s="3"/>
      <c r="P18" s="14">
        <v>1620564</v>
      </c>
      <c r="Q18" s="3"/>
      <c r="R18" s="3"/>
      <c r="S18" s="3"/>
      <c r="T18" s="3"/>
      <c r="U18" s="3"/>
      <c r="V18" s="3"/>
      <c r="W18" s="3" t="s">
        <v>1270</v>
      </c>
      <c r="X18" s="110">
        <v>3</v>
      </c>
      <c r="Y18" s="110">
        <v>51</v>
      </c>
      <c r="Z18" s="41">
        <f>31/51</f>
        <v>0.60784313725490191</v>
      </c>
      <c r="AA18" s="113">
        <v>109.2</v>
      </c>
      <c r="AB18" s="113">
        <v>110.1</v>
      </c>
      <c r="AC18" s="113">
        <f t="shared" si="3"/>
        <v>-0.89999999999999147</v>
      </c>
      <c r="AD18" s="113">
        <v>24.5</v>
      </c>
      <c r="AE18" s="113">
        <v>14.8</v>
      </c>
      <c r="AF18" s="41">
        <v>0.60899999999999999</v>
      </c>
      <c r="AG18" s="113">
        <v>14.1</v>
      </c>
      <c r="AH18" s="113">
        <v>2.2999999999999998</v>
      </c>
      <c r="AI18" s="113">
        <v>1.6</v>
      </c>
      <c r="AJ18" s="41">
        <v>0.15</v>
      </c>
      <c r="AK18" s="113">
        <v>-0.4</v>
      </c>
      <c r="AL18" s="113">
        <v>1.1000000000000001</v>
      </c>
      <c r="AM18" s="113">
        <v>0.9</v>
      </c>
      <c r="AN18" s="113">
        <v>8.6999999999999993</v>
      </c>
    </row>
    <row r="19" spans="1:40" x14ac:dyDescent="0.2">
      <c r="A19" s="110">
        <v>40</v>
      </c>
      <c r="B19" s="3" t="s">
        <v>95</v>
      </c>
      <c r="C19" s="3" t="s">
        <v>236</v>
      </c>
      <c r="D19" s="108">
        <v>68</v>
      </c>
      <c r="E19" s="108">
        <v>611</v>
      </c>
      <c r="F19" s="109">
        <v>235</v>
      </c>
      <c r="G19" s="4">
        <v>29381</v>
      </c>
      <c r="H19" s="113">
        <f t="shared" ca="1" si="2"/>
        <v>40.299999999999997</v>
      </c>
      <c r="I19" s="3" t="s">
        <v>1271</v>
      </c>
      <c r="J19" s="3">
        <v>17</v>
      </c>
      <c r="K19" s="110">
        <v>2002</v>
      </c>
      <c r="L19" s="110"/>
      <c r="M19" s="3" t="s">
        <v>1272</v>
      </c>
      <c r="N19" s="3"/>
      <c r="O19" s="3"/>
      <c r="P19" s="14">
        <v>1620564</v>
      </c>
      <c r="Q19" s="3"/>
      <c r="R19" s="3"/>
      <c r="S19" s="3"/>
      <c r="T19" s="3"/>
      <c r="U19" s="3"/>
      <c r="V19" s="3"/>
      <c r="W19" s="3" t="s">
        <v>261</v>
      </c>
      <c r="X19" s="110">
        <v>4</v>
      </c>
      <c r="Y19" s="110">
        <v>3</v>
      </c>
      <c r="Z19" s="41">
        <f>3/3</f>
        <v>1</v>
      </c>
      <c r="AA19" s="113">
        <v>83.3</v>
      </c>
      <c r="AB19" s="113">
        <v>114</v>
      </c>
      <c r="AC19" s="113">
        <f t="shared" si="3"/>
        <v>-30.700000000000003</v>
      </c>
      <c r="AD19" s="113">
        <v>6.9</v>
      </c>
      <c r="AE19" s="113">
        <v>3</v>
      </c>
      <c r="AF19" s="41">
        <v>0.32200000000000001</v>
      </c>
      <c r="AG19" s="113">
        <v>16.3</v>
      </c>
      <c r="AH19" s="113">
        <v>0</v>
      </c>
      <c r="AI19" s="113">
        <v>0</v>
      </c>
      <c r="AJ19" s="41">
        <v>-3.2000000000000001E-2</v>
      </c>
      <c r="AK19" s="113">
        <v>-9.6999999999999993</v>
      </c>
      <c r="AL19" s="113">
        <v>-3</v>
      </c>
      <c r="AM19" s="113">
        <v>-0.1</v>
      </c>
      <c r="AN19" s="113">
        <v>7.7</v>
      </c>
    </row>
    <row r="20" spans="1:40" x14ac:dyDescent="0.2">
      <c r="A20" s="110">
        <v>2</v>
      </c>
      <c r="B20" s="3" t="s">
        <v>1284</v>
      </c>
      <c r="C20" s="3" t="s">
        <v>232</v>
      </c>
      <c r="D20" s="108">
        <v>63</v>
      </c>
      <c r="E20" s="108"/>
      <c r="F20" s="109">
        <v>200</v>
      </c>
      <c r="G20" s="4">
        <v>35230</v>
      </c>
      <c r="H20" s="113">
        <f t="shared" ca="1" si="2"/>
        <v>24.3</v>
      </c>
      <c r="I20" s="3" t="s">
        <v>1285</v>
      </c>
      <c r="J20" s="3">
        <v>1</v>
      </c>
      <c r="K20" s="110">
        <v>2018</v>
      </c>
      <c r="L20" s="110"/>
      <c r="M20" s="4" t="s">
        <v>1286</v>
      </c>
      <c r="N20" s="3"/>
      <c r="O20" s="3"/>
      <c r="P20" s="68"/>
      <c r="Q20" s="12"/>
      <c r="R20" s="12"/>
      <c r="S20" s="12"/>
      <c r="T20" s="12"/>
      <c r="U20" s="3"/>
      <c r="V20" s="3"/>
      <c r="W20" s="3"/>
      <c r="X20" s="110"/>
      <c r="Y20" s="110"/>
      <c r="Z20" s="41"/>
      <c r="AA20" s="113"/>
      <c r="AB20" s="113"/>
      <c r="AC20" s="113"/>
      <c r="AD20" s="113"/>
      <c r="AE20" s="113"/>
      <c r="AF20" s="41"/>
      <c r="AG20" s="113"/>
      <c r="AH20" s="113"/>
      <c r="AI20" s="113"/>
      <c r="AJ20" s="41"/>
      <c r="AK20" s="113"/>
      <c r="AL20" s="113"/>
      <c r="AM20" s="113"/>
      <c r="AN20" s="113"/>
    </row>
    <row r="21" spans="1:40" x14ac:dyDescent="0.2">
      <c r="A21" s="110">
        <v>17</v>
      </c>
      <c r="B21" s="3" t="s">
        <v>1287</v>
      </c>
      <c r="C21" s="3" t="s">
        <v>236</v>
      </c>
      <c r="D21" s="108">
        <v>610</v>
      </c>
      <c r="E21" s="108">
        <v>76</v>
      </c>
      <c r="F21" s="109">
        <v>216</v>
      </c>
      <c r="G21" s="4">
        <v>35359</v>
      </c>
      <c r="H21" s="113">
        <f t="shared" ca="1" si="2"/>
        <v>24</v>
      </c>
      <c r="I21" s="3" t="s">
        <v>382</v>
      </c>
      <c r="J21" s="3">
        <v>1</v>
      </c>
      <c r="K21" s="110">
        <v>2019</v>
      </c>
      <c r="L21" s="110"/>
      <c r="M21" s="3" t="s">
        <v>379</v>
      </c>
      <c r="N21" s="3"/>
      <c r="O21" s="3"/>
      <c r="P21" s="68"/>
      <c r="Q21" s="12"/>
      <c r="R21" s="12"/>
      <c r="S21" s="12"/>
      <c r="T21" s="12"/>
      <c r="U21" s="3"/>
      <c r="V21" s="3"/>
      <c r="W21" s="3"/>
      <c r="X21" s="110"/>
      <c r="Y21" s="110"/>
      <c r="Z21" s="41"/>
      <c r="AA21" s="113"/>
      <c r="AB21" s="113"/>
      <c r="AC21" s="113"/>
      <c r="AD21" s="113"/>
      <c r="AE21" s="113"/>
      <c r="AF21" s="41"/>
      <c r="AG21" s="113"/>
      <c r="AH21" s="113"/>
      <c r="AI21" s="113"/>
      <c r="AJ21" s="41"/>
      <c r="AK21" s="113"/>
      <c r="AL21" s="113"/>
      <c r="AM21" s="113"/>
      <c r="AN21" s="113"/>
    </row>
    <row r="22" spans="1:40" x14ac:dyDescent="0.2">
      <c r="A22" s="3"/>
      <c r="B22" s="5"/>
      <c r="C22" s="3"/>
      <c r="D22" s="3"/>
      <c r="E22" s="3"/>
      <c r="F22" s="3"/>
      <c r="G22" s="3"/>
      <c r="H22" s="3"/>
      <c r="I22" s="3"/>
      <c r="J22" s="3"/>
      <c r="K22" s="3"/>
      <c r="L22" s="3"/>
      <c r="M22" s="3"/>
      <c r="N22" s="3"/>
      <c r="O22" s="3"/>
      <c r="P22" s="11"/>
      <c r="Q22" s="11"/>
      <c r="R22" s="16"/>
      <c r="S22" s="16"/>
      <c r="T22" s="16"/>
      <c r="U22" s="3"/>
      <c r="V22" s="3"/>
      <c r="W22" s="3"/>
      <c r="X22" s="110"/>
      <c r="Y22" s="110"/>
      <c r="Z22" s="41"/>
      <c r="AA22" s="113"/>
      <c r="AB22" s="113"/>
      <c r="AC22" s="113"/>
      <c r="AD22" s="113"/>
      <c r="AE22" s="113"/>
      <c r="AF22" s="41"/>
      <c r="AG22" s="113"/>
      <c r="AH22" s="113"/>
      <c r="AI22" s="113"/>
      <c r="AJ22" s="41"/>
      <c r="AK22" s="113"/>
      <c r="AL22" s="113"/>
      <c r="AM22" s="113"/>
      <c r="AN22" s="113"/>
    </row>
    <row r="23" spans="1:40" x14ac:dyDescent="0.2">
      <c r="A23" s="3"/>
      <c r="B23" s="3"/>
      <c r="C23" s="3"/>
      <c r="D23" s="3"/>
      <c r="E23" s="3"/>
      <c r="F23" s="3"/>
      <c r="G23" s="4">
        <f ca="1">TODAY()</f>
        <v>44128</v>
      </c>
      <c r="H23" s="36">
        <f ca="1">AVERAGE(H2:H10)</f>
        <v>26.477777777777778</v>
      </c>
      <c r="I23" s="3"/>
      <c r="J23" s="36">
        <f>AVERAGE(J2:J10)</f>
        <v>4.5555555555555554</v>
      </c>
      <c r="K23" s="3"/>
      <c r="L23" s="3"/>
      <c r="M23" s="3"/>
      <c r="N23" s="3"/>
      <c r="O23" s="3"/>
      <c r="P23" s="80"/>
      <c r="Q23" s="11"/>
      <c r="R23" s="54"/>
      <c r="S23" s="54"/>
      <c r="T23" s="54"/>
      <c r="U23" s="3"/>
      <c r="V23" s="3"/>
      <c r="W23" s="3"/>
      <c r="X23" s="110"/>
      <c r="Y23" s="110"/>
      <c r="Z23" s="41"/>
      <c r="AA23" s="113"/>
      <c r="AB23" s="113"/>
      <c r="AC23" s="113"/>
      <c r="AD23" s="113"/>
      <c r="AE23" s="113"/>
      <c r="AF23" s="41"/>
      <c r="AG23" s="113"/>
      <c r="AH23" s="113"/>
      <c r="AI23" s="113"/>
      <c r="AJ23" s="41"/>
      <c r="AK23" s="113"/>
      <c r="AL23" s="113"/>
      <c r="AM23" s="113"/>
      <c r="AN23" s="113"/>
    </row>
    <row r="24" spans="1:40" x14ac:dyDescent="0.2">
      <c r="H24" s="63">
        <f ca="1">MEDIAN(H2:H10)</f>
        <v>25.2</v>
      </c>
      <c r="J24" s="69">
        <f>MEDIAN(J2:J10)</f>
        <v>2</v>
      </c>
      <c r="P24" s="64"/>
      <c r="Y24" s="69"/>
      <c r="Z24" s="65"/>
      <c r="AA24" s="122"/>
      <c r="AB24" s="122"/>
      <c r="AC24" s="122"/>
      <c r="AD24" s="122"/>
      <c r="AE24" s="122"/>
      <c r="AF24" s="65"/>
      <c r="AG24" s="122"/>
      <c r="AH24" s="122"/>
      <c r="AI24" s="122"/>
      <c r="AJ24" s="65"/>
      <c r="AK24" s="122"/>
      <c r="AL24" s="122"/>
      <c r="AM24" s="122"/>
      <c r="AN24" s="122"/>
    </row>
    <row r="25" spans="1:40" x14ac:dyDescent="0.2">
      <c r="B25" s="209" t="s">
        <v>2224</v>
      </c>
      <c r="P25" s="160">
        <f>P2+P3+P5+P6+P9+P10+P11+P12</f>
        <v>69499624</v>
      </c>
      <c r="Q25" s="64">
        <f>Q2+Q6+Q5+Q7+Q8+Q9+Q11+Q12</f>
        <v>69321084</v>
      </c>
      <c r="S25" s="123"/>
      <c r="Y25" s="69"/>
      <c r="Z25" s="65"/>
      <c r="AA25" s="122"/>
      <c r="AB25" s="122"/>
      <c r="AC25" s="122"/>
      <c r="AD25" s="122"/>
      <c r="AE25" s="122"/>
      <c r="AF25" s="65"/>
      <c r="AG25" s="122"/>
      <c r="AH25" s="122"/>
      <c r="AI25" s="122"/>
      <c r="AJ25" s="65"/>
      <c r="AK25" s="122"/>
      <c r="AL25" s="122"/>
      <c r="AM25" s="122"/>
      <c r="AN25" s="122"/>
    </row>
    <row r="26" spans="1:40" x14ac:dyDescent="0.2">
      <c r="B26" s="3" t="s">
        <v>2085</v>
      </c>
      <c r="C26" s="60">
        <v>6</v>
      </c>
      <c r="I26" s="209"/>
      <c r="P26" s="64">
        <f>P2+P3+P4+P5+P6+P9+P10+P11+P12</f>
        <v>82697867</v>
      </c>
      <c r="R26" s="64"/>
      <c r="Y26" s="69"/>
      <c r="Z26" s="65"/>
      <c r="AA26" s="122"/>
      <c r="AB26" s="122"/>
      <c r="AC26" s="122"/>
      <c r="AD26" s="122"/>
      <c r="AE26" s="122"/>
      <c r="AF26" s="65"/>
      <c r="AG26" s="122"/>
      <c r="AH26" s="122"/>
      <c r="AI26" s="122"/>
      <c r="AJ26" s="65"/>
      <c r="AK26" s="122"/>
      <c r="AL26" s="122"/>
      <c r="AM26" s="122"/>
      <c r="AN26" s="122"/>
    </row>
    <row r="27" spans="1:40" x14ac:dyDescent="0.2">
      <c r="B27" s="3" t="s">
        <v>2088</v>
      </c>
      <c r="C27" s="60">
        <v>3</v>
      </c>
      <c r="I27" s="3"/>
      <c r="P27" s="124">
        <f>P2+P3+P4+P5+P6+P7+P8+P9+P10+P11+P12</f>
        <v>86025589</v>
      </c>
      <c r="Q27" s="64">
        <f>109140000-Q25-(4*898310)</f>
        <v>36225676</v>
      </c>
      <c r="R27" s="64"/>
      <c r="AA27" s="122"/>
      <c r="AB27" s="122"/>
      <c r="AC27" s="122"/>
      <c r="AD27" s="122"/>
      <c r="AE27" s="122"/>
      <c r="AF27" s="65"/>
      <c r="AG27" s="122"/>
      <c r="AH27" s="122"/>
      <c r="AI27" s="122"/>
      <c r="AK27" s="122"/>
      <c r="AL27" s="122"/>
      <c r="AM27" s="122"/>
      <c r="AN27" s="122"/>
    </row>
    <row r="28" spans="1:40" x14ac:dyDescent="0.2">
      <c r="B28" s="3" t="s">
        <v>2086</v>
      </c>
      <c r="C28" s="60">
        <v>1</v>
      </c>
      <c r="I28" s="3"/>
      <c r="P28" s="64">
        <f>P2+P3+P5+P6+P7+P8+P9+P10+P11+P12</f>
        <v>72827346</v>
      </c>
      <c r="R28" s="64"/>
      <c r="AA28" s="122"/>
      <c r="AB28" s="122"/>
      <c r="AC28" s="122"/>
      <c r="AD28" s="122"/>
      <c r="AE28" s="122"/>
      <c r="AG28" s="122"/>
      <c r="AH28" s="122"/>
      <c r="AI28" s="122"/>
      <c r="AK28" s="122"/>
      <c r="AL28" s="122"/>
      <c r="AM28" s="122"/>
      <c r="AN28" s="122"/>
    </row>
    <row r="29" spans="1:40" x14ac:dyDescent="0.2">
      <c r="B29" s="3" t="s">
        <v>2219</v>
      </c>
      <c r="C29" s="60" t="s">
        <v>2314</v>
      </c>
      <c r="D29" s="62"/>
      <c r="I29" s="3"/>
      <c r="AA29" s="122"/>
      <c r="AB29" s="122"/>
      <c r="AC29" s="122"/>
      <c r="AD29" s="122"/>
      <c r="AE29" s="122"/>
      <c r="AG29" s="122"/>
      <c r="AH29" s="122"/>
      <c r="AI29" s="122"/>
      <c r="AK29" s="122"/>
      <c r="AL29" s="122"/>
      <c r="AM29" s="122"/>
      <c r="AN29" s="122"/>
    </row>
    <row r="30" spans="1:40" x14ac:dyDescent="0.2">
      <c r="B30" s="3" t="s">
        <v>301</v>
      </c>
      <c r="C30" s="61">
        <v>0</v>
      </c>
      <c r="D30" s="62"/>
      <c r="I30" s="3"/>
      <c r="O30" s="82" t="s">
        <v>300</v>
      </c>
      <c r="P30" s="94">
        <v>109140000</v>
      </c>
      <c r="AA30" s="122"/>
      <c r="AB30" s="122"/>
      <c r="AC30" s="122"/>
      <c r="AD30" s="122"/>
      <c r="AE30" s="122"/>
      <c r="AG30" s="122"/>
      <c r="AH30" s="122"/>
      <c r="AI30" s="122"/>
      <c r="AK30" s="122"/>
      <c r="AL30" s="122"/>
      <c r="AM30" s="122"/>
      <c r="AN30" s="122"/>
    </row>
    <row r="31" spans="1:40" x14ac:dyDescent="0.2">
      <c r="B31" s="3" t="s">
        <v>303</v>
      </c>
      <c r="C31" s="61">
        <v>0</v>
      </c>
      <c r="I31" s="3"/>
      <c r="J31" s="61"/>
      <c r="O31" s="94" t="s">
        <v>302</v>
      </c>
      <c r="P31" s="94">
        <v>132627000</v>
      </c>
      <c r="AA31" s="122"/>
      <c r="AB31" s="122"/>
      <c r="AC31" s="122"/>
      <c r="AD31" s="122"/>
      <c r="AE31" s="122"/>
      <c r="AK31" s="122"/>
      <c r="AL31" s="122"/>
      <c r="AM31" s="122"/>
      <c r="AN31" s="122"/>
    </row>
    <row r="32" spans="1:40" x14ac:dyDescent="0.2">
      <c r="B32" s="3"/>
      <c r="C32" s="61"/>
      <c r="I32" s="3"/>
      <c r="J32" s="61"/>
      <c r="AK32" s="69"/>
      <c r="AL32" s="69"/>
      <c r="AM32" s="69"/>
      <c r="AN32" s="69"/>
    </row>
    <row r="33" spans="2:40" x14ac:dyDescent="0.2">
      <c r="B33" s="71" t="s">
        <v>2084</v>
      </c>
      <c r="AK33" s="69"/>
      <c r="AL33" s="69"/>
      <c r="AM33" s="69"/>
      <c r="AN33" s="69"/>
    </row>
    <row r="34" spans="2:40" x14ac:dyDescent="0.2">
      <c r="B34" s="3" t="s">
        <v>304</v>
      </c>
      <c r="C34" s="65">
        <f>44/(44+29)</f>
        <v>0.60273972602739723</v>
      </c>
      <c r="D34" s="60" t="s">
        <v>331</v>
      </c>
      <c r="AK34" s="69"/>
      <c r="AL34" s="69"/>
      <c r="AM34" s="69"/>
      <c r="AN34" s="69"/>
    </row>
    <row r="35" spans="2:40" x14ac:dyDescent="0.2">
      <c r="B35" s="3" t="s">
        <v>306</v>
      </c>
      <c r="C35" s="122">
        <v>111.9</v>
      </c>
      <c r="D35" s="60" t="s">
        <v>2218</v>
      </c>
    </row>
    <row r="36" spans="2:40" x14ac:dyDescent="0.2">
      <c r="B36" s="3" t="s">
        <v>307</v>
      </c>
      <c r="C36" s="122">
        <v>109.3</v>
      </c>
      <c r="D36" s="60" t="s">
        <v>2315</v>
      </c>
    </row>
    <row r="37" spans="2:40" x14ac:dyDescent="0.2">
      <c r="B37" s="3" t="s">
        <v>308</v>
      </c>
      <c r="C37" s="122">
        <f>C35-C36</f>
        <v>2.6000000000000085</v>
      </c>
      <c r="D37" s="60" t="s">
        <v>2218</v>
      </c>
    </row>
    <row r="38" spans="2:40" x14ac:dyDescent="0.2">
      <c r="B38" s="3" t="s">
        <v>309</v>
      </c>
      <c r="C38" s="63">
        <v>98.7</v>
      </c>
      <c r="D38" s="60" t="s">
        <v>2179</v>
      </c>
    </row>
    <row r="39" spans="2:40" x14ac:dyDescent="0.2">
      <c r="B39" s="3"/>
    </row>
    <row r="40" spans="2:40" x14ac:dyDescent="0.2">
      <c r="B40" s="3" t="s">
        <v>310</v>
      </c>
    </row>
    <row r="41" spans="2:40" x14ac:dyDescent="0.2">
      <c r="B41" s="3" t="s">
        <v>1289</v>
      </c>
    </row>
    <row r="42" spans="2:40" x14ac:dyDescent="0.2">
      <c r="B42" s="12"/>
    </row>
    <row r="43" spans="2:40" x14ac:dyDescent="0.2">
      <c r="B43" s="3" t="s">
        <v>318</v>
      </c>
    </row>
    <row r="44" spans="2:40" x14ac:dyDescent="0.2">
      <c r="B44" s="3" t="s">
        <v>1290</v>
      </c>
    </row>
    <row r="45" spans="2:40" x14ac:dyDescent="0.2">
      <c r="B45" s="3" t="s">
        <v>1291</v>
      </c>
    </row>
    <row r="46" spans="2:40" x14ac:dyDescent="0.2">
      <c r="B46" s="3" t="s">
        <v>1292</v>
      </c>
    </row>
    <row r="47" spans="2:40" x14ac:dyDescent="0.2">
      <c r="B47" s="3" t="s">
        <v>1293</v>
      </c>
    </row>
    <row r="48" spans="2:40" x14ac:dyDescent="0.2">
      <c r="B48" s="3" t="s">
        <v>1294</v>
      </c>
    </row>
    <row r="49" spans="2:9" x14ac:dyDescent="0.2">
      <c r="B49" s="3" t="s">
        <v>1295</v>
      </c>
    </row>
    <row r="50" spans="2:9" x14ac:dyDescent="0.2">
      <c r="B50" s="3" t="s">
        <v>1296</v>
      </c>
    </row>
    <row r="51" spans="2:9" x14ac:dyDescent="0.2">
      <c r="B51" s="3" t="s">
        <v>1297</v>
      </c>
    </row>
    <row r="52" spans="2:9" x14ac:dyDescent="0.2">
      <c r="B52" s="3"/>
    </row>
    <row r="53" spans="2:9" x14ac:dyDescent="0.2">
      <c r="B53" s="71" t="s">
        <v>2228</v>
      </c>
    </row>
    <row r="54" spans="2:9" x14ac:dyDescent="0.2">
      <c r="B54" s="39" t="s">
        <v>322</v>
      </c>
      <c r="C54" s="82">
        <v>44</v>
      </c>
      <c r="D54" s="82">
        <v>29</v>
      </c>
      <c r="E54" s="82" t="s">
        <v>331</v>
      </c>
      <c r="G54" s="82" t="s">
        <v>1288</v>
      </c>
      <c r="I54" s="60" t="s">
        <v>2375</v>
      </c>
    </row>
    <row r="55" spans="2:9" x14ac:dyDescent="0.2">
      <c r="B55" s="39" t="s">
        <v>325</v>
      </c>
      <c r="C55" s="82">
        <v>39</v>
      </c>
      <c r="D55" s="82">
        <v>43</v>
      </c>
      <c r="E55" s="82" t="s">
        <v>549</v>
      </c>
      <c r="G55" s="82" t="s">
        <v>1288</v>
      </c>
      <c r="I55" s="148" t="s">
        <v>324</v>
      </c>
    </row>
    <row r="56" spans="2:9" x14ac:dyDescent="0.2">
      <c r="B56" s="39" t="s">
        <v>327</v>
      </c>
      <c r="C56" s="82">
        <v>44</v>
      </c>
      <c r="D56" s="82">
        <v>38</v>
      </c>
      <c r="E56" s="82" t="s">
        <v>343</v>
      </c>
      <c r="G56" s="82" t="s">
        <v>1288</v>
      </c>
      <c r="I56" s="60" t="s">
        <v>485</v>
      </c>
    </row>
    <row r="57" spans="2:9" x14ac:dyDescent="0.2">
      <c r="B57" s="39" t="s">
        <v>330</v>
      </c>
      <c r="C57" s="82">
        <v>41</v>
      </c>
      <c r="D57" s="82">
        <v>41</v>
      </c>
      <c r="E57" s="82" t="s">
        <v>550</v>
      </c>
      <c r="G57" s="82" t="s">
        <v>1288</v>
      </c>
      <c r="I57" s="148" t="s">
        <v>324</v>
      </c>
    </row>
    <row r="58" spans="2:9" x14ac:dyDescent="0.2">
      <c r="B58" s="39" t="s">
        <v>333</v>
      </c>
      <c r="C58" s="82">
        <v>48</v>
      </c>
      <c r="D58" s="82">
        <v>34</v>
      </c>
      <c r="E58" s="82" t="s">
        <v>411</v>
      </c>
      <c r="G58" s="82" t="s">
        <v>1288</v>
      </c>
      <c r="I58" s="60" t="s">
        <v>1298</v>
      </c>
    </row>
    <row r="59" spans="2:9" x14ac:dyDescent="0.2">
      <c r="B59" s="39" t="s">
        <v>336</v>
      </c>
      <c r="C59" s="82">
        <v>37</v>
      </c>
      <c r="D59" s="82">
        <v>45</v>
      </c>
      <c r="E59" s="82" t="s">
        <v>549</v>
      </c>
      <c r="G59" s="82" t="s">
        <v>1288</v>
      </c>
      <c r="I59" s="148" t="s">
        <v>324</v>
      </c>
    </row>
    <row r="60" spans="2:9" x14ac:dyDescent="0.2">
      <c r="B60" s="39" t="s">
        <v>339</v>
      </c>
      <c r="C60" s="82">
        <v>54</v>
      </c>
      <c r="D60" s="82">
        <v>28</v>
      </c>
      <c r="E60" s="82" t="s">
        <v>414</v>
      </c>
      <c r="G60" s="82" t="s">
        <v>1288</v>
      </c>
      <c r="I60" s="60" t="s">
        <v>1299</v>
      </c>
    </row>
    <row r="61" spans="2:9" x14ac:dyDescent="0.2">
      <c r="B61" s="39" t="s">
        <v>342</v>
      </c>
      <c r="C61" s="82">
        <v>66</v>
      </c>
      <c r="D61" s="82">
        <v>16</v>
      </c>
      <c r="E61" s="82" t="s">
        <v>337</v>
      </c>
      <c r="G61" s="82" t="s">
        <v>1288</v>
      </c>
      <c r="I61" s="60" t="s">
        <v>1300</v>
      </c>
    </row>
    <row r="62" spans="2:9" x14ac:dyDescent="0.2">
      <c r="B62" s="39" t="s">
        <v>346</v>
      </c>
      <c r="C62" s="82">
        <v>46</v>
      </c>
      <c r="D62" s="82">
        <v>20</v>
      </c>
      <c r="E62" s="82" t="s">
        <v>414</v>
      </c>
      <c r="G62" s="82" t="s">
        <v>1288</v>
      </c>
      <c r="I62" s="60" t="s">
        <v>1301</v>
      </c>
    </row>
    <row r="63" spans="2:9" x14ac:dyDescent="0.2">
      <c r="B63" s="39" t="s">
        <v>348</v>
      </c>
      <c r="C63" s="82">
        <v>58</v>
      </c>
      <c r="D63" s="82">
        <v>24</v>
      </c>
      <c r="E63" s="82" t="s">
        <v>414</v>
      </c>
      <c r="G63" s="82" t="s">
        <v>1288</v>
      </c>
      <c r="I63" s="60" t="s">
        <v>1302</v>
      </c>
    </row>
    <row r="64" spans="2:9" x14ac:dyDescent="0.2">
      <c r="B64" s="60" t="s">
        <v>350</v>
      </c>
      <c r="C64" s="60">
        <f>SUM(C54:C63)</f>
        <v>477</v>
      </c>
      <c r="D64" s="60">
        <f>SUM(D54:D63)</f>
        <v>318</v>
      </c>
      <c r="E64" s="65">
        <f>C64/(C64+D64)</f>
        <v>0.6</v>
      </c>
    </row>
  </sheetData>
  <hyperlinks>
    <hyperlink ref="B54" r:id="rId1" xr:uid="{5015C104-4A9D-8C49-8ADE-6431BB8DC8F3}"/>
    <hyperlink ref="B55" r:id="rId2" xr:uid="{F52D6E62-E8DB-C146-8B32-608296E486A8}"/>
    <hyperlink ref="B56" r:id="rId3" xr:uid="{31BE7FB1-8DF8-DB48-8B18-0A8DDC16595A}"/>
    <hyperlink ref="B57" r:id="rId4" xr:uid="{480AA527-CC08-434C-9E80-F73AAEB05D37}"/>
    <hyperlink ref="B58" r:id="rId5" xr:uid="{78349E48-BC97-3847-AC23-CFE6B07843BD}"/>
    <hyperlink ref="B59" r:id="rId6" xr:uid="{0504B447-04D3-604B-8A8D-BB77BDB81AB9}"/>
    <hyperlink ref="B60" r:id="rId7" xr:uid="{BFD00662-BBB5-0E49-A330-79A4C4DF8B24}"/>
    <hyperlink ref="B61" r:id="rId8" xr:uid="{8A821D45-9648-CF4D-A8B7-B159B55DF587}"/>
    <hyperlink ref="B62" r:id="rId9" xr:uid="{84E217A4-CF6A-F143-9AD5-4C9696B0F3E1}"/>
    <hyperlink ref="B63" r:id="rId10" xr:uid="{099BF02E-3AC3-F44C-9469-EB6ED838575E}"/>
  </hyperlinks>
  <pageMargins left="0.7" right="0.7" top="0.75" bottom="0.75" header="0.3" footer="0.3"/>
  <legacyDrawing r:id="rId1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F9153-EB2A-074D-ACDD-7C9462B7062F}">
  <dimension ref="A1:AR59"/>
  <sheetViews>
    <sheetView zoomScaleNormal="100" workbookViewId="0">
      <selection sqref="A1:AR1"/>
    </sheetView>
  </sheetViews>
  <sheetFormatPr baseColWidth="10" defaultColWidth="10.83203125" defaultRowHeight="16" x14ac:dyDescent="0.2"/>
  <cols>
    <col min="1" max="1" width="3.6640625" style="60" customWidth="1"/>
    <col min="2" max="2" width="21.83203125" style="60" customWidth="1"/>
    <col min="3" max="3" width="9.83203125" style="60" customWidth="1"/>
    <col min="4" max="4" width="7.1640625" style="60" customWidth="1"/>
    <col min="5" max="5" width="10.33203125" style="60" customWidth="1"/>
    <col min="6" max="6" width="8" style="60" customWidth="1"/>
    <col min="7" max="7" width="9.1640625" style="60" customWidth="1"/>
    <col min="8" max="8" width="5.83203125" style="60" customWidth="1"/>
    <col min="9" max="9" width="18.1640625" style="60" customWidth="1"/>
    <col min="10" max="10" width="11.1640625" style="60" customWidth="1"/>
    <col min="11" max="11" width="12" style="60" customWidth="1"/>
    <col min="12" max="12" width="5.33203125" style="60" customWidth="1"/>
    <col min="13" max="13" width="24.83203125" style="60" customWidth="1"/>
    <col min="14" max="14" width="14" style="60" customWidth="1"/>
    <col min="15" max="15" width="47.33203125" style="60" customWidth="1"/>
    <col min="16" max="16" width="14" style="60" customWidth="1"/>
    <col min="17" max="20" width="12.33203125" style="60" bestFit="1" customWidth="1"/>
    <col min="21" max="21" width="5.83203125" style="60" customWidth="1"/>
    <col min="22" max="22" width="29.83203125" style="60" customWidth="1"/>
    <col min="23" max="23" width="25.6640625" style="60" customWidth="1"/>
    <col min="24" max="24" width="10" style="60" customWidth="1"/>
    <col min="25" max="25" width="3.33203125" style="60" customWidth="1"/>
    <col min="26" max="26" width="8.1640625" style="60" customWidth="1"/>
    <col min="27" max="27" width="5.83203125" style="60" customWidth="1"/>
    <col min="28" max="28" width="5.5" style="60" customWidth="1"/>
    <col min="29" max="29" width="7.5" style="60" customWidth="1"/>
    <col min="30" max="30" width="5.1640625" style="60" customWidth="1"/>
    <col min="31" max="31" width="4.83203125" style="60" customWidth="1"/>
    <col min="32" max="32" width="6" style="60" customWidth="1"/>
    <col min="33" max="33" width="7.5" style="60" customWidth="1"/>
    <col min="34" max="35" width="5.1640625" style="60" customWidth="1"/>
    <col min="36" max="36" width="6.83203125" style="60" customWidth="1"/>
    <col min="37" max="37" width="5.83203125" style="60" customWidth="1"/>
    <col min="38" max="38" width="6.33203125" style="60" customWidth="1"/>
    <col min="39" max="39" width="5.83203125" style="60" customWidth="1"/>
    <col min="40" max="40" width="5.1640625" style="60" customWidth="1"/>
    <col min="41" max="16384" width="10.83203125" style="60"/>
  </cols>
  <sheetData>
    <row r="1" spans="1:44" x14ac:dyDescent="0.2">
      <c r="A1" s="223" t="s">
        <v>2394</v>
      </c>
      <c r="B1" s="223" t="s">
        <v>2395</v>
      </c>
      <c r="C1" s="223" t="s">
        <v>2396</v>
      </c>
      <c r="D1" s="223" t="s">
        <v>2397</v>
      </c>
      <c r="E1" s="223" t="s">
        <v>2398</v>
      </c>
      <c r="F1" s="223" t="s">
        <v>2399</v>
      </c>
      <c r="G1" s="223" t="s">
        <v>2400</v>
      </c>
      <c r="H1" s="223" t="s">
        <v>2401</v>
      </c>
      <c r="I1" s="223" t="s">
        <v>2402</v>
      </c>
      <c r="J1" s="223" t="s">
        <v>2403</v>
      </c>
      <c r="K1" s="223" t="s">
        <v>2404</v>
      </c>
      <c r="L1" s="223" t="s">
        <v>2405</v>
      </c>
      <c r="M1" s="223" t="s">
        <v>2406</v>
      </c>
      <c r="N1" s="223" t="s">
        <v>2407</v>
      </c>
      <c r="O1" s="223" t="s">
        <v>2408</v>
      </c>
      <c r="P1" s="223" t="s">
        <v>2409</v>
      </c>
      <c r="Q1" s="223" t="s">
        <v>2410</v>
      </c>
      <c r="R1" s="223" t="s">
        <v>2411</v>
      </c>
      <c r="S1" s="223" t="s">
        <v>2412</v>
      </c>
      <c r="T1" s="223" t="s">
        <v>2413</v>
      </c>
      <c r="U1" s="223" t="s">
        <v>2414</v>
      </c>
      <c r="V1" s="223" t="s">
        <v>2415</v>
      </c>
      <c r="W1" s="223" t="s">
        <v>2416</v>
      </c>
      <c r="X1" s="223" t="s">
        <v>2433</v>
      </c>
      <c r="Y1" s="223" t="s">
        <v>2417</v>
      </c>
      <c r="Z1" s="223" t="s">
        <v>2418</v>
      </c>
      <c r="AA1" s="223" t="s">
        <v>2419</v>
      </c>
      <c r="AB1" s="223" t="s">
        <v>2420</v>
      </c>
      <c r="AC1" s="223" t="s">
        <v>2421</v>
      </c>
      <c r="AD1" s="223" t="s">
        <v>2422</v>
      </c>
      <c r="AE1" s="223" t="s">
        <v>2423</v>
      </c>
      <c r="AF1" s="223" t="s">
        <v>2424</v>
      </c>
      <c r="AG1" s="223" t="s">
        <v>2425</v>
      </c>
      <c r="AH1" s="223" t="s">
        <v>2426</v>
      </c>
      <c r="AI1" s="223" t="s">
        <v>2427</v>
      </c>
      <c r="AJ1" s="223" t="s">
        <v>2428</v>
      </c>
      <c r="AK1" s="223" t="s">
        <v>2429</v>
      </c>
      <c r="AL1" s="223" t="s">
        <v>2430</v>
      </c>
      <c r="AM1" s="223" t="s">
        <v>2431</v>
      </c>
      <c r="AN1" s="223" t="s">
        <v>2432</v>
      </c>
      <c r="AO1" s="224"/>
      <c r="AP1" s="225"/>
      <c r="AQ1" s="6"/>
      <c r="AR1" s="6"/>
    </row>
    <row r="2" spans="1:44" x14ac:dyDescent="0.2">
      <c r="A2" s="3">
        <v>22</v>
      </c>
      <c r="B2" s="3" t="s">
        <v>1303</v>
      </c>
      <c r="C2" s="60" t="s">
        <v>244</v>
      </c>
      <c r="D2" s="145">
        <v>67</v>
      </c>
      <c r="E2" s="145">
        <v>611</v>
      </c>
      <c r="F2" s="146">
        <v>222</v>
      </c>
      <c r="G2" s="4">
        <v>33462</v>
      </c>
      <c r="H2" s="122">
        <f ca="1">ROUNDDOWN(YEARFRAC($G$23,G2),1)</f>
        <v>29.2</v>
      </c>
      <c r="I2" s="60" t="s">
        <v>386</v>
      </c>
      <c r="J2" s="3">
        <v>9</v>
      </c>
      <c r="K2" s="110">
        <v>2012</v>
      </c>
      <c r="L2" s="110">
        <v>39</v>
      </c>
      <c r="M2" s="3" t="s">
        <v>1304</v>
      </c>
      <c r="N2" s="3" t="s">
        <v>1</v>
      </c>
      <c r="O2" s="60" t="s">
        <v>2341</v>
      </c>
      <c r="P2" s="72">
        <v>33051724</v>
      </c>
      <c r="Q2" s="72">
        <v>35500000</v>
      </c>
      <c r="R2" s="72">
        <v>37948276</v>
      </c>
      <c r="S2" s="48">
        <v>40396552</v>
      </c>
      <c r="T2" s="14">
        <v>50646400</v>
      </c>
      <c r="W2" s="60" t="s">
        <v>1305</v>
      </c>
      <c r="X2" s="69">
        <v>3</v>
      </c>
      <c r="Y2" s="69">
        <v>55</v>
      </c>
      <c r="Z2" s="65">
        <f>44/55</f>
        <v>0.8</v>
      </c>
      <c r="AA2" s="122">
        <v>113.4</v>
      </c>
      <c r="AB2" s="122">
        <v>99.6</v>
      </c>
      <c r="AC2" s="122">
        <f t="shared" ref="AC2:AC12" si="0">AA2-AB2</f>
        <v>13.800000000000011</v>
      </c>
      <c r="AD2" s="122">
        <v>30.1</v>
      </c>
      <c r="AE2" s="122">
        <v>21.4</v>
      </c>
      <c r="AF2" s="65">
        <v>0.61899999999999999</v>
      </c>
      <c r="AG2" s="122">
        <v>26.2</v>
      </c>
      <c r="AH2" s="122">
        <v>4.3</v>
      </c>
      <c r="AI2" s="122">
        <v>3.1</v>
      </c>
      <c r="AJ2" s="65">
        <v>0.214</v>
      </c>
      <c r="AK2" s="122">
        <v>3.4</v>
      </c>
      <c r="AL2" s="122">
        <v>0.9</v>
      </c>
      <c r="AM2" s="122">
        <v>2.7</v>
      </c>
      <c r="AN2" s="122">
        <v>15.5</v>
      </c>
    </row>
    <row r="3" spans="1:44" x14ac:dyDescent="0.2">
      <c r="A3" s="3">
        <v>34</v>
      </c>
      <c r="B3" s="3" t="s">
        <v>1306</v>
      </c>
      <c r="C3" s="60" t="s">
        <v>236</v>
      </c>
      <c r="D3" s="145">
        <v>611</v>
      </c>
      <c r="E3" s="145">
        <v>73</v>
      </c>
      <c r="F3" s="146">
        <v>242</v>
      </c>
      <c r="G3" s="4">
        <v>34674</v>
      </c>
      <c r="H3" s="122">
        <f t="shared" ref="H3:H12" ca="1" si="1">ROUNDDOWN(YEARFRAC($G$23,G3),1)</f>
        <v>25.8</v>
      </c>
      <c r="I3" s="60" t="s">
        <v>1307</v>
      </c>
      <c r="J3" s="3">
        <v>8</v>
      </c>
      <c r="K3" s="110">
        <v>2013</v>
      </c>
      <c r="L3" s="110">
        <v>15</v>
      </c>
      <c r="M3" s="3" t="s">
        <v>1308</v>
      </c>
      <c r="N3" s="3" t="s">
        <v>1</v>
      </c>
      <c r="O3" s="60" t="s">
        <v>2096</v>
      </c>
      <c r="P3" s="11">
        <v>27528088</v>
      </c>
      <c r="Q3" s="14">
        <v>37500000</v>
      </c>
      <c r="R3" s="12"/>
      <c r="S3" s="12"/>
      <c r="T3" s="12"/>
      <c r="W3" s="60" t="s">
        <v>1309</v>
      </c>
      <c r="X3" s="69">
        <v>4</v>
      </c>
      <c r="Y3" s="69">
        <v>57</v>
      </c>
      <c r="Z3" s="65">
        <f>48/57</f>
        <v>0.84210526315789469</v>
      </c>
      <c r="AA3" s="122">
        <v>112.6</v>
      </c>
      <c r="AB3" s="122">
        <v>96.5</v>
      </c>
      <c r="AC3" s="122">
        <f t="shared" si="0"/>
        <v>16.099999999999994</v>
      </c>
      <c r="AD3" s="122">
        <v>30.9</v>
      </c>
      <c r="AE3" s="122">
        <v>31.6</v>
      </c>
      <c r="AF3" s="65">
        <v>0.60799999999999998</v>
      </c>
      <c r="AG3" s="122">
        <v>37.4</v>
      </c>
      <c r="AH3" s="122">
        <v>5.6</v>
      </c>
      <c r="AI3" s="122">
        <v>4.8</v>
      </c>
      <c r="AJ3" s="65">
        <v>0.28199999999999997</v>
      </c>
      <c r="AK3" s="122">
        <v>7.4</v>
      </c>
      <c r="AL3" s="122">
        <v>4.0999999999999996</v>
      </c>
      <c r="AM3" s="122">
        <v>6</v>
      </c>
      <c r="AN3" s="122">
        <v>23.9</v>
      </c>
    </row>
    <row r="4" spans="1:44" x14ac:dyDescent="0.2">
      <c r="A4" s="3">
        <v>6</v>
      </c>
      <c r="B4" s="3" t="s">
        <v>1310</v>
      </c>
      <c r="C4" s="60" t="s">
        <v>250</v>
      </c>
      <c r="D4" s="145">
        <v>61</v>
      </c>
      <c r="E4" s="145">
        <v>68</v>
      </c>
      <c r="F4" s="146">
        <v>214</v>
      </c>
      <c r="G4" s="4">
        <v>32851</v>
      </c>
      <c r="H4" s="122">
        <f t="shared" ca="1" si="1"/>
        <v>30.8</v>
      </c>
      <c r="I4" s="60" t="s">
        <v>270</v>
      </c>
      <c r="J4" s="3">
        <v>11</v>
      </c>
      <c r="K4" s="110">
        <v>2010</v>
      </c>
      <c r="L4" s="110">
        <v>18</v>
      </c>
      <c r="M4" s="3" t="s">
        <v>1311</v>
      </c>
      <c r="N4" s="3" t="s">
        <v>1</v>
      </c>
      <c r="O4" s="60" t="s">
        <v>2342</v>
      </c>
      <c r="P4" s="11">
        <v>16875000</v>
      </c>
      <c r="Q4" s="11">
        <v>18125000</v>
      </c>
      <c r="R4" s="15">
        <v>19375000</v>
      </c>
      <c r="S4" s="14">
        <f>R4*1.5</f>
        <v>29062500</v>
      </c>
      <c r="T4" s="3"/>
      <c r="W4" s="98" t="s">
        <v>291</v>
      </c>
      <c r="X4" s="69">
        <v>1</v>
      </c>
      <c r="Y4" s="69">
        <v>56</v>
      </c>
      <c r="Z4" s="65">
        <f>47/56</f>
        <v>0.8392857142857143</v>
      </c>
      <c r="AA4" s="122">
        <v>113</v>
      </c>
      <c r="AB4" s="122">
        <v>99.6</v>
      </c>
      <c r="AC4" s="122">
        <f t="shared" si="0"/>
        <v>13.400000000000006</v>
      </c>
      <c r="AD4" s="122">
        <v>27.2</v>
      </c>
      <c r="AE4" s="122">
        <v>18.100000000000001</v>
      </c>
      <c r="AF4" s="65">
        <v>0.57899999999999996</v>
      </c>
      <c r="AG4" s="122">
        <v>24</v>
      </c>
      <c r="AH4" s="122">
        <v>2.4</v>
      </c>
      <c r="AI4" s="122">
        <v>2.9</v>
      </c>
      <c r="AJ4" s="65">
        <v>0.16800000000000001</v>
      </c>
      <c r="AK4" s="122">
        <v>1.1000000000000001</v>
      </c>
      <c r="AL4" s="122">
        <v>1.1000000000000001</v>
      </c>
      <c r="AM4" s="122">
        <v>1.6</v>
      </c>
      <c r="AN4" s="122">
        <v>12.8</v>
      </c>
    </row>
    <row r="5" spans="1:44" x14ac:dyDescent="0.2">
      <c r="A5" s="3">
        <v>11</v>
      </c>
      <c r="B5" s="3" t="s">
        <v>1312</v>
      </c>
      <c r="C5" s="60" t="s">
        <v>236</v>
      </c>
      <c r="D5" s="145">
        <v>70</v>
      </c>
      <c r="E5" s="145">
        <v>76</v>
      </c>
      <c r="F5" s="146">
        <v>282</v>
      </c>
      <c r="G5" s="4">
        <v>32234</v>
      </c>
      <c r="H5" s="122">
        <f t="shared" ca="1" si="1"/>
        <v>32.5</v>
      </c>
      <c r="I5" s="60" t="s">
        <v>707</v>
      </c>
      <c r="J5" s="3">
        <v>13</v>
      </c>
      <c r="K5" s="110">
        <v>2008</v>
      </c>
      <c r="L5" s="110">
        <v>10</v>
      </c>
      <c r="M5" s="3" t="s">
        <v>1313</v>
      </c>
      <c r="N5" s="3" t="s">
        <v>285</v>
      </c>
      <c r="O5" s="60" t="s">
        <v>2343</v>
      </c>
      <c r="P5" s="11">
        <v>12697675</v>
      </c>
      <c r="Q5" s="11">
        <v>13302325</v>
      </c>
      <c r="R5" s="11">
        <v>13906976</v>
      </c>
      <c r="S5" s="14">
        <f>R5*1.5</f>
        <v>20860464</v>
      </c>
      <c r="T5" s="3"/>
      <c r="W5" s="98" t="s">
        <v>240</v>
      </c>
      <c r="X5" s="69">
        <v>5</v>
      </c>
      <c r="Y5" s="69">
        <v>61</v>
      </c>
      <c r="Z5" s="65">
        <f>50/61</f>
        <v>0.81967213114754101</v>
      </c>
      <c r="AA5" s="122">
        <v>111.9</v>
      </c>
      <c r="AB5" s="122">
        <v>99.5</v>
      </c>
      <c r="AC5" s="122">
        <f t="shared" si="0"/>
        <v>12.400000000000006</v>
      </c>
      <c r="AD5" s="122">
        <v>26.6</v>
      </c>
      <c r="AE5" s="122">
        <v>14</v>
      </c>
      <c r="AF5" s="65">
        <v>0.53700000000000003</v>
      </c>
      <c r="AG5" s="122">
        <v>17.5</v>
      </c>
      <c r="AH5" s="122">
        <v>0.8</v>
      </c>
      <c r="AI5" s="122">
        <v>3.9</v>
      </c>
      <c r="AJ5" s="65">
        <v>0.13700000000000001</v>
      </c>
      <c r="AK5" s="122">
        <v>-1.1000000000000001</v>
      </c>
      <c r="AL5" s="122">
        <v>2.8</v>
      </c>
      <c r="AM5" s="122">
        <v>1.5</v>
      </c>
      <c r="AN5" s="122">
        <v>8.1999999999999993</v>
      </c>
    </row>
    <row r="6" spans="1:44" x14ac:dyDescent="0.2">
      <c r="A6" s="3">
        <v>3</v>
      </c>
      <c r="B6" s="3" t="s">
        <v>1314</v>
      </c>
      <c r="C6" s="60" t="s">
        <v>232</v>
      </c>
      <c r="D6" s="145">
        <v>63</v>
      </c>
      <c r="E6" s="145">
        <v>69</v>
      </c>
      <c r="F6" s="146">
        <v>188</v>
      </c>
      <c r="G6" s="4">
        <v>31536</v>
      </c>
      <c r="H6" s="122">
        <f t="shared" ca="1" si="1"/>
        <v>34.4</v>
      </c>
      <c r="I6" s="60" t="s">
        <v>1315</v>
      </c>
      <c r="J6" s="3">
        <v>13</v>
      </c>
      <c r="K6" s="110">
        <v>2008</v>
      </c>
      <c r="L6" s="110">
        <v>26</v>
      </c>
      <c r="M6" s="3" t="s">
        <v>1316</v>
      </c>
      <c r="N6" s="3" t="s">
        <v>285</v>
      </c>
      <c r="O6" s="60" t="s">
        <v>2335</v>
      </c>
      <c r="P6" s="11">
        <v>9590602</v>
      </c>
      <c r="Q6" s="15">
        <v>10047297</v>
      </c>
      <c r="R6" s="14">
        <f>Q6*1.9</f>
        <v>19089864.300000001</v>
      </c>
      <c r="S6" s="12"/>
      <c r="T6" s="12"/>
      <c r="W6" s="60" t="s">
        <v>1317</v>
      </c>
      <c r="X6" s="69">
        <v>1</v>
      </c>
      <c r="Y6" s="69">
        <v>52</v>
      </c>
      <c r="Z6" s="65">
        <f>44/52</f>
        <v>0.84615384615384615</v>
      </c>
      <c r="AA6" s="122">
        <v>113</v>
      </c>
      <c r="AB6" s="122">
        <v>101.4</v>
      </c>
      <c r="AC6" s="122">
        <f t="shared" si="0"/>
        <v>11.599999999999994</v>
      </c>
      <c r="AD6" s="122">
        <v>21.2</v>
      </c>
      <c r="AE6" s="122">
        <v>17.5</v>
      </c>
      <c r="AF6" s="65">
        <v>0.66800000000000004</v>
      </c>
      <c r="AG6" s="122">
        <v>15.8</v>
      </c>
      <c r="AH6" s="122">
        <v>3.2</v>
      </c>
      <c r="AI6" s="122">
        <v>1.9</v>
      </c>
      <c r="AJ6" s="65">
        <v>0.22</v>
      </c>
      <c r="AK6" s="122">
        <v>1.8</v>
      </c>
      <c r="AL6" s="122">
        <v>1.4</v>
      </c>
      <c r="AM6" s="122">
        <v>1.5</v>
      </c>
      <c r="AN6" s="122">
        <v>11.9</v>
      </c>
    </row>
    <row r="7" spans="1:44" x14ac:dyDescent="0.2">
      <c r="A7" s="3">
        <v>7</v>
      </c>
      <c r="B7" s="3" t="s">
        <v>98</v>
      </c>
      <c r="C7" s="60" t="s">
        <v>236</v>
      </c>
      <c r="D7" s="145">
        <v>69</v>
      </c>
      <c r="E7" s="145">
        <v>71</v>
      </c>
      <c r="F7" s="146">
        <v>235</v>
      </c>
      <c r="G7" s="4">
        <v>31912</v>
      </c>
      <c r="H7" s="122">
        <f t="shared" ca="1" si="1"/>
        <v>33.4</v>
      </c>
      <c r="I7" s="60" t="s">
        <v>453</v>
      </c>
      <c r="J7" s="3">
        <v>13</v>
      </c>
      <c r="K7" s="110">
        <v>2005</v>
      </c>
      <c r="L7" s="110">
        <v>36</v>
      </c>
      <c r="M7" s="3" t="s">
        <v>1318</v>
      </c>
      <c r="N7" s="3" t="s">
        <v>521</v>
      </c>
      <c r="O7" s="215" t="s">
        <v>1319</v>
      </c>
      <c r="P7" s="15">
        <v>7000000</v>
      </c>
      <c r="Q7" s="14">
        <f>P7*1.9</f>
        <v>13300000</v>
      </c>
      <c r="R7" s="12"/>
      <c r="S7" s="12"/>
      <c r="T7" s="147"/>
      <c r="W7" s="60" t="s">
        <v>1320</v>
      </c>
      <c r="X7" s="69">
        <v>4</v>
      </c>
      <c r="Y7" s="69">
        <v>56</v>
      </c>
      <c r="Z7" s="65">
        <f>45/56</f>
        <v>0.8035714285714286</v>
      </c>
      <c r="AA7" s="122">
        <v>111.2</v>
      </c>
      <c r="AB7" s="122">
        <v>104.3</v>
      </c>
      <c r="AC7" s="122">
        <f t="shared" si="0"/>
        <v>6.9000000000000057</v>
      </c>
      <c r="AD7" s="122">
        <v>16</v>
      </c>
      <c r="AE7" s="122">
        <v>15.2</v>
      </c>
      <c r="AF7" s="65">
        <v>0.59099999999999997</v>
      </c>
      <c r="AG7" s="122">
        <v>16.399999999999999</v>
      </c>
      <c r="AH7" s="122">
        <v>1.5</v>
      </c>
      <c r="AI7" s="122">
        <v>1.9</v>
      </c>
      <c r="AJ7" s="65">
        <v>0.18</v>
      </c>
      <c r="AK7" s="122">
        <v>-0.2</v>
      </c>
      <c r="AL7" s="122">
        <v>0.8</v>
      </c>
      <c r="AM7" s="122">
        <v>0.6</v>
      </c>
      <c r="AN7" s="122">
        <v>10.6</v>
      </c>
    </row>
    <row r="8" spans="1:44" x14ac:dyDescent="0.2">
      <c r="A8" s="3">
        <v>42</v>
      </c>
      <c r="B8" s="3" t="s">
        <v>99</v>
      </c>
      <c r="C8" s="60" t="s">
        <v>236</v>
      </c>
      <c r="D8" s="145">
        <v>70</v>
      </c>
      <c r="E8" s="145">
        <v>76</v>
      </c>
      <c r="F8" s="146">
        <v>281</v>
      </c>
      <c r="G8" s="4">
        <v>32234</v>
      </c>
      <c r="H8" s="122">
        <f t="shared" ca="1" si="1"/>
        <v>32.5</v>
      </c>
      <c r="I8" s="60" t="s">
        <v>707</v>
      </c>
      <c r="J8" s="3">
        <v>13</v>
      </c>
      <c r="K8" s="110">
        <v>2008</v>
      </c>
      <c r="L8" s="110">
        <v>15</v>
      </c>
      <c r="M8" s="3" t="s">
        <v>1321</v>
      </c>
      <c r="N8" s="3" t="s">
        <v>299</v>
      </c>
      <c r="O8" s="215" t="s">
        <v>371</v>
      </c>
      <c r="P8" s="48">
        <v>5005350</v>
      </c>
      <c r="Q8" s="14">
        <f>P8*1.3</f>
        <v>6506955</v>
      </c>
      <c r="R8" s="12"/>
      <c r="S8" s="12"/>
      <c r="T8" s="12"/>
      <c r="W8" s="98" t="s">
        <v>240</v>
      </c>
      <c r="X8" s="69">
        <v>5</v>
      </c>
      <c r="Y8" s="69">
        <v>60</v>
      </c>
      <c r="Z8" s="65">
        <f>49/60</f>
        <v>0.81666666666666665</v>
      </c>
      <c r="AA8" s="122">
        <v>105</v>
      </c>
      <c r="AB8" s="122">
        <v>102.4</v>
      </c>
      <c r="AC8" s="122">
        <f t="shared" si="0"/>
        <v>2.5999999999999943</v>
      </c>
      <c r="AD8" s="122">
        <v>14.4</v>
      </c>
      <c r="AE8" s="122">
        <v>11.1</v>
      </c>
      <c r="AF8" s="65">
        <v>0.56499999999999995</v>
      </c>
      <c r="AG8" s="122">
        <v>16.600000000000001</v>
      </c>
      <c r="AH8" s="122">
        <v>0.2</v>
      </c>
      <c r="AI8" s="122">
        <v>1.5</v>
      </c>
      <c r="AJ8" s="65">
        <v>9.5000000000000001E-2</v>
      </c>
      <c r="AK8" s="122">
        <v>-2.4</v>
      </c>
      <c r="AL8" s="122">
        <v>0.5</v>
      </c>
      <c r="AM8" s="122">
        <v>0</v>
      </c>
      <c r="AN8" s="122">
        <v>6.6</v>
      </c>
    </row>
    <row r="9" spans="1:44" x14ac:dyDescent="0.2">
      <c r="A9" s="3">
        <v>5</v>
      </c>
      <c r="B9" s="3" t="s">
        <v>1322</v>
      </c>
      <c r="C9" s="60" t="s">
        <v>236</v>
      </c>
      <c r="D9" s="145">
        <v>610</v>
      </c>
      <c r="E9" s="145">
        <v>73</v>
      </c>
      <c r="F9" s="146">
        <v>231</v>
      </c>
      <c r="G9" s="4">
        <v>35114</v>
      </c>
      <c r="H9" s="122">
        <f t="shared" ca="1" si="1"/>
        <v>24.6</v>
      </c>
      <c r="I9" s="60" t="s">
        <v>443</v>
      </c>
      <c r="J9" s="3">
        <v>4</v>
      </c>
      <c r="K9" s="110">
        <v>2017</v>
      </c>
      <c r="L9" s="110">
        <v>17</v>
      </c>
      <c r="M9" s="3" t="s">
        <v>1323</v>
      </c>
      <c r="N9" s="3" t="s">
        <v>247</v>
      </c>
      <c r="O9" s="60" t="s">
        <v>2286</v>
      </c>
      <c r="P9" s="11">
        <v>4548280</v>
      </c>
      <c r="Q9" s="50">
        <f>P9*3</f>
        <v>13644840</v>
      </c>
      <c r="R9" s="12"/>
      <c r="S9" s="12"/>
      <c r="T9" s="12"/>
      <c r="W9" s="98" t="s">
        <v>1324</v>
      </c>
      <c r="X9" s="69">
        <v>4</v>
      </c>
      <c r="Y9" s="69">
        <v>31</v>
      </c>
      <c r="Z9" s="65">
        <f>27/31</f>
        <v>0.87096774193548387</v>
      </c>
      <c r="AA9" s="122">
        <v>96.6</v>
      </c>
      <c r="AB9" s="122">
        <v>103.1</v>
      </c>
      <c r="AC9" s="122">
        <f t="shared" si="0"/>
        <v>-6.5</v>
      </c>
      <c r="AD9" s="122">
        <v>9</v>
      </c>
      <c r="AE9" s="122">
        <v>8.4</v>
      </c>
      <c r="AF9" s="65">
        <v>0.47599999999999998</v>
      </c>
      <c r="AG9" s="122">
        <v>17.7</v>
      </c>
      <c r="AH9" s="122">
        <v>-0.2</v>
      </c>
      <c r="AI9" s="122">
        <v>0.5</v>
      </c>
      <c r="AJ9" s="65">
        <v>5.5E-2</v>
      </c>
      <c r="AK9" s="122">
        <v>-3.9</v>
      </c>
      <c r="AL9" s="122">
        <v>0.3</v>
      </c>
      <c r="AM9" s="122">
        <v>-0.1</v>
      </c>
      <c r="AN9" s="122">
        <v>7.6</v>
      </c>
    </row>
    <row r="10" spans="1:44" x14ac:dyDescent="0.2">
      <c r="A10" s="3">
        <v>0</v>
      </c>
      <c r="B10" s="3" t="s">
        <v>1325</v>
      </c>
      <c r="C10" s="60" t="s">
        <v>232</v>
      </c>
      <c r="D10" s="145">
        <v>64</v>
      </c>
      <c r="E10" s="145">
        <v>66</v>
      </c>
      <c r="F10" s="146">
        <v>203</v>
      </c>
      <c r="G10" s="4">
        <v>35461</v>
      </c>
      <c r="H10" s="122">
        <f t="shared" ca="1" si="1"/>
        <v>23.7</v>
      </c>
      <c r="I10" s="60" t="s">
        <v>589</v>
      </c>
      <c r="J10" s="3">
        <v>3</v>
      </c>
      <c r="K10" s="110">
        <v>2018</v>
      </c>
      <c r="L10" s="110">
        <v>17</v>
      </c>
      <c r="M10" s="3" t="s">
        <v>1326</v>
      </c>
      <c r="N10" s="3" t="s">
        <v>247</v>
      </c>
      <c r="O10" s="81" t="s">
        <v>2344</v>
      </c>
      <c r="P10" s="11">
        <v>3044160</v>
      </c>
      <c r="Q10" s="51">
        <v>4675830</v>
      </c>
      <c r="R10" s="50">
        <v>14027490</v>
      </c>
      <c r="S10" s="12"/>
      <c r="T10" s="12"/>
      <c r="W10" s="82" t="s">
        <v>1327</v>
      </c>
      <c r="X10" s="69">
        <v>2</v>
      </c>
      <c r="Y10" s="69">
        <v>59</v>
      </c>
      <c r="Z10" s="65">
        <f>51/59</f>
        <v>0.86440677966101698</v>
      </c>
      <c r="AA10" s="122">
        <v>112.5</v>
      </c>
      <c r="AB10" s="122">
        <v>98.5</v>
      </c>
      <c r="AC10" s="122">
        <f t="shared" si="0"/>
        <v>14</v>
      </c>
      <c r="AD10" s="122">
        <v>23.1</v>
      </c>
      <c r="AE10" s="122">
        <v>15</v>
      </c>
      <c r="AF10" s="65">
        <v>0.56999999999999995</v>
      </c>
      <c r="AG10" s="122">
        <v>16.899999999999999</v>
      </c>
      <c r="AH10" s="122">
        <v>1.4</v>
      </c>
      <c r="AI10" s="122">
        <v>3.1</v>
      </c>
      <c r="AJ10" s="65">
        <v>0.158</v>
      </c>
      <c r="AK10" s="122">
        <v>-0.6</v>
      </c>
      <c r="AL10" s="122">
        <v>2.7</v>
      </c>
      <c r="AM10" s="122">
        <v>1.4</v>
      </c>
      <c r="AN10" s="122">
        <v>10.9</v>
      </c>
    </row>
    <row r="11" spans="1:44" x14ac:dyDescent="0.2">
      <c r="A11" s="3">
        <v>9</v>
      </c>
      <c r="B11" s="3" t="s">
        <v>100</v>
      </c>
      <c r="C11" s="60" t="s">
        <v>255</v>
      </c>
      <c r="D11" s="145">
        <v>64</v>
      </c>
      <c r="E11" s="145">
        <v>69</v>
      </c>
      <c r="F11" s="146">
        <v>220</v>
      </c>
      <c r="G11" s="4">
        <v>31699</v>
      </c>
      <c r="H11" s="122">
        <f t="shared" ca="1" si="1"/>
        <v>34</v>
      </c>
      <c r="I11" s="60" t="s">
        <v>1249</v>
      </c>
      <c r="J11" s="3">
        <v>12</v>
      </c>
      <c r="K11" s="110">
        <v>2009</v>
      </c>
      <c r="L11" s="110"/>
      <c r="M11" s="3" t="s">
        <v>1328</v>
      </c>
      <c r="N11" s="3" t="s">
        <v>282</v>
      </c>
      <c r="O11" s="216" t="s">
        <v>380</v>
      </c>
      <c r="P11" s="48">
        <v>2692991</v>
      </c>
      <c r="Q11" s="14">
        <v>1856061</v>
      </c>
      <c r="R11" s="12"/>
      <c r="S11" s="12"/>
      <c r="T11" s="12"/>
      <c r="W11" s="60" t="s">
        <v>1329</v>
      </c>
      <c r="X11" s="69">
        <v>2</v>
      </c>
      <c r="Y11" s="69">
        <v>62</v>
      </c>
      <c r="Z11" s="65">
        <f>50/62</f>
        <v>0.80645161290322576</v>
      </c>
      <c r="AA11" s="122">
        <v>109.9</v>
      </c>
      <c r="AB11" s="122">
        <v>97.8</v>
      </c>
      <c r="AC11" s="122">
        <f t="shared" si="0"/>
        <v>12.100000000000009</v>
      </c>
      <c r="AD11" s="122">
        <v>24.7</v>
      </c>
      <c r="AE11" s="122">
        <v>8.4</v>
      </c>
      <c r="AF11" s="65">
        <v>0.54500000000000004</v>
      </c>
      <c r="AG11" s="122">
        <v>12.7</v>
      </c>
      <c r="AH11" s="122">
        <v>0.8</v>
      </c>
      <c r="AI11" s="122">
        <v>2.4</v>
      </c>
      <c r="AJ11" s="65">
        <v>9.9000000000000005E-2</v>
      </c>
      <c r="AK11" s="122">
        <v>-2.5</v>
      </c>
      <c r="AL11" s="122">
        <v>0.8</v>
      </c>
      <c r="AM11" s="122">
        <v>0.1</v>
      </c>
      <c r="AN11" s="122">
        <v>5.6</v>
      </c>
    </row>
    <row r="12" spans="1:44" x14ac:dyDescent="0.2">
      <c r="A12" s="3">
        <v>43</v>
      </c>
      <c r="B12" s="3" t="s">
        <v>1337</v>
      </c>
      <c r="C12" s="60" t="s">
        <v>244</v>
      </c>
      <c r="D12" s="145">
        <v>66</v>
      </c>
      <c r="E12" s="145">
        <v>70</v>
      </c>
      <c r="F12" s="146">
        <v>219</v>
      </c>
      <c r="G12" s="4">
        <v>33802</v>
      </c>
      <c r="H12" s="122">
        <f t="shared" ca="1" si="1"/>
        <v>28.2</v>
      </c>
      <c r="I12" s="60" t="s">
        <v>1338</v>
      </c>
      <c r="J12" s="3">
        <v>3</v>
      </c>
      <c r="K12" s="110">
        <v>2014</v>
      </c>
      <c r="L12" s="110">
        <v>51</v>
      </c>
      <c r="M12" s="3" t="s">
        <v>1339</v>
      </c>
      <c r="N12" s="3" t="s">
        <v>282</v>
      </c>
      <c r="O12" s="60" t="s">
        <v>2345</v>
      </c>
      <c r="P12" s="11">
        <v>1701593</v>
      </c>
      <c r="Q12" s="50">
        <v>2126991</v>
      </c>
      <c r="R12" s="12"/>
      <c r="S12" s="12"/>
      <c r="T12" s="12"/>
      <c r="W12" s="60" t="s">
        <v>1340</v>
      </c>
      <c r="X12" s="69">
        <v>2</v>
      </c>
      <c r="Y12" s="69">
        <v>18</v>
      </c>
      <c r="Z12" s="65">
        <f>15/18</f>
        <v>0.83333333333333337</v>
      </c>
      <c r="AA12" s="122">
        <v>91.6</v>
      </c>
      <c r="AB12" s="122">
        <v>104.2</v>
      </c>
      <c r="AC12" s="122">
        <f t="shared" si="0"/>
        <v>-12.600000000000009</v>
      </c>
      <c r="AD12" s="122">
        <v>5.2</v>
      </c>
      <c r="AE12" s="122">
        <v>14.2</v>
      </c>
      <c r="AF12" s="65">
        <v>0.52800000000000002</v>
      </c>
      <c r="AG12" s="122">
        <v>23.8</v>
      </c>
      <c r="AH12" s="122">
        <v>0</v>
      </c>
      <c r="AI12" s="122">
        <v>0.2</v>
      </c>
      <c r="AJ12" s="65">
        <v>8.3000000000000004E-2</v>
      </c>
      <c r="AK12" s="122">
        <v>-4</v>
      </c>
      <c r="AL12" s="122">
        <v>1.7</v>
      </c>
      <c r="AM12" s="122">
        <v>0</v>
      </c>
      <c r="AN12" s="122">
        <v>6.8</v>
      </c>
    </row>
    <row r="13" spans="1:44" x14ac:dyDescent="0.2">
      <c r="B13" s="3" t="s">
        <v>297</v>
      </c>
      <c r="G13" s="3"/>
      <c r="P13" s="11">
        <f>3169348+1865546</f>
        <v>5034894</v>
      </c>
      <c r="Q13" s="11">
        <f>3169348+1865546</f>
        <v>5034894</v>
      </c>
      <c r="R13" s="11"/>
      <c r="S13" s="11"/>
      <c r="T13" s="11"/>
      <c r="X13" s="69"/>
      <c r="Y13" s="69"/>
      <c r="Z13" s="65"/>
      <c r="AA13" s="122"/>
      <c r="AB13" s="122"/>
      <c r="AC13" s="122"/>
      <c r="AD13" s="122"/>
      <c r="AE13" s="122"/>
      <c r="AF13" s="65"/>
      <c r="AG13" s="122"/>
      <c r="AH13" s="122"/>
      <c r="AI13" s="122"/>
      <c r="AJ13" s="65"/>
      <c r="AK13" s="122"/>
      <c r="AL13" s="122"/>
      <c r="AM13" s="122"/>
      <c r="AN13" s="122"/>
    </row>
    <row r="14" spans="1:44" x14ac:dyDescent="0.2">
      <c r="B14" s="3" t="s">
        <v>2169</v>
      </c>
      <c r="G14" s="3"/>
      <c r="P14" s="11">
        <v>2193480</v>
      </c>
      <c r="Q14" s="11">
        <v>2303040</v>
      </c>
      <c r="R14" s="51">
        <v>2412840</v>
      </c>
      <c r="S14" s="51">
        <f>R14*1.749</f>
        <v>4220057.16</v>
      </c>
      <c r="T14" s="50">
        <f>S14*3</f>
        <v>12660171.48</v>
      </c>
      <c r="X14" s="69"/>
      <c r="Y14" s="69"/>
      <c r="Z14" s="65"/>
      <c r="AA14" s="122"/>
      <c r="AB14" s="122"/>
      <c r="AC14" s="122"/>
      <c r="AD14" s="122"/>
      <c r="AE14" s="122"/>
      <c r="AF14" s="65"/>
      <c r="AG14" s="122"/>
      <c r="AH14" s="122"/>
      <c r="AI14" s="122"/>
      <c r="AJ14" s="65"/>
      <c r="AK14" s="122"/>
      <c r="AL14" s="122"/>
      <c r="AM14" s="122"/>
      <c r="AN14" s="122"/>
    </row>
    <row r="15" spans="1:44" x14ac:dyDescent="0.2">
      <c r="B15" s="5"/>
      <c r="G15" s="3"/>
      <c r="P15" s="11"/>
      <c r="Q15" s="11"/>
      <c r="R15" s="16"/>
      <c r="S15" s="16"/>
      <c r="T15" s="16"/>
      <c r="X15" s="69"/>
      <c r="Y15" s="69"/>
      <c r="Z15" s="65"/>
      <c r="AF15" s="65"/>
      <c r="AJ15" s="65"/>
    </row>
    <row r="16" spans="1:44" x14ac:dyDescent="0.2">
      <c r="A16" s="3">
        <v>24</v>
      </c>
      <c r="B16" s="3" t="s">
        <v>101</v>
      </c>
      <c r="C16" s="60" t="s">
        <v>255</v>
      </c>
      <c r="D16" s="145">
        <v>65</v>
      </c>
      <c r="E16" s="145">
        <v>69</v>
      </c>
      <c r="F16" s="146">
        <v>209</v>
      </c>
      <c r="G16" s="4">
        <v>33975</v>
      </c>
      <c r="H16" s="122">
        <f t="shared" ref="H16:H21" ca="1" si="2">ROUNDDOWN(YEARFRAC($G$23,G16),1)</f>
        <v>27.8</v>
      </c>
      <c r="I16" s="60" t="s">
        <v>1330</v>
      </c>
      <c r="J16" s="3">
        <v>6</v>
      </c>
      <c r="K16" s="110">
        <v>2015</v>
      </c>
      <c r="L16" s="110">
        <v>41</v>
      </c>
      <c r="M16" s="3" t="s">
        <v>1331</v>
      </c>
      <c r="N16" s="3"/>
      <c r="P16" s="14">
        <v>2239965</v>
      </c>
      <c r="Q16" s="12"/>
      <c r="R16" s="54"/>
      <c r="S16" s="54"/>
      <c r="T16" s="54"/>
      <c r="W16" s="60" t="s">
        <v>1332</v>
      </c>
      <c r="X16" s="69">
        <v>2</v>
      </c>
      <c r="Y16" s="69">
        <v>61</v>
      </c>
      <c r="Z16" s="65">
        <f>51/61</f>
        <v>0.83606557377049184</v>
      </c>
      <c r="AA16" s="122">
        <v>107.5</v>
      </c>
      <c r="AB16" s="122">
        <v>103.2</v>
      </c>
      <c r="AC16" s="122">
        <f t="shared" ref="AC16:AC20" si="3">AA16-AB16</f>
        <v>4.2999999999999972</v>
      </c>
      <c r="AD16" s="122">
        <v>18.3</v>
      </c>
      <c r="AE16" s="122">
        <v>11.2</v>
      </c>
      <c r="AF16" s="65">
        <v>0.55800000000000005</v>
      </c>
      <c r="AG16" s="122">
        <v>11.9</v>
      </c>
      <c r="AH16" s="122">
        <v>0.9</v>
      </c>
      <c r="AI16" s="122">
        <v>2.1</v>
      </c>
      <c r="AJ16" s="65">
        <v>0.13</v>
      </c>
      <c r="AK16" s="122">
        <v>-1.1000000000000001</v>
      </c>
      <c r="AL16" s="122">
        <v>1.6</v>
      </c>
      <c r="AM16" s="122">
        <v>0.7</v>
      </c>
      <c r="AN16" s="122">
        <v>8.9</v>
      </c>
    </row>
    <row r="17" spans="1:40" x14ac:dyDescent="0.2">
      <c r="A17" s="3">
        <v>23</v>
      </c>
      <c r="B17" s="3" t="s">
        <v>103</v>
      </c>
      <c r="C17" s="60" t="s">
        <v>255</v>
      </c>
      <c r="D17" s="145">
        <v>65</v>
      </c>
      <c r="E17" s="145">
        <v>610</v>
      </c>
      <c r="F17" s="146">
        <v>219</v>
      </c>
      <c r="G17" s="4">
        <v>34740</v>
      </c>
      <c r="H17" s="122">
        <f t="shared" ca="1" si="2"/>
        <v>25.7</v>
      </c>
      <c r="I17" s="60" t="s">
        <v>389</v>
      </c>
      <c r="J17" s="3">
        <v>4</v>
      </c>
      <c r="K17" s="110">
        <v>2017</v>
      </c>
      <c r="L17" s="110">
        <v>46</v>
      </c>
      <c r="M17" s="3" t="s">
        <v>1335</v>
      </c>
      <c r="N17" s="3"/>
      <c r="P17" s="50">
        <v>2023150</v>
      </c>
      <c r="Q17" s="12"/>
      <c r="R17" s="54"/>
      <c r="S17" s="54"/>
      <c r="T17" s="54"/>
      <c r="W17" s="60" t="s">
        <v>1336</v>
      </c>
      <c r="X17" s="69">
        <v>3</v>
      </c>
      <c r="Y17" s="69">
        <v>45</v>
      </c>
      <c r="Z17" s="65">
        <f>36/45</f>
        <v>0.8</v>
      </c>
      <c r="AA17" s="122">
        <v>105.3</v>
      </c>
      <c r="AB17" s="122">
        <v>100</v>
      </c>
      <c r="AC17" s="122">
        <f t="shared" si="3"/>
        <v>5.2999999999999972</v>
      </c>
      <c r="AD17" s="122">
        <v>14.8</v>
      </c>
      <c r="AE17" s="122">
        <v>9.3000000000000007</v>
      </c>
      <c r="AF17" s="65">
        <v>0.47799999999999998</v>
      </c>
      <c r="AG17" s="122">
        <v>16.7</v>
      </c>
      <c r="AH17" s="122">
        <v>-0.4</v>
      </c>
      <c r="AI17" s="122">
        <v>1.3</v>
      </c>
      <c r="AJ17" s="65">
        <v>7.0999999999999994E-2</v>
      </c>
      <c r="AK17" s="122">
        <v>-3.1</v>
      </c>
      <c r="AL17" s="122">
        <v>1</v>
      </c>
      <c r="AM17" s="122">
        <v>0</v>
      </c>
      <c r="AN17" s="122">
        <v>8.1</v>
      </c>
    </row>
    <row r="18" spans="1:40" x14ac:dyDescent="0.2">
      <c r="A18" s="3">
        <v>26</v>
      </c>
      <c r="B18" s="3" t="s">
        <v>102</v>
      </c>
      <c r="C18" s="60" t="s">
        <v>255</v>
      </c>
      <c r="D18" s="145">
        <v>67</v>
      </c>
      <c r="E18" s="145">
        <v>69</v>
      </c>
      <c r="F18" s="146">
        <v>212</v>
      </c>
      <c r="G18" s="4">
        <v>29662</v>
      </c>
      <c r="H18" s="122">
        <f t="shared" ca="1" si="2"/>
        <v>39.6</v>
      </c>
      <c r="I18" s="60" t="s">
        <v>862</v>
      </c>
      <c r="J18" s="3">
        <v>18</v>
      </c>
      <c r="K18" s="110">
        <v>2003</v>
      </c>
      <c r="L18" s="110">
        <v>51</v>
      </c>
      <c r="M18" s="3" t="s">
        <v>1333</v>
      </c>
      <c r="N18" s="3"/>
      <c r="P18" s="14">
        <v>1620564</v>
      </c>
      <c r="Q18" s="12"/>
      <c r="R18" s="54"/>
      <c r="S18" s="54"/>
      <c r="T18" s="54"/>
      <c r="W18" s="60" t="s">
        <v>1334</v>
      </c>
      <c r="X18" s="69">
        <v>3</v>
      </c>
      <c r="Y18" s="69">
        <v>50</v>
      </c>
      <c r="Z18" s="65">
        <f>40/50</f>
        <v>0.8</v>
      </c>
      <c r="AA18" s="122">
        <v>110.7</v>
      </c>
      <c r="AB18" s="122">
        <v>102.7</v>
      </c>
      <c r="AC18" s="122">
        <f t="shared" si="3"/>
        <v>8</v>
      </c>
      <c r="AD18" s="122">
        <v>16.7</v>
      </c>
      <c r="AE18" s="122">
        <v>11.2</v>
      </c>
      <c r="AF18" s="65">
        <v>0.61299999999999999</v>
      </c>
      <c r="AG18" s="122">
        <v>15.7</v>
      </c>
      <c r="AH18" s="122">
        <v>0.8</v>
      </c>
      <c r="AI18" s="122">
        <v>1.4</v>
      </c>
      <c r="AJ18" s="65">
        <v>0.125</v>
      </c>
      <c r="AK18" s="122">
        <v>-0.5</v>
      </c>
      <c r="AL18" s="122">
        <v>0.7</v>
      </c>
      <c r="AM18" s="122">
        <v>0.5</v>
      </c>
      <c r="AN18" s="122">
        <v>7.3</v>
      </c>
    </row>
    <row r="19" spans="1:40" x14ac:dyDescent="0.2">
      <c r="A19" s="3">
        <v>20</v>
      </c>
      <c r="B19" s="3" t="s">
        <v>104</v>
      </c>
      <c r="C19" s="60" t="s">
        <v>236</v>
      </c>
      <c r="D19" s="145">
        <v>68</v>
      </c>
      <c r="E19" s="145">
        <v>73</v>
      </c>
      <c r="F19" s="146">
        <v>237</v>
      </c>
      <c r="G19" s="4">
        <v>31582</v>
      </c>
      <c r="H19" s="122">
        <f t="shared" ca="1" si="2"/>
        <v>34.299999999999997</v>
      </c>
      <c r="I19" s="60" t="s">
        <v>281</v>
      </c>
      <c r="J19" s="3">
        <v>16</v>
      </c>
      <c r="K19" s="110">
        <v>2005</v>
      </c>
      <c r="L19" s="110">
        <v>2</v>
      </c>
      <c r="M19" s="3" t="s">
        <v>1341</v>
      </c>
      <c r="N19" s="3"/>
      <c r="P19" s="14">
        <v>1620564</v>
      </c>
      <c r="Q19" s="12"/>
      <c r="R19" s="54"/>
      <c r="S19" s="54"/>
      <c r="T19" s="54"/>
      <c r="W19" s="60" t="s">
        <v>1342</v>
      </c>
      <c r="X19" s="69">
        <v>4</v>
      </c>
      <c r="Y19" s="69">
        <v>11</v>
      </c>
      <c r="Z19" s="65">
        <f>7/11</f>
        <v>0.63636363636363635</v>
      </c>
      <c r="AA19" s="122">
        <v>110.9</v>
      </c>
      <c r="AB19" s="122">
        <v>104.4</v>
      </c>
      <c r="AC19" s="122">
        <f t="shared" si="3"/>
        <v>6.5</v>
      </c>
      <c r="AD19" s="122">
        <v>18.5</v>
      </c>
      <c r="AE19" s="122">
        <v>9.6999999999999993</v>
      </c>
      <c r="AF19" s="65">
        <v>0.54</v>
      </c>
      <c r="AG19" s="122">
        <v>8.9</v>
      </c>
      <c r="AH19" s="122">
        <v>0.2</v>
      </c>
      <c r="AI19" s="122">
        <v>0.4</v>
      </c>
      <c r="AJ19" s="65">
        <v>0.14799999999999999</v>
      </c>
      <c r="AK19" s="122">
        <v>-2</v>
      </c>
      <c r="AL19" s="122">
        <v>3.4</v>
      </c>
      <c r="AM19" s="122">
        <v>0.2</v>
      </c>
      <c r="AN19" s="122">
        <v>6.9</v>
      </c>
    </row>
    <row r="20" spans="1:40" x14ac:dyDescent="0.2">
      <c r="A20" s="3">
        <v>15</v>
      </c>
      <c r="B20" s="3" t="s">
        <v>1343</v>
      </c>
      <c r="C20" s="60" t="s">
        <v>250</v>
      </c>
      <c r="D20" s="145">
        <v>511</v>
      </c>
      <c r="E20" s="145">
        <v>63</v>
      </c>
      <c r="F20" s="146">
        <v>190</v>
      </c>
      <c r="G20" s="4">
        <v>34427</v>
      </c>
      <c r="H20" s="122">
        <f t="shared" ca="1" si="2"/>
        <v>26.5</v>
      </c>
      <c r="I20" s="60" t="s">
        <v>524</v>
      </c>
      <c r="J20" s="3">
        <v>4</v>
      </c>
      <c r="K20" s="110">
        <v>2017</v>
      </c>
      <c r="L20" s="110">
        <v>34</v>
      </c>
      <c r="M20" s="3" t="s">
        <v>1344</v>
      </c>
      <c r="N20" s="3"/>
      <c r="P20" s="34"/>
      <c r="Q20" s="12"/>
      <c r="R20" s="54"/>
      <c r="S20" s="54"/>
      <c r="T20" s="54"/>
      <c r="W20" s="60" t="s">
        <v>291</v>
      </c>
      <c r="X20" s="69">
        <v>1</v>
      </c>
      <c r="Y20" s="69">
        <v>6</v>
      </c>
      <c r="Z20" s="65">
        <f>5/6</f>
        <v>0.83333333333333337</v>
      </c>
      <c r="AA20" s="122">
        <v>88</v>
      </c>
      <c r="AB20" s="122">
        <v>97.4</v>
      </c>
      <c r="AC20" s="122">
        <f t="shared" si="3"/>
        <v>-9.4000000000000057</v>
      </c>
      <c r="AD20" s="122">
        <v>8.8000000000000007</v>
      </c>
      <c r="AE20" s="122">
        <v>4.2</v>
      </c>
      <c r="AF20" s="65">
        <v>0.33700000000000002</v>
      </c>
      <c r="AG20" s="122">
        <v>20.8</v>
      </c>
      <c r="AH20" s="122">
        <v>-0.2</v>
      </c>
      <c r="AI20" s="122">
        <v>0.1</v>
      </c>
      <c r="AJ20" s="65">
        <v>-0.06</v>
      </c>
      <c r="AK20" s="122">
        <v>-7.5</v>
      </c>
      <c r="AL20" s="122">
        <v>-0.9</v>
      </c>
      <c r="AM20" s="122">
        <v>-0.1</v>
      </c>
      <c r="AN20" s="122">
        <v>3.9</v>
      </c>
    </row>
    <row r="21" spans="1:40" x14ac:dyDescent="0.2">
      <c r="A21" s="3">
        <v>13</v>
      </c>
      <c r="B21" s="3" t="s">
        <v>1345</v>
      </c>
      <c r="C21" s="60" t="s">
        <v>255</v>
      </c>
      <c r="D21" s="145">
        <v>67</v>
      </c>
      <c r="E21" s="145"/>
      <c r="F21" s="146">
        <v>225</v>
      </c>
      <c r="G21" s="4">
        <v>34737</v>
      </c>
      <c r="H21" s="122">
        <f t="shared" ca="1" si="2"/>
        <v>25.7</v>
      </c>
      <c r="I21" s="60" t="s">
        <v>1346</v>
      </c>
      <c r="J21" s="3">
        <v>3</v>
      </c>
      <c r="K21" s="110">
        <v>2018</v>
      </c>
      <c r="L21" s="110"/>
      <c r="M21" s="3" t="s">
        <v>597</v>
      </c>
      <c r="N21" s="3"/>
      <c r="P21" s="34"/>
      <c r="Q21" s="12"/>
      <c r="R21" s="54"/>
      <c r="S21" s="54"/>
      <c r="T21" s="54"/>
      <c r="X21" s="69"/>
      <c r="Y21" s="69"/>
      <c r="Z21" s="65"/>
      <c r="AA21" s="122"/>
      <c r="AB21" s="122"/>
      <c r="AC21" s="122"/>
      <c r="AD21" s="122"/>
      <c r="AE21" s="122"/>
      <c r="AF21" s="65"/>
      <c r="AG21" s="122"/>
      <c r="AH21" s="122"/>
      <c r="AI21" s="122"/>
      <c r="AJ21" s="65"/>
      <c r="AK21" s="122"/>
      <c r="AL21" s="122"/>
      <c r="AM21" s="122"/>
      <c r="AN21" s="122"/>
    </row>
    <row r="22" spans="1:40" x14ac:dyDescent="0.2">
      <c r="B22" s="5"/>
      <c r="G22" s="3"/>
      <c r="P22" s="11"/>
      <c r="Q22" s="11"/>
      <c r="R22" s="16"/>
      <c r="S22" s="16"/>
      <c r="T22" s="16"/>
      <c r="X22" s="69"/>
      <c r="Y22" s="69"/>
      <c r="Z22" s="65"/>
      <c r="AF22" s="65"/>
      <c r="AJ22" s="65"/>
    </row>
    <row r="23" spans="1:40" x14ac:dyDescent="0.2">
      <c r="G23" s="4">
        <f ca="1">TODAY()</f>
        <v>44128</v>
      </c>
      <c r="H23" s="63">
        <f ca="1">AVERAGE(H2:H12)</f>
        <v>29.918181818181814</v>
      </c>
      <c r="J23" s="63">
        <f>AVERAGE(J2:J12)</f>
        <v>9.2727272727272734</v>
      </c>
      <c r="P23" s="11"/>
      <c r="Q23" s="11"/>
      <c r="R23" s="12"/>
      <c r="S23" s="12"/>
      <c r="T23" s="12"/>
      <c r="X23" s="69"/>
      <c r="Y23" s="69"/>
      <c r="Z23" s="65"/>
      <c r="AF23" s="65"/>
      <c r="AJ23" s="65"/>
    </row>
    <row r="24" spans="1:40" x14ac:dyDescent="0.2">
      <c r="H24" s="63">
        <f ca="1">MEDIAN(H2:H12)</f>
        <v>30.8</v>
      </c>
      <c r="J24" s="69">
        <f>MEDIAN(J2:J12)</f>
        <v>11</v>
      </c>
      <c r="P24" s="11"/>
      <c r="Q24" s="3"/>
      <c r="R24" s="12"/>
      <c r="S24" s="12"/>
      <c r="T24" s="12"/>
      <c r="X24" s="69"/>
      <c r="Y24" s="69"/>
      <c r="Z24" s="65"/>
      <c r="AF24" s="65"/>
      <c r="AJ24" s="65"/>
    </row>
    <row r="25" spans="1:40" x14ac:dyDescent="0.2">
      <c r="B25" s="209" t="s">
        <v>2224</v>
      </c>
      <c r="P25" s="160">
        <f>P2+P3+P4+P5+P6+P9+P10+P12+P13+P14</f>
        <v>116265496</v>
      </c>
      <c r="X25" s="69"/>
      <c r="Y25" s="69"/>
      <c r="Z25" s="65"/>
      <c r="AF25" s="65"/>
      <c r="AJ25" s="65"/>
    </row>
    <row r="26" spans="1:40" x14ac:dyDescent="0.2">
      <c r="B26" s="3" t="s">
        <v>2085</v>
      </c>
      <c r="C26" s="60">
        <v>8</v>
      </c>
      <c r="I26" s="209"/>
      <c r="P26" s="124">
        <f>P2+P3+P4+P5+P6+P8+P9+P10+P11+P12+P13+P14</f>
        <v>123963837</v>
      </c>
      <c r="Z26" s="65"/>
      <c r="AJ26" s="65"/>
    </row>
    <row r="27" spans="1:40" x14ac:dyDescent="0.2">
      <c r="B27" s="3" t="s">
        <v>2088</v>
      </c>
      <c r="C27" s="60">
        <v>3</v>
      </c>
      <c r="I27" s="3"/>
      <c r="P27" s="64">
        <f>P2+P3+P4+P5+P6+P7+P8+P9+P10+P11+P12+P13+P14</f>
        <v>130963837</v>
      </c>
      <c r="AJ27" s="65"/>
    </row>
    <row r="28" spans="1:40" x14ac:dyDescent="0.2">
      <c r="B28" s="3" t="s">
        <v>2086</v>
      </c>
      <c r="C28" s="60">
        <v>1</v>
      </c>
      <c r="G28" s="3"/>
      <c r="I28" s="3"/>
      <c r="AJ28" s="65"/>
    </row>
    <row r="29" spans="1:40" x14ac:dyDescent="0.2">
      <c r="B29" s="3" t="s">
        <v>2219</v>
      </c>
      <c r="C29" s="60" t="s">
        <v>2271</v>
      </c>
      <c r="G29" s="3"/>
      <c r="I29" s="3"/>
      <c r="O29" s="60" t="s">
        <v>300</v>
      </c>
      <c r="P29" s="11">
        <v>109140000</v>
      </c>
    </row>
    <row r="30" spans="1:40" x14ac:dyDescent="0.2">
      <c r="B30" s="3" t="s">
        <v>301</v>
      </c>
      <c r="C30" s="47">
        <v>0</v>
      </c>
      <c r="G30" s="3"/>
      <c r="I30" s="3"/>
      <c r="O30" s="60" t="s">
        <v>302</v>
      </c>
      <c r="P30" s="11">
        <v>132627000</v>
      </c>
    </row>
    <row r="31" spans="1:40" x14ac:dyDescent="0.2">
      <c r="B31" s="3" t="s">
        <v>303</v>
      </c>
      <c r="C31" s="47">
        <v>0</v>
      </c>
      <c r="G31" s="3"/>
      <c r="I31" s="3"/>
      <c r="J31" s="47"/>
    </row>
    <row r="32" spans="1:40" x14ac:dyDescent="0.2">
      <c r="B32" s="100"/>
      <c r="G32" s="3"/>
      <c r="I32" s="3"/>
      <c r="J32" s="47"/>
    </row>
    <row r="33" spans="2:9" x14ac:dyDescent="0.2">
      <c r="B33" s="208" t="s">
        <v>2084</v>
      </c>
      <c r="I33" s="100"/>
    </row>
    <row r="34" spans="2:9" x14ac:dyDescent="0.2">
      <c r="B34" s="100" t="s">
        <v>304</v>
      </c>
      <c r="C34" s="65">
        <f>56/(56+17)</f>
        <v>0.76712328767123283</v>
      </c>
      <c r="D34" s="60" t="s">
        <v>337</v>
      </c>
      <c r="I34" s="208"/>
    </row>
    <row r="35" spans="2:9" x14ac:dyDescent="0.2">
      <c r="B35" s="100" t="s">
        <v>306</v>
      </c>
      <c r="C35" s="60">
        <v>111.9</v>
      </c>
      <c r="D35" s="60" t="s">
        <v>2268</v>
      </c>
      <c r="I35" s="100"/>
    </row>
    <row r="36" spans="2:9" x14ac:dyDescent="0.2">
      <c r="B36" s="100" t="s">
        <v>307</v>
      </c>
      <c r="C36" s="60">
        <v>102.5</v>
      </c>
      <c r="D36" s="60" t="s">
        <v>2215</v>
      </c>
      <c r="I36" s="100"/>
    </row>
    <row r="37" spans="2:9" x14ac:dyDescent="0.2">
      <c r="B37" s="100" t="s">
        <v>308</v>
      </c>
      <c r="C37" s="60">
        <f>C35-C36</f>
        <v>9.4000000000000057</v>
      </c>
      <c r="D37" s="60" t="s">
        <v>2215</v>
      </c>
      <c r="I37" s="100"/>
    </row>
    <row r="38" spans="2:9" x14ac:dyDescent="0.2">
      <c r="B38" s="100" t="s">
        <v>309</v>
      </c>
      <c r="C38" s="60">
        <v>105.51</v>
      </c>
      <c r="D38" s="60" t="s">
        <v>2215</v>
      </c>
      <c r="I38" s="100"/>
    </row>
    <row r="39" spans="2:9" x14ac:dyDescent="0.2">
      <c r="B39" s="100"/>
      <c r="I39" s="100"/>
    </row>
    <row r="40" spans="2:9" x14ac:dyDescent="0.2">
      <c r="B40" s="100" t="s">
        <v>310</v>
      </c>
      <c r="I40" s="100"/>
    </row>
    <row r="41" spans="2:9" x14ac:dyDescent="0.2">
      <c r="B41" s="3" t="s">
        <v>1348</v>
      </c>
    </row>
    <row r="42" spans="2:9" x14ac:dyDescent="0.2">
      <c r="B42" s="3" t="s">
        <v>1349</v>
      </c>
    </row>
    <row r="43" spans="2:9" x14ac:dyDescent="0.2">
      <c r="B43" s="12"/>
    </row>
    <row r="44" spans="2:9" x14ac:dyDescent="0.2">
      <c r="B44" s="3" t="s">
        <v>318</v>
      </c>
    </row>
    <row r="45" spans="2:9" x14ac:dyDescent="0.2">
      <c r="B45" s="3" t="s">
        <v>1350</v>
      </c>
    </row>
    <row r="46" spans="2:9" x14ac:dyDescent="0.2">
      <c r="B46" s="3" t="s">
        <v>2340</v>
      </c>
    </row>
    <row r="47" spans="2:9" x14ac:dyDescent="0.2">
      <c r="B47" s="3"/>
    </row>
    <row r="48" spans="2:9" x14ac:dyDescent="0.2">
      <c r="B48" s="71" t="s">
        <v>2339</v>
      </c>
    </row>
    <row r="49" spans="2:10" x14ac:dyDescent="0.2">
      <c r="B49" s="39" t="s">
        <v>322</v>
      </c>
      <c r="C49" s="60">
        <v>56</v>
      </c>
      <c r="D49" s="60">
        <v>17</v>
      </c>
      <c r="E49" s="60" t="s">
        <v>337</v>
      </c>
      <c r="G49" s="60" t="s">
        <v>1347</v>
      </c>
      <c r="J49" s="60" t="s">
        <v>2374</v>
      </c>
    </row>
    <row r="50" spans="2:10" x14ac:dyDescent="0.2">
      <c r="B50" s="39" t="s">
        <v>325</v>
      </c>
      <c r="C50" s="60">
        <v>60</v>
      </c>
      <c r="D50" s="60">
        <v>22</v>
      </c>
      <c r="E50" s="60" t="s">
        <v>337</v>
      </c>
      <c r="G50" s="60" t="s">
        <v>1347</v>
      </c>
      <c r="J50" s="60" t="s">
        <v>1351</v>
      </c>
    </row>
    <row r="51" spans="2:10" x14ac:dyDescent="0.2">
      <c r="B51" s="39" t="s">
        <v>327</v>
      </c>
      <c r="C51" s="60">
        <v>44</v>
      </c>
      <c r="D51" s="60">
        <v>38</v>
      </c>
      <c r="E51" s="60" t="s">
        <v>418</v>
      </c>
      <c r="G51" s="60" t="s">
        <v>1352</v>
      </c>
      <c r="J51" s="60" t="s">
        <v>1353</v>
      </c>
    </row>
    <row r="52" spans="2:10" x14ac:dyDescent="0.2">
      <c r="B52" s="39" t="s">
        <v>330</v>
      </c>
      <c r="C52" s="60">
        <v>42</v>
      </c>
      <c r="D52" s="60">
        <v>40</v>
      </c>
      <c r="E52" s="60" t="s">
        <v>343</v>
      </c>
      <c r="G52" s="60" t="s">
        <v>488</v>
      </c>
      <c r="J52" s="60" t="s">
        <v>1354</v>
      </c>
    </row>
    <row r="53" spans="2:10" x14ac:dyDescent="0.2">
      <c r="B53" s="39" t="s">
        <v>333</v>
      </c>
      <c r="C53" s="60">
        <v>33</v>
      </c>
      <c r="D53" s="60">
        <v>49</v>
      </c>
      <c r="E53" s="60" t="s">
        <v>326</v>
      </c>
      <c r="G53" s="60" t="s">
        <v>488</v>
      </c>
      <c r="J53" s="148" t="s">
        <v>324</v>
      </c>
    </row>
    <row r="54" spans="2:10" x14ac:dyDescent="0.2">
      <c r="B54" s="39" t="s">
        <v>336</v>
      </c>
      <c r="C54" s="60">
        <v>41</v>
      </c>
      <c r="D54" s="60">
        <v>41</v>
      </c>
      <c r="E54" s="60" t="s">
        <v>343</v>
      </c>
      <c r="G54" s="60" t="s">
        <v>488</v>
      </c>
      <c r="J54" s="60" t="s">
        <v>1355</v>
      </c>
    </row>
    <row r="55" spans="2:10" x14ac:dyDescent="0.2">
      <c r="B55" s="39" t="s">
        <v>339</v>
      </c>
      <c r="C55" s="60">
        <v>15</v>
      </c>
      <c r="D55" s="60">
        <v>67</v>
      </c>
      <c r="E55" s="60" t="s">
        <v>328</v>
      </c>
      <c r="G55" s="60" t="s">
        <v>344</v>
      </c>
      <c r="J55" s="148" t="s">
        <v>324</v>
      </c>
    </row>
    <row r="56" spans="2:10" x14ac:dyDescent="0.2">
      <c r="B56" s="39" t="s">
        <v>342</v>
      </c>
      <c r="C56" s="60">
        <v>38</v>
      </c>
      <c r="D56" s="60">
        <v>44</v>
      </c>
      <c r="E56" s="60" t="s">
        <v>340</v>
      </c>
      <c r="G56" s="60" t="s">
        <v>1356</v>
      </c>
      <c r="J56" s="60" t="s">
        <v>554</v>
      </c>
    </row>
    <row r="57" spans="2:10" x14ac:dyDescent="0.2">
      <c r="B57" s="39" t="s">
        <v>346</v>
      </c>
      <c r="C57" s="60">
        <v>31</v>
      </c>
      <c r="D57" s="60">
        <v>35</v>
      </c>
      <c r="E57" s="60" t="s">
        <v>550</v>
      </c>
      <c r="G57" s="60" t="s">
        <v>1357</v>
      </c>
      <c r="J57" s="148" t="s">
        <v>324</v>
      </c>
    </row>
    <row r="58" spans="2:10" x14ac:dyDescent="0.2">
      <c r="B58" s="39" t="s">
        <v>348</v>
      </c>
      <c r="C58" s="60">
        <v>35</v>
      </c>
      <c r="D58" s="60">
        <v>47</v>
      </c>
      <c r="E58" s="60" t="s">
        <v>550</v>
      </c>
      <c r="G58" s="60" t="s">
        <v>1357</v>
      </c>
      <c r="J58" s="148" t="s">
        <v>324</v>
      </c>
    </row>
    <row r="59" spans="2:10" x14ac:dyDescent="0.2">
      <c r="B59" s="60" t="s">
        <v>350</v>
      </c>
      <c r="C59" s="60">
        <f>SUM(C49:C58)</f>
        <v>395</v>
      </c>
      <c r="D59" s="60">
        <f>SUM(D49:D58)</f>
        <v>400</v>
      </c>
      <c r="E59" s="65">
        <f>C59/(C59+D59)</f>
        <v>0.49685534591194969</v>
      </c>
    </row>
  </sheetData>
  <hyperlinks>
    <hyperlink ref="B49" r:id="rId1" xr:uid="{3CF0AFA3-74E3-644D-90D6-FBFCAB3F2329}"/>
    <hyperlink ref="B50" r:id="rId2" xr:uid="{66C5B698-9830-1C4F-B7CB-C1719E3603A1}"/>
    <hyperlink ref="B51" r:id="rId3" xr:uid="{E052AC5B-EA6A-0448-8044-1FA8BD24B3C0}"/>
    <hyperlink ref="B52" r:id="rId4" xr:uid="{3D95FCF4-EBA4-0247-946B-5E496F4EF891}"/>
    <hyperlink ref="B53" r:id="rId5" xr:uid="{4DC9B6CD-1774-6F4F-863C-850AA748A699}"/>
    <hyperlink ref="B54" r:id="rId6" xr:uid="{5CCB78E3-DA25-774C-B777-9D4A6A3BE7A6}"/>
    <hyperlink ref="B55" r:id="rId7" xr:uid="{6A548799-DC0C-C34E-B51C-FF757C2002FF}"/>
    <hyperlink ref="B56" r:id="rId8" xr:uid="{D660E22C-3541-B84A-8BE8-1146C65621B6}"/>
    <hyperlink ref="B57" r:id="rId9" xr:uid="{1FEF4C8F-6A22-9142-9C06-7E7FAE2F35FF}"/>
    <hyperlink ref="B58" r:id="rId10" xr:uid="{AD77AE40-3EC6-2842-B322-A7F745AA227C}"/>
  </hyperlinks>
  <pageMargins left="0.7" right="0.7" top="0.75" bottom="0.75" header="0.3" footer="0.3"/>
  <legacyDrawing r:id="rId1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69F11-F920-3449-A7C2-589089DA7092}">
  <dimension ref="A1:BO60"/>
  <sheetViews>
    <sheetView zoomScaleNormal="100" workbookViewId="0">
      <selection sqref="A1:AR1"/>
    </sheetView>
  </sheetViews>
  <sheetFormatPr baseColWidth="10" defaultColWidth="10.83203125" defaultRowHeight="16" x14ac:dyDescent="0.2"/>
  <cols>
    <col min="1" max="1" width="3.83203125" style="60" customWidth="1"/>
    <col min="2" max="2" width="18.6640625" style="60" customWidth="1"/>
    <col min="3" max="3" width="12.33203125" style="60" customWidth="1"/>
    <col min="4" max="4" width="7.6640625" style="60" customWidth="1"/>
    <col min="5" max="5" width="10.83203125" style="60"/>
    <col min="6" max="6" width="8.1640625" style="60" customWidth="1"/>
    <col min="7" max="7" width="11.1640625" style="60" customWidth="1"/>
    <col min="8" max="8" width="6.1640625" style="60" customWidth="1"/>
    <col min="9" max="9" width="26" style="60" customWidth="1"/>
    <col min="10" max="10" width="10.6640625" style="60" customWidth="1"/>
    <col min="11" max="11" width="12.1640625" style="60" customWidth="1"/>
    <col min="12" max="12" width="5" style="60" customWidth="1"/>
    <col min="13" max="13" width="24.5" style="60" customWidth="1"/>
    <col min="14" max="14" width="21.33203125" style="60" customWidth="1"/>
    <col min="15" max="15" width="47.33203125" style="60" customWidth="1"/>
    <col min="16" max="16" width="14" style="60" customWidth="1"/>
    <col min="17" max="17" width="12.6640625" style="60" customWidth="1"/>
    <col min="18" max="18" width="13.33203125" style="60" customWidth="1"/>
    <col min="19" max="19" width="12.6640625" style="60" customWidth="1"/>
    <col min="20" max="20" width="13" style="60" customWidth="1"/>
    <col min="21" max="21" width="10.33203125" style="60" customWidth="1"/>
    <col min="22" max="22" width="18.83203125" style="60" customWidth="1"/>
    <col min="23" max="23" width="21.5" style="60" customWidth="1"/>
    <col min="24" max="24" width="9.83203125" style="60" customWidth="1"/>
    <col min="25" max="25" width="3.83203125" style="60" customWidth="1"/>
    <col min="26" max="26" width="7.83203125" style="60" customWidth="1"/>
    <col min="27" max="27" width="6.1640625" style="60" customWidth="1"/>
    <col min="28" max="28" width="5.6640625" style="60" customWidth="1"/>
    <col min="29" max="29" width="8" style="60" customWidth="1"/>
    <col min="30" max="30" width="5.1640625" style="60" customWidth="1"/>
    <col min="31" max="31" width="4.6640625" style="60" customWidth="1"/>
    <col min="32" max="32" width="5.83203125" style="60" customWidth="1"/>
    <col min="33" max="33" width="7.6640625" style="60" customWidth="1"/>
    <col min="34" max="34" width="5.5" style="60" customWidth="1"/>
    <col min="35" max="35" width="5.33203125" style="60" customWidth="1"/>
    <col min="36" max="36" width="6.83203125" style="60" customWidth="1"/>
    <col min="37" max="37" width="6.5" style="60" customWidth="1"/>
    <col min="38" max="38" width="6.1640625" style="60" customWidth="1"/>
    <col min="39" max="39" width="5.83203125" style="60" customWidth="1"/>
    <col min="40" max="40" width="4.83203125" style="60" customWidth="1"/>
    <col min="41" max="16384" width="10.83203125" style="60"/>
  </cols>
  <sheetData>
    <row r="1" spans="1:67" x14ac:dyDescent="0.2">
      <c r="A1" s="223" t="s">
        <v>2394</v>
      </c>
      <c r="B1" s="223" t="s">
        <v>2395</v>
      </c>
      <c r="C1" s="223" t="s">
        <v>2396</v>
      </c>
      <c r="D1" s="223" t="s">
        <v>2397</v>
      </c>
      <c r="E1" s="223" t="s">
        <v>2398</v>
      </c>
      <c r="F1" s="223" t="s">
        <v>2399</v>
      </c>
      <c r="G1" s="223" t="s">
        <v>2400</v>
      </c>
      <c r="H1" s="223" t="s">
        <v>2401</v>
      </c>
      <c r="I1" s="223" t="s">
        <v>2402</v>
      </c>
      <c r="J1" s="223" t="s">
        <v>2403</v>
      </c>
      <c r="K1" s="223" t="s">
        <v>2404</v>
      </c>
      <c r="L1" s="223" t="s">
        <v>2405</v>
      </c>
      <c r="M1" s="223" t="s">
        <v>2406</v>
      </c>
      <c r="N1" s="223" t="s">
        <v>2407</v>
      </c>
      <c r="O1" s="223" t="s">
        <v>2408</v>
      </c>
      <c r="P1" s="223" t="s">
        <v>2409</v>
      </c>
      <c r="Q1" s="223" t="s">
        <v>2410</v>
      </c>
      <c r="R1" s="223" t="s">
        <v>2411</v>
      </c>
      <c r="S1" s="223" t="s">
        <v>2412</v>
      </c>
      <c r="T1" s="223" t="s">
        <v>2413</v>
      </c>
      <c r="U1" s="223" t="s">
        <v>2414</v>
      </c>
      <c r="V1" s="223" t="s">
        <v>2415</v>
      </c>
      <c r="W1" s="223" t="s">
        <v>2416</v>
      </c>
      <c r="X1" s="223" t="s">
        <v>2433</v>
      </c>
      <c r="Y1" s="223" t="s">
        <v>2417</v>
      </c>
      <c r="Z1" s="223" t="s">
        <v>2418</v>
      </c>
      <c r="AA1" s="223" t="s">
        <v>2419</v>
      </c>
      <c r="AB1" s="223" t="s">
        <v>2420</v>
      </c>
      <c r="AC1" s="223" t="s">
        <v>2421</v>
      </c>
      <c r="AD1" s="223" t="s">
        <v>2422</v>
      </c>
      <c r="AE1" s="223" t="s">
        <v>2423</v>
      </c>
      <c r="AF1" s="223" t="s">
        <v>2424</v>
      </c>
      <c r="AG1" s="223" t="s">
        <v>2425</v>
      </c>
      <c r="AH1" s="223" t="s">
        <v>2426</v>
      </c>
      <c r="AI1" s="223" t="s">
        <v>2427</v>
      </c>
      <c r="AJ1" s="223" t="s">
        <v>2428</v>
      </c>
      <c r="AK1" s="223" t="s">
        <v>2429</v>
      </c>
      <c r="AL1" s="223" t="s">
        <v>2430</v>
      </c>
      <c r="AM1" s="223" t="s">
        <v>2431</v>
      </c>
      <c r="AN1" s="223" t="s">
        <v>2432</v>
      </c>
      <c r="AO1" s="224"/>
      <c r="AP1" s="225"/>
      <c r="AQ1" s="6"/>
      <c r="AR1" s="6"/>
    </row>
    <row r="2" spans="1:67" x14ac:dyDescent="0.2">
      <c r="A2" s="3">
        <v>32</v>
      </c>
      <c r="B2" s="3" t="s">
        <v>1358</v>
      </c>
      <c r="C2" s="3" t="s">
        <v>236</v>
      </c>
      <c r="D2" s="145">
        <v>611</v>
      </c>
      <c r="E2" s="145">
        <v>74</v>
      </c>
      <c r="F2" s="146">
        <v>248</v>
      </c>
      <c r="G2" s="4">
        <v>35018</v>
      </c>
      <c r="H2" s="122">
        <f ca="1">ROUNDDOWN(YEARFRAC($G$24,G2),1)</f>
        <v>24.9</v>
      </c>
      <c r="I2" s="60" t="s">
        <v>270</v>
      </c>
      <c r="J2" s="3">
        <v>6</v>
      </c>
      <c r="K2" s="110">
        <v>2015</v>
      </c>
      <c r="L2" s="110">
        <v>1</v>
      </c>
      <c r="M2" s="3" t="s">
        <v>1359</v>
      </c>
      <c r="N2" s="3" t="s">
        <v>1</v>
      </c>
      <c r="O2" s="60" t="s">
        <v>2318</v>
      </c>
      <c r="P2" s="11">
        <v>29467800</v>
      </c>
      <c r="Q2" s="11">
        <v>31650600</v>
      </c>
      <c r="R2" s="11">
        <v>33833400</v>
      </c>
      <c r="S2" s="11">
        <v>36016200</v>
      </c>
      <c r="T2" s="14">
        <v>43411200</v>
      </c>
      <c r="V2" s="60" t="s">
        <v>2348</v>
      </c>
      <c r="W2" s="98" t="s">
        <v>240</v>
      </c>
      <c r="X2" s="69">
        <v>5</v>
      </c>
      <c r="Y2" s="69">
        <v>35</v>
      </c>
      <c r="Z2" s="65">
        <f>10/35</f>
        <v>0.2857142857142857</v>
      </c>
      <c r="AA2" s="122">
        <v>113.9</v>
      </c>
      <c r="AB2" s="122">
        <v>115.4</v>
      </c>
      <c r="AC2" s="122">
        <f t="shared" ref="AC2:AC12" si="0">AA2-AB2</f>
        <v>-1.5</v>
      </c>
      <c r="AD2" s="122">
        <v>33.9</v>
      </c>
      <c r="AE2" s="122">
        <v>26.5</v>
      </c>
      <c r="AF2" s="65">
        <v>0.64200000000000002</v>
      </c>
      <c r="AG2" s="122">
        <v>28.8</v>
      </c>
      <c r="AH2" s="122">
        <v>3.8</v>
      </c>
      <c r="AI2" s="122">
        <v>1.3</v>
      </c>
      <c r="AJ2" s="65">
        <v>0.20499999999999999</v>
      </c>
      <c r="AK2" s="122">
        <v>7</v>
      </c>
      <c r="AL2" s="122">
        <v>0.8</v>
      </c>
      <c r="AM2" s="122">
        <v>2.9</v>
      </c>
      <c r="AN2" s="122">
        <v>16.8</v>
      </c>
    </row>
    <row r="3" spans="1:67" x14ac:dyDescent="0.2">
      <c r="A3" s="3">
        <v>0</v>
      </c>
      <c r="B3" s="3" t="s">
        <v>1360</v>
      </c>
      <c r="C3" s="3" t="s">
        <v>232</v>
      </c>
      <c r="D3" s="145">
        <v>64</v>
      </c>
      <c r="E3" s="145">
        <v>610</v>
      </c>
      <c r="F3" s="146">
        <v>193</v>
      </c>
      <c r="G3" s="4">
        <v>35118</v>
      </c>
      <c r="H3" s="122">
        <f t="shared" ref="H3:H12" ca="1" si="1">ROUNDDOWN(YEARFRAC($G$24,G3),1)</f>
        <v>24.6</v>
      </c>
      <c r="I3" s="60" t="s">
        <v>798</v>
      </c>
      <c r="J3" s="3">
        <v>6</v>
      </c>
      <c r="K3" s="110">
        <v>2015</v>
      </c>
      <c r="L3" s="110">
        <v>2</v>
      </c>
      <c r="M3" s="3" t="s">
        <v>1361</v>
      </c>
      <c r="N3" s="3" t="s">
        <v>1362</v>
      </c>
      <c r="O3" s="60" t="s">
        <v>2319</v>
      </c>
      <c r="P3" s="11">
        <v>28649250</v>
      </c>
      <c r="Q3" s="11">
        <v>30013500</v>
      </c>
      <c r="R3" s="11">
        <v>31377750</v>
      </c>
      <c r="S3" s="14">
        <v>41343750</v>
      </c>
      <c r="W3" s="60" t="s">
        <v>1363</v>
      </c>
      <c r="X3" s="69">
        <v>1</v>
      </c>
      <c r="Y3" s="69">
        <v>12</v>
      </c>
      <c r="Z3" s="65">
        <f>3/12</f>
        <v>0.25</v>
      </c>
      <c r="AA3" s="122">
        <v>112.3</v>
      </c>
      <c r="AB3" s="122">
        <v>114.6</v>
      </c>
      <c r="AC3" s="122">
        <f t="shared" si="0"/>
        <v>-2.2999999999999972</v>
      </c>
      <c r="AD3" s="122">
        <v>32.6</v>
      </c>
      <c r="AE3" s="122">
        <v>17.600000000000001</v>
      </c>
      <c r="AF3" s="65">
        <v>0.55300000000000005</v>
      </c>
      <c r="AG3" s="122">
        <v>29.5</v>
      </c>
      <c r="AH3" s="122">
        <v>0.2</v>
      </c>
      <c r="AI3" s="122">
        <v>0.3</v>
      </c>
      <c r="AJ3" s="65">
        <v>6.4000000000000001E-2</v>
      </c>
      <c r="AK3" s="122">
        <v>1.8</v>
      </c>
      <c r="AL3" s="122">
        <v>-1.7</v>
      </c>
      <c r="AM3" s="122">
        <v>0.2</v>
      </c>
      <c r="AN3" s="122">
        <v>11.9</v>
      </c>
    </row>
    <row r="4" spans="1:67" x14ac:dyDescent="0.2">
      <c r="A4" s="3">
        <v>16</v>
      </c>
      <c r="B4" s="3" t="s">
        <v>106</v>
      </c>
      <c r="C4" s="3" t="s">
        <v>236</v>
      </c>
      <c r="D4" s="145">
        <v>67</v>
      </c>
      <c r="E4" s="145">
        <v>71</v>
      </c>
      <c r="F4" s="146">
        <v>240</v>
      </c>
      <c r="G4" s="4">
        <v>31828</v>
      </c>
      <c r="H4" s="122">
        <f t="shared" ca="1" si="1"/>
        <v>33.6</v>
      </c>
      <c r="I4" s="60" t="s">
        <v>233</v>
      </c>
      <c r="J4" s="3">
        <v>12</v>
      </c>
      <c r="K4" s="110">
        <v>2009</v>
      </c>
      <c r="L4" s="110">
        <v>16</v>
      </c>
      <c r="M4" s="3" t="s">
        <v>1188</v>
      </c>
      <c r="N4" s="3" t="s">
        <v>1366</v>
      </c>
      <c r="O4" s="215" t="s">
        <v>1367</v>
      </c>
      <c r="P4" s="48">
        <v>16047100</v>
      </c>
      <c r="Q4" s="150">
        <f>P4*1.5</f>
        <v>24070650</v>
      </c>
      <c r="W4" s="60" t="s">
        <v>1368</v>
      </c>
      <c r="X4" s="69">
        <v>4</v>
      </c>
      <c r="Y4" s="69">
        <v>14</v>
      </c>
      <c r="Z4" s="65">
        <f>4/14</f>
        <v>0.2857142857142857</v>
      </c>
      <c r="AA4" s="122">
        <v>105.8</v>
      </c>
      <c r="AB4" s="122">
        <v>117.2</v>
      </c>
      <c r="AC4" s="122">
        <f t="shared" si="0"/>
        <v>-11.400000000000006</v>
      </c>
      <c r="AD4" s="122">
        <v>24.2</v>
      </c>
      <c r="AE4" s="122">
        <v>17.899999999999999</v>
      </c>
      <c r="AF4" s="65">
        <v>0.58799999999999997</v>
      </c>
      <c r="AG4" s="122">
        <v>21.4</v>
      </c>
      <c r="AH4" s="122">
        <v>0.3</v>
      </c>
      <c r="AI4" s="122">
        <v>0.4</v>
      </c>
      <c r="AJ4" s="65">
        <v>0.109</v>
      </c>
      <c r="AK4" s="122">
        <v>0.2</v>
      </c>
      <c r="AL4" s="122">
        <v>1.5</v>
      </c>
      <c r="AM4" s="122">
        <v>0.3</v>
      </c>
      <c r="AN4" s="122">
        <v>9.9</v>
      </c>
    </row>
    <row r="5" spans="1:67" s="44" customFormat="1" ht="17" x14ac:dyDescent="0.2">
      <c r="A5" s="3">
        <v>23</v>
      </c>
      <c r="B5" s="3" t="s">
        <v>1369</v>
      </c>
      <c r="C5" s="3" t="s">
        <v>232</v>
      </c>
      <c r="D5" s="145">
        <v>66</v>
      </c>
      <c r="E5" s="145">
        <v>610</v>
      </c>
      <c r="F5" s="146">
        <v>195</v>
      </c>
      <c r="G5" s="4">
        <v>36211</v>
      </c>
      <c r="H5" s="122">
        <f t="shared" ca="1" si="1"/>
        <v>21.6</v>
      </c>
      <c r="I5" s="60" t="s">
        <v>675</v>
      </c>
      <c r="J5" s="3">
        <v>2</v>
      </c>
      <c r="K5" s="110">
        <v>2019</v>
      </c>
      <c r="L5" s="110">
        <v>6</v>
      </c>
      <c r="M5" s="3" t="s">
        <v>1370</v>
      </c>
      <c r="N5" s="3" t="s">
        <v>247</v>
      </c>
      <c r="O5" s="60" t="s">
        <v>2320</v>
      </c>
      <c r="P5" s="11">
        <v>6104280</v>
      </c>
      <c r="Q5" s="51">
        <v>6395160</v>
      </c>
      <c r="R5" s="51">
        <v>8109063</v>
      </c>
      <c r="S5" s="151">
        <f>R5*3</f>
        <v>24327189</v>
      </c>
      <c r="T5" s="128"/>
      <c r="U5" s="60"/>
      <c r="V5" s="60"/>
      <c r="W5" s="60" t="s">
        <v>1371</v>
      </c>
      <c r="X5" s="69">
        <v>2</v>
      </c>
      <c r="Y5" s="69">
        <v>63</v>
      </c>
      <c r="Z5" s="65">
        <v>0.30158730158730157</v>
      </c>
      <c r="AA5" s="122">
        <v>106</v>
      </c>
      <c r="AB5" s="122">
        <v>109.3</v>
      </c>
      <c r="AC5" s="122">
        <f t="shared" si="0"/>
        <v>-3.2999999999999972</v>
      </c>
      <c r="AD5" s="122">
        <v>23.9</v>
      </c>
      <c r="AE5" s="122">
        <v>9.6</v>
      </c>
      <c r="AF5" s="65">
        <v>0.46700000000000003</v>
      </c>
      <c r="AG5" s="122">
        <v>19.2</v>
      </c>
      <c r="AH5" s="122">
        <v>-1.2</v>
      </c>
      <c r="AI5" s="122">
        <v>1.1000000000000001</v>
      </c>
      <c r="AJ5" s="65">
        <v>-4.0000000000000001E-3</v>
      </c>
      <c r="AK5" s="122">
        <v>-3.2</v>
      </c>
      <c r="AL5" s="122">
        <v>-0.8</v>
      </c>
      <c r="AM5" s="122">
        <v>-0.8</v>
      </c>
      <c r="AN5" s="122">
        <v>5.5</v>
      </c>
      <c r="AO5" s="60"/>
      <c r="AP5" s="60"/>
      <c r="AQ5" s="60"/>
      <c r="AR5" s="203"/>
      <c r="AS5" s="203"/>
      <c r="AT5" s="203"/>
      <c r="AU5" s="203"/>
      <c r="AV5" s="203"/>
      <c r="AW5" s="203"/>
      <c r="AX5" s="203"/>
      <c r="AY5" s="203"/>
      <c r="AZ5" s="203"/>
      <c r="BA5" s="203"/>
      <c r="BB5" s="203"/>
      <c r="BC5" s="203"/>
      <c r="BD5" s="203"/>
      <c r="BE5" s="203"/>
      <c r="BF5" s="203"/>
      <c r="BG5" s="203"/>
      <c r="BH5" s="203"/>
      <c r="BI5" s="203"/>
      <c r="BJ5" s="203"/>
      <c r="BK5" s="203"/>
      <c r="BL5" s="203"/>
      <c r="BM5" s="203"/>
      <c r="BN5" s="203"/>
      <c r="BO5" s="203"/>
    </row>
    <row r="6" spans="1:67" x14ac:dyDescent="0.2">
      <c r="A6" s="3">
        <v>10</v>
      </c>
      <c r="B6" s="3" t="s">
        <v>1372</v>
      </c>
      <c r="C6" s="3" t="s">
        <v>244</v>
      </c>
      <c r="D6" s="145">
        <v>68</v>
      </c>
      <c r="E6" s="145">
        <v>69</v>
      </c>
      <c r="F6" s="146">
        <v>209</v>
      </c>
      <c r="G6" s="4">
        <v>34400</v>
      </c>
      <c r="H6" s="122">
        <f t="shared" ca="1" si="1"/>
        <v>26.6</v>
      </c>
      <c r="I6" s="60" t="s">
        <v>263</v>
      </c>
      <c r="J6" s="3">
        <v>5</v>
      </c>
      <c r="K6" s="110">
        <v>2016</v>
      </c>
      <c r="L6" s="110">
        <v>47</v>
      </c>
      <c r="M6" s="3" t="s">
        <v>1373</v>
      </c>
      <c r="N6" s="3" t="s">
        <v>354</v>
      </c>
      <c r="O6" s="149" t="s">
        <v>2266</v>
      </c>
      <c r="P6" s="11">
        <v>3761085</v>
      </c>
      <c r="Q6" s="11">
        <v>3940184</v>
      </c>
      <c r="R6" s="150">
        <f>Q6*1.9</f>
        <v>7486349.5999999996</v>
      </c>
      <c r="W6" s="60" t="s">
        <v>1374</v>
      </c>
      <c r="X6" s="69">
        <v>4</v>
      </c>
      <c r="Y6" s="69">
        <v>23</v>
      </c>
      <c r="Z6" s="65">
        <f>11/23</f>
        <v>0.47826086956521741</v>
      </c>
      <c r="AA6" s="122">
        <v>106.6</v>
      </c>
      <c r="AB6" s="122">
        <v>104.6</v>
      </c>
      <c r="AC6" s="122">
        <f t="shared" si="0"/>
        <v>2</v>
      </c>
      <c r="AD6" s="122">
        <v>22</v>
      </c>
      <c r="AE6" s="122">
        <v>10.3</v>
      </c>
      <c r="AF6" s="65">
        <v>0.54400000000000004</v>
      </c>
      <c r="AG6" s="122">
        <v>17.7</v>
      </c>
      <c r="AH6" s="122">
        <v>0</v>
      </c>
      <c r="AI6" s="122">
        <v>0.3</v>
      </c>
      <c r="AJ6" s="65">
        <v>2.9000000000000001E-2</v>
      </c>
      <c r="AK6" s="122">
        <v>-2.7</v>
      </c>
      <c r="AL6" s="122">
        <v>-1</v>
      </c>
      <c r="AM6" s="122">
        <v>-0.2</v>
      </c>
      <c r="AN6" s="122">
        <v>5.9</v>
      </c>
    </row>
    <row r="7" spans="1:67" ht="17" x14ac:dyDescent="0.2">
      <c r="A7" s="3">
        <v>20</v>
      </c>
      <c r="B7" s="3" t="s">
        <v>1379</v>
      </c>
      <c r="C7" s="3" t="s">
        <v>255</v>
      </c>
      <c r="D7" s="145">
        <v>64</v>
      </c>
      <c r="E7" s="145">
        <v>70</v>
      </c>
      <c r="F7" s="146">
        <v>213</v>
      </c>
      <c r="G7" s="4">
        <v>36039</v>
      </c>
      <c r="H7" s="122">
        <f t="shared" ca="1" si="1"/>
        <v>22.1</v>
      </c>
      <c r="I7" s="60" t="s">
        <v>567</v>
      </c>
      <c r="J7" s="3">
        <v>3</v>
      </c>
      <c r="K7" s="110">
        <v>2018</v>
      </c>
      <c r="L7" s="110">
        <v>20</v>
      </c>
      <c r="M7" s="3" t="s">
        <v>1380</v>
      </c>
      <c r="N7" s="3" t="s">
        <v>247</v>
      </c>
      <c r="O7" s="64" t="s">
        <v>2162</v>
      </c>
      <c r="P7" s="11">
        <v>2651040</v>
      </c>
      <c r="Q7" s="51">
        <v>4087904</v>
      </c>
      <c r="R7" s="50">
        <v>12263712</v>
      </c>
      <c r="T7" s="128"/>
      <c r="W7" s="60" t="s">
        <v>1381</v>
      </c>
      <c r="X7" s="69">
        <v>2</v>
      </c>
      <c r="Y7" s="69">
        <v>62</v>
      </c>
      <c r="Z7" s="65">
        <f>19/62</f>
        <v>0.30645161290322581</v>
      </c>
      <c r="AA7" s="122">
        <v>106.3</v>
      </c>
      <c r="AB7" s="122">
        <v>111</v>
      </c>
      <c r="AC7" s="122">
        <f t="shared" si="0"/>
        <v>-4.7000000000000028</v>
      </c>
      <c r="AD7" s="122">
        <v>25</v>
      </c>
      <c r="AE7" s="122">
        <v>11.5</v>
      </c>
      <c r="AF7" s="65">
        <v>0.55300000000000005</v>
      </c>
      <c r="AG7" s="122">
        <v>15.1</v>
      </c>
      <c r="AH7" s="122">
        <v>1</v>
      </c>
      <c r="AI7" s="122">
        <v>1.2</v>
      </c>
      <c r="AJ7" s="65">
        <v>6.7000000000000004E-2</v>
      </c>
      <c r="AK7" s="122">
        <v>-2.4</v>
      </c>
      <c r="AL7" s="122">
        <v>0</v>
      </c>
      <c r="AM7" s="122">
        <v>-0.1</v>
      </c>
      <c r="AN7" s="122">
        <v>7</v>
      </c>
    </row>
    <row r="8" spans="1:67" ht="17" x14ac:dyDescent="0.2">
      <c r="A8" s="3">
        <v>12</v>
      </c>
      <c r="B8" s="3" t="s">
        <v>1382</v>
      </c>
      <c r="C8" s="3" t="s">
        <v>255</v>
      </c>
      <c r="D8" s="145">
        <v>64</v>
      </c>
      <c r="E8" s="145">
        <v>69</v>
      </c>
      <c r="F8" s="146">
        <v>210</v>
      </c>
      <c r="G8" s="4">
        <v>35599</v>
      </c>
      <c r="H8" s="122">
        <f t="shared" ca="1" si="1"/>
        <v>23.3</v>
      </c>
      <c r="I8" s="60" t="s">
        <v>1383</v>
      </c>
      <c r="J8" s="3">
        <v>3</v>
      </c>
      <c r="K8" s="110">
        <v>2018</v>
      </c>
      <c r="L8" s="110">
        <v>28</v>
      </c>
      <c r="M8" s="3" t="s">
        <v>1361</v>
      </c>
      <c r="N8" s="3" t="s">
        <v>276</v>
      </c>
      <c r="O8" s="60" t="s">
        <v>2117</v>
      </c>
      <c r="P8" s="11">
        <v>2017320</v>
      </c>
      <c r="Q8" s="51">
        <v>3641263</v>
      </c>
      <c r="R8" s="151">
        <f>Q8*3</f>
        <v>10923789</v>
      </c>
      <c r="T8" s="153"/>
      <c r="W8" s="71" t="s">
        <v>611</v>
      </c>
      <c r="X8" s="69">
        <v>2</v>
      </c>
      <c r="Y8" s="69">
        <v>27</v>
      </c>
      <c r="Z8" s="65">
        <f>11/49</f>
        <v>0.22448979591836735</v>
      </c>
      <c r="AA8" s="122">
        <v>98.2</v>
      </c>
      <c r="AB8" s="122">
        <v>110.5</v>
      </c>
      <c r="AC8" s="122">
        <f t="shared" si="0"/>
        <v>-12.299999999999997</v>
      </c>
      <c r="AD8" s="122">
        <v>15.3</v>
      </c>
      <c r="AE8" s="122">
        <v>5.7</v>
      </c>
      <c r="AF8" s="65">
        <v>0.439</v>
      </c>
      <c r="AG8" s="122">
        <v>17.600000000000001</v>
      </c>
      <c r="AH8" s="122">
        <v>-0.6</v>
      </c>
      <c r="AI8" s="122">
        <v>0.2</v>
      </c>
      <c r="AJ8" s="65">
        <v>-5.3999999999999999E-2</v>
      </c>
      <c r="AK8" s="122">
        <v>-5.7</v>
      </c>
      <c r="AL8" s="122">
        <v>-1.3</v>
      </c>
      <c r="AM8" s="122">
        <v>-0.5</v>
      </c>
      <c r="AN8" s="122">
        <v>3.4</v>
      </c>
    </row>
    <row r="9" spans="1:67" ht="17" x14ac:dyDescent="0.2">
      <c r="A9" s="3">
        <v>14</v>
      </c>
      <c r="B9" s="3" t="s">
        <v>1384</v>
      </c>
      <c r="C9" s="3" t="s">
        <v>236</v>
      </c>
      <c r="D9" s="145">
        <v>68</v>
      </c>
      <c r="E9" s="145">
        <v>72</v>
      </c>
      <c r="F9" s="146">
        <v>245</v>
      </c>
      <c r="G9" s="4">
        <v>35632</v>
      </c>
      <c r="H9" s="122">
        <f t="shared" ca="1" si="1"/>
        <v>23.2</v>
      </c>
      <c r="I9" s="60" t="s">
        <v>589</v>
      </c>
      <c r="J9" s="3">
        <v>3</v>
      </c>
      <c r="K9" s="110">
        <v>2018</v>
      </c>
      <c r="L9" s="110">
        <v>30</v>
      </c>
      <c r="M9" s="3" t="s">
        <v>1361</v>
      </c>
      <c r="N9" s="3" t="s">
        <v>1385</v>
      </c>
      <c r="O9" s="60" t="s">
        <v>2117</v>
      </c>
      <c r="P9" s="11">
        <v>1988280</v>
      </c>
      <c r="Q9" s="51">
        <v>3588845</v>
      </c>
      <c r="R9" s="151">
        <f>Q9*3</f>
        <v>10766535</v>
      </c>
      <c r="T9" s="128"/>
      <c r="W9" s="60" t="s">
        <v>1386</v>
      </c>
      <c r="X9" s="69">
        <v>4</v>
      </c>
      <c r="Y9" s="69">
        <v>49</v>
      </c>
      <c r="Z9" s="65">
        <f>7/27</f>
        <v>0.25925925925925924</v>
      </c>
      <c r="AA9" s="122">
        <v>101.2</v>
      </c>
      <c r="AB9" s="122">
        <v>109.7</v>
      </c>
      <c r="AC9" s="122">
        <f t="shared" si="0"/>
        <v>-8.5</v>
      </c>
      <c r="AD9" s="122">
        <v>18.100000000000001</v>
      </c>
      <c r="AE9" s="122">
        <v>14.4</v>
      </c>
      <c r="AF9" s="65">
        <v>0.55100000000000005</v>
      </c>
      <c r="AG9" s="122">
        <v>18.8</v>
      </c>
      <c r="AH9" s="122">
        <v>0.5</v>
      </c>
      <c r="AI9" s="122">
        <v>0.7</v>
      </c>
      <c r="AJ9" s="65">
        <v>6.5000000000000002E-2</v>
      </c>
      <c r="AK9" s="122">
        <v>-0.7</v>
      </c>
      <c r="AL9" s="122">
        <v>-1</v>
      </c>
      <c r="AM9" s="122">
        <v>0.1</v>
      </c>
      <c r="AN9" s="122">
        <v>9.8000000000000007</v>
      </c>
    </row>
    <row r="10" spans="1:67" x14ac:dyDescent="0.2">
      <c r="A10" s="3">
        <v>3</v>
      </c>
      <c r="B10" s="3" t="s">
        <v>109</v>
      </c>
      <c r="C10" s="3" t="s">
        <v>236</v>
      </c>
      <c r="D10" s="145">
        <v>69</v>
      </c>
      <c r="E10" s="145">
        <v>611</v>
      </c>
      <c r="F10" s="146">
        <v>214</v>
      </c>
      <c r="G10" s="4">
        <v>36253</v>
      </c>
      <c r="H10" s="122">
        <f t="shared" ca="1" si="1"/>
        <v>21.5</v>
      </c>
      <c r="I10" s="60" t="s">
        <v>270</v>
      </c>
      <c r="J10" s="3">
        <v>3</v>
      </c>
      <c r="K10" s="110">
        <v>2018</v>
      </c>
      <c r="L10" s="110">
        <v>41</v>
      </c>
      <c r="M10" s="3" t="s">
        <v>1376</v>
      </c>
      <c r="N10" s="3" t="s">
        <v>1387</v>
      </c>
      <c r="O10" s="215" t="s">
        <v>526</v>
      </c>
      <c r="P10" s="15">
        <v>1663861</v>
      </c>
      <c r="Q10" s="50">
        <v>2122822</v>
      </c>
      <c r="R10" s="3"/>
      <c r="S10" s="3"/>
      <c r="W10" s="60" t="s">
        <v>1388</v>
      </c>
      <c r="X10" s="69">
        <v>5</v>
      </c>
      <c r="Y10" s="69">
        <v>2</v>
      </c>
      <c r="Z10" s="65">
        <f>1/2</f>
        <v>0.5</v>
      </c>
      <c r="AA10" s="122">
        <v>18.2</v>
      </c>
      <c r="AB10" s="122">
        <v>92.9</v>
      </c>
      <c r="AC10" s="122">
        <f t="shared" si="0"/>
        <v>-74.7</v>
      </c>
      <c r="AD10" s="122">
        <v>2.6</v>
      </c>
      <c r="AE10" s="122">
        <v>11.1</v>
      </c>
      <c r="AF10" s="65">
        <v>0.53200000000000003</v>
      </c>
      <c r="AG10" s="122">
        <v>15.5</v>
      </c>
      <c r="AH10" s="122">
        <v>0</v>
      </c>
      <c r="AI10" s="122">
        <v>0</v>
      </c>
      <c r="AJ10" s="65">
        <v>0.104</v>
      </c>
      <c r="AK10" s="122">
        <v>-2.8</v>
      </c>
      <c r="AL10" s="122">
        <v>-2.8</v>
      </c>
      <c r="AM10" s="122">
        <v>0</v>
      </c>
      <c r="AN10" s="122">
        <v>22.2</v>
      </c>
    </row>
    <row r="11" spans="1:67" x14ac:dyDescent="0.2">
      <c r="A11" s="3">
        <v>4</v>
      </c>
      <c r="B11" s="3" t="s">
        <v>110</v>
      </c>
      <c r="C11" s="3" t="s">
        <v>232</v>
      </c>
      <c r="D11" s="145">
        <v>64</v>
      </c>
      <c r="E11" s="145">
        <v>67</v>
      </c>
      <c r="F11" s="146">
        <v>201</v>
      </c>
      <c r="G11" s="4">
        <v>36259</v>
      </c>
      <c r="H11" s="122">
        <f t="shared" ca="1" si="1"/>
        <v>21.5</v>
      </c>
      <c r="I11" s="60" t="s">
        <v>1389</v>
      </c>
      <c r="J11" s="3">
        <v>2</v>
      </c>
      <c r="K11" s="110">
        <v>2019</v>
      </c>
      <c r="L11" s="110">
        <v>43</v>
      </c>
      <c r="M11" s="3" t="s">
        <v>1390</v>
      </c>
      <c r="N11" s="3" t="s">
        <v>521</v>
      </c>
      <c r="O11" s="215" t="s">
        <v>1391</v>
      </c>
      <c r="P11" s="15">
        <v>1517981</v>
      </c>
      <c r="Q11" s="15">
        <v>1782621</v>
      </c>
      <c r="R11" s="49">
        <v>1930681</v>
      </c>
      <c r="S11" s="14">
        <v>2046307</v>
      </c>
      <c r="W11" s="60" t="s">
        <v>1392</v>
      </c>
      <c r="X11" s="69">
        <v>2</v>
      </c>
      <c r="Y11" s="69">
        <v>15</v>
      </c>
      <c r="Z11" s="65">
        <f>2/15</f>
        <v>0.13333333333333333</v>
      </c>
      <c r="AA11" s="122">
        <v>99.7</v>
      </c>
      <c r="AB11" s="122">
        <v>98.5</v>
      </c>
      <c r="AC11" s="122">
        <f t="shared" si="0"/>
        <v>1.2000000000000028</v>
      </c>
      <c r="AD11" s="122">
        <v>10.1</v>
      </c>
      <c r="AE11" s="122">
        <v>10.5</v>
      </c>
      <c r="AF11" s="65">
        <v>0.47099999999999997</v>
      </c>
      <c r="AG11" s="122">
        <v>17.3</v>
      </c>
      <c r="AH11" s="122">
        <v>0.1</v>
      </c>
      <c r="AI11" s="122">
        <v>0</v>
      </c>
      <c r="AJ11" s="65">
        <v>5.0999999999999997E-2</v>
      </c>
      <c r="AK11" s="122">
        <v>-2.9</v>
      </c>
      <c r="AL11" s="122">
        <v>-0.8</v>
      </c>
      <c r="AM11" s="122">
        <v>-0.1</v>
      </c>
      <c r="AN11" s="122">
        <v>8</v>
      </c>
    </row>
    <row r="12" spans="1:67" x14ac:dyDescent="0.2">
      <c r="A12" s="3">
        <v>11</v>
      </c>
      <c r="B12" s="3" t="s">
        <v>111</v>
      </c>
      <c r="C12" s="3" t="s">
        <v>236</v>
      </c>
      <c r="D12" s="145">
        <v>69</v>
      </c>
      <c r="E12" s="145">
        <v>73</v>
      </c>
      <c r="F12" s="146">
        <v>264</v>
      </c>
      <c r="G12" s="4">
        <v>36398</v>
      </c>
      <c r="H12" s="122">
        <f t="shared" ca="1" si="1"/>
        <v>21.1</v>
      </c>
      <c r="I12" s="60" t="s">
        <v>405</v>
      </c>
      <c r="J12" s="3">
        <v>2</v>
      </c>
      <c r="K12" s="110">
        <v>2019</v>
      </c>
      <c r="L12" s="110"/>
      <c r="M12" s="3" t="s">
        <v>597</v>
      </c>
      <c r="N12" s="3" t="s">
        <v>521</v>
      </c>
      <c r="O12" s="215" t="s">
        <v>399</v>
      </c>
      <c r="P12" s="15">
        <v>1517981</v>
      </c>
      <c r="Q12" s="15">
        <v>1782621</v>
      </c>
      <c r="R12" s="49">
        <v>1930681</v>
      </c>
      <c r="S12" s="14">
        <v>2046307</v>
      </c>
      <c r="W12" s="60" t="s">
        <v>503</v>
      </c>
      <c r="X12" s="69">
        <v>5</v>
      </c>
      <c r="Y12" s="69">
        <v>30</v>
      </c>
      <c r="Z12" s="65">
        <f>8/30</f>
        <v>0.26666666666666666</v>
      </c>
      <c r="AA12" s="122">
        <v>108.4</v>
      </c>
      <c r="AB12" s="122">
        <v>107.6</v>
      </c>
      <c r="AC12" s="122">
        <f t="shared" si="0"/>
        <v>0.80000000000001137</v>
      </c>
      <c r="AD12" s="122">
        <v>16.5</v>
      </c>
      <c r="AE12" s="122">
        <v>15.3</v>
      </c>
      <c r="AF12" s="65">
        <v>0.505</v>
      </c>
      <c r="AG12" s="122">
        <v>24</v>
      </c>
      <c r="AH12" s="122">
        <v>0.2</v>
      </c>
      <c r="AI12" s="122">
        <v>0.6</v>
      </c>
      <c r="AJ12" s="65">
        <v>7.3999999999999996E-2</v>
      </c>
      <c r="AK12" s="122">
        <v>-1.6</v>
      </c>
      <c r="AL12" s="122">
        <v>-0.3</v>
      </c>
      <c r="AM12" s="122">
        <v>0</v>
      </c>
      <c r="AN12" s="122">
        <v>8.5</v>
      </c>
    </row>
    <row r="13" spans="1:67" x14ac:dyDescent="0.2">
      <c r="B13" s="3" t="s">
        <v>297</v>
      </c>
      <c r="K13" s="69"/>
      <c r="L13" s="69"/>
      <c r="P13" s="22">
        <f>685340</f>
        <v>685340</v>
      </c>
      <c r="Q13" s="3"/>
      <c r="R13" s="3"/>
      <c r="S13" s="3"/>
      <c r="T13" s="154"/>
      <c r="X13" s="69"/>
      <c r="Y13" s="69"/>
      <c r="Z13" s="65"/>
      <c r="AA13" s="122"/>
      <c r="AB13" s="122"/>
      <c r="AC13" s="122"/>
      <c r="AD13" s="122"/>
      <c r="AE13" s="122"/>
      <c r="AF13" s="65"/>
      <c r="AG13" s="122"/>
      <c r="AH13" s="122"/>
      <c r="AI13" s="122"/>
      <c r="AJ13" s="65"/>
      <c r="AK13" s="122"/>
      <c r="AL13" s="122"/>
      <c r="AM13" s="122"/>
      <c r="AN13" s="122"/>
    </row>
    <row r="14" spans="1:67" x14ac:dyDescent="0.2">
      <c r="B14" s="3" t="s">
        <v>922</v>
      </c>
      <c r="P14" s="11">
        <v>9757440</v>
      </c>
      <c r="Q14" s="11">
        <v>10245480</v>
      </c>
      <c r="R14" s="51">
        <v>10733400</v>
      </c>
      <c r="S14" s="51">
        <f>R14*1.261</f>
        <v>13534817.399999999</v>
      </c>
      <c r="T14" s="50">
        <f>S14*2.5</f>
        <v>33837043.5</v>
      </c>
      <c r="X14" s="69"/>
      <c r="Y14" s="69"/>
      <c r="Z14" s="65"/>
      <c r="AA14" s="122"/>
      <c r="AB14" s="122"/>
      <c r="AC14" s="122"/>
      <c r="AD14" s="122"/>
      <c r="AE14" s="122"/>
      <c r="AF14" s="65"/>
      <c r="AG14" s="122"/>
      <c r="AH14" s="122"/>
      <c r="AI14" s="122"/>
      <c r="AJ14" s="65"/>
      <c r="AK14" s="122"/>
      <c r="AL14" s="122"/>
      <c r="AM14" s="122"/>
      <c r="AN14" s="122"/>
    </row>
    <row r="15" spans="1:67" x14ac:dyDescent="0.2">
      <c r="B15" s="3" t="s">
        <v>2168</v>
      </c>
      <c r="P15" s="11">
        <v>2964840</v>
      </c>
      <c r="Q15" s="11">
        <v>3113160</v>
      </c>
      <c r="R15" s="51">
        <v>3261480</v>
      </c>
      <c r="S15" s="51">
        <v>5009633</v>
      </c>
      <c r="T15" s="50">
        <f>S15*3</f>
        <v>15028899</v>
      </c>
      <c r="X15" s="69"/>
      <c r="Y15" s="69"/>
      <c r="Z15" s="65"/>
      <c r="AA15" s="122"/>
      <c r="AB15" s="122"/>
      <c r="AC15" s="122"/>
      <c r="AD15" s="122"/>
      <c r="AE15" s="122"/>
      <c r="AF15" s="65"/>
      <c r="AG15" s="122"/>
      <c r="AH15" s="122"/>
      <c r="AI15" s="122"/>
      <c r="AJ15" s="65"/>
      <c r="AK15" s="122"/>
      <c r="AL15" s="122"/>
      <c r="AM15" s="122"/>
      <c r="AN15" s="122"/>
    </row>
    <row r="16" spans="1:67" x14ac:dyDescent="0.2">
      <c r="B16" s="3" t="s">
        <v>1399</v>
      </c>
      <c r="P16" s="179">
        <v>898310</v>
      </c>
      <c r="X16" s="69"/>
      <c r="Y16" s="69"/>
      <c r="Z16" s="65"/>
      <c r="AA16" s="122"/>
      <c r="AB16" s="122"/>
      <c r="AC16" s="122"/>
      <c r="AD16" s="122"/>
      <c r="AE16" s="122"/>
      <c r="AF16" s="65"/>
      <c r="AG16" s="122"/>
      <c r="AH16" s="122"/>
      <c r="AI16" s="122"/>
      <c r="AJ16" s="65"/>
      <c r="AK16" s="122"/>
      <c r="AL16" s="122"/>
      <c r="AM16" s="122"/>
      <c r="AN16" s="122"/>
    </row>
    <row r="17" spans="1:40" x14ac:dyDescent="0.2">
      <c r="B17" s="3"/>
      <c r="P17" s="11"/>
      <c r="X17" s="69"/>
      <c r="Y17" s="69"/>
      <c r="Z17" s="65"/>
      <c r="AA17" s="122"/>
      <c r="AB17" s="122"/>
      <c r="AC17" s="122"/>
      <c r="AD17" s="122"/>
      <c r="AE17" s="122"/>
      <c r="AF17" s="65"/>
      <c r="AG17" s="122"/>
      <c r="AH17" s="122"/>
      <c r="AI17" s="122"/>
      <c r="AJ17" s="65"/>
      <c r="AK17" s="122"/>
      <c r="AL17" s="122"/>
      <c r="AM17" s="122"/>
      <c r="AN17" s="122"/>
    </row>
    <row r="18" spans="1:40" x14ac:dyDescent="0.2">
      <c r="A18" s="3">
        <v>1</v>
      </c>
      <c r="B18" s="3" t="s">
        <v>105</v>
      </c>
      <c r="C18" s="3" t="s">
        <v>255</v>
      </c>
      <c r="D18" s="145">
        <v>66</v>
      </c>
      <c r="E18" s="145">
        <v>68</v>
      </c>
      <c r="F18" s="146">
        <v>220</v>
      </c>
      <c r="G18" s="4">
        <v>32443</v>
      </c>
      <c r="H18" s="122">
        <f t="shared" ref="H18:H22" ca="1" si="2">ROUNDDOWN(YEARFRAC($G$24,G18),1)</f>
        <v>31.9</v>
      </c>
      <c r="I18" s="60" t="s">
        <v>798</v>
      </c>
      <c r="J18" s="3">
        <v>11</v>
      </c>
      <c r="K18" s="110">
        <v>2010</v>
      </c>
      <c r="L18" s="110">
        <v>2</v>
      </c>
      <c r="M18" s="3" t="s">
        <v>1364</v>
      </c>
      <c r="N18" s="3"/>
      <c r="P18" s="14">
        <v>27909834</v>
      </c>
      <c r="W18" s="60" t="s">
        <v>1365</v>
      </c>
      <c r="X18" s="69">
        <v>1</v>
      </c>
      <c r="Y18" s="69">
        <v>19</v>
      </c>
      <c r="Z18" s="65">
        <f>3/19</f>
        <v>0.15789473684210525</v>
      </c>
      <c r="AA18" s="122">
        <v>92.2</v>
      </c>
      <c r="AB18" s="122">
        <v>103.6</v>
      </c>
      <c r="AC18" s="122">
        <f t="shared" ref="AC18:AC22" si="3">AA18-AB18</f>
        <v>-11.399999999999991</v>
      </c>
      <c r="AD18" s="122">
        <v>13.2</v>
      </c>
      <c r="AE18" s="122">
        <v>6.8</v>
      </c>
      <c r="AF18" s="65">
        <v>0.42399999999999999</v>
      </c>
      <c r="AG18" s="122">
        <v>16.399999999999999</v>
      </c>
      <c r="AH18" s="122">
        <v>-0.5</v>
      </c>
      <c r="AI18" s="122">
        <v>0.1</v>
      </c>
      <c r="AJ18" s="65">
        <v>-6.4000000000000001E-2</v>
      </c>
      <c r="AK18" s="122">
        <v>-4.9000000000000004</v>
      </c>
      <c r="AL18" s="122">
        <v>-0.7</v>
      </c>
      <c r="AM18" s="122">
        <v>-0.2</v>
      </c>
      <c r="AN18" s="122">
        <v>6.2</v>
      </c>
    </row>
    <row r="19" spans="1:40" ht="17" x14ac:dyDescent="0.2">
      <c r="A19" s="3">
        <v>41</v>
      </c>
      <c r="B19" s="3" t="s">
        <v>107</v>
      </c>
      <c r="C19" s="3" t="s">
        <v>236</v>
      </c>
      <c r="D19" s="145">
        <v>69</v>
      </c>
      <c r="E19" s="145">
        <v>70</v>
      </c>
      <c r="F19" s="146">
        <v>214</v>
      </c>
      <c r="G19" s="4">
        <v>34970</v>
      </c>
      <c r="H19" s="122">
        <f t="shared" ca="1" si="2"/>
        <v>25</v>
      </c>
      <c r="I19" s="60" t="s">
        <v>1375</v>
      </c>
      <c r="J19" s="3">
        <v>5</v>
      </c>
      <c r="K19" s="110">
        <v>2016</v>
      </c>
      <c r="L19" s="110">
        <v>15</v>
      </c>
      <c r="M19" s="3" t="s">
        <v>1376</v>
      </c>
      <c r="N19" s="3"/>
      <c r="P19" s="50">
        <v>9963090</v>
      </c>
      <c r="R19" s="128"/>
      <c r="W19" s="60" t="s">
        <v>1377</v>
      </c>
      <c r="X19" s="69">
        <v>4</v>
      </c>
      <c r="Y19" s="69">
        <v>14</v>
      </c>
      <c r="Z19" s="65">
        <f>4/14</f>
        <v>0.2857142857142857</v>
      </c>
      <c r="AA19" s="122">
        <v>112.9</v>
      </c>
      <c r="AB19" s="122">
        <v>118.9</v>
      </c>
      <c r="AC19" s="122">
        <f t="shared" si="3"/>
        <v>-6</v>
      </c>
      <c r="AD19" s="122">
        <v>29.4</v>
      </c>
      <c r="AE19" s="122">
        <v>14.1</v>
      </c>
      <c r="AF19" s="65">
        <v>0.57599999999999996</v>
      </c>
      <c r="AG19" s="122">
        <v>17.100000000000001</v>
      </c>
      <c r="AH19" s="122">
        <v>0.5</v>
      </c>
      <c r="AI19" s="122">
        <v>0.4</v>
      </c>
      <c r="AJ19" s="65">
        <v>9.8000000000000004E-2</v>
      </c>
      <c r="AK19" s="122">
        <v>-0.4</v>
      </c>
      <c r="AL19" s="122">
        <v>-1</v>
      </c>
      <c r="AM19" s="122">
        <v>0.1</v>
      </c>
      <c r="AN19" s="122">
        <v>8.4</v>
      </c>
    </row>
    <row r="20" spans="1:40" ht="17" x14ac:dyDescent="0.2">
      <c r="A20" s="3">
        <v>5</v>
      </c>
      <c r="B20" s="3" t="s">
        <v>108</v>
      </c>
      <c r="C20" s="3" t="s">
        <v>255</v>
      </c>
      <c r="D20" s="145">
        <v>64</v>
      </c>
      <c r="E20" s="145">
        <v>67</v>
      </c>
      <c r="F20" s="146">
        <v>187</v>
      </c>
      <c r="G20" s="4">
        <v>35395</v>
      </c>
      <c r="H20" s="122">
        <f t="shared" ca="1" si="2"/>
        <v>23.9</v>
      </c>
      <c r="I20" s="60" t="s">
        <v>519</v>
      </c>
      <c r="J20" s="3">
        <v>5</v>
      </c>
      <c r="K20" s="110">
        <v>2016</v>
      </c>
      <c r="L20" s="110">
        <v>19</v>
      </c>
      <c r="M20" s="3" t="s">
        <v>1376</v>
      </c>
      <c r="N20" s="3"/>
      <c r="P20" s="50">
        <v>8195142</v>
      </c>
      <c r="R20" s="128"/>
      <c r="W20" s="60" t="s">
        <v>1378</v>
      </c>
      <c r="X20" s="69">
        <v>2</v>
      </c>
      <c r="Y20" s="69">
        <v>14</v>
      </c>
      <c r="Z20" s="65">
        <f>4/14</f>
        <v>0.2857142857142857</v>
      </c>
      <c r="AA20" s="122">
        <v>111.6</v>
      </c>
      <c r="AB20" s="122">
        <v>119.4</v>
      </c>
      <c r="AC20" s="122">
        <f t="shared" si="3"/>
        <v>-7.8000000000000114</v>
      </c>
      <c r="AD20" s="122">
        <v>33.1</v>
      </c>
      <c r="AE20" s="122">
        <v>16.2</v>
      </c>
      <c r="AF20" s="65">
        <v>0.59099999999999997</v>
      </c>
      <c r="AG20" s="122">
        <v>23.7</v>
      </c>
      <c r="AH20" s="122">
        <v>0.6</v>
      </c>
      <c r="AI20" s="122">
        <v>0.2</v>
      </c>
      <c r="AJ20" s="65">
        <v>7.9000000000000001E-2</v>
      </c>
      <c r="AK20" s="122">
        <v>1.8</v>
      </c>
      <c r="AL20" s="122">
        <v>-2.4</v>
      </c>
      <c r="AM20" s="122">
        <v>0.2</v>
      </c>
      <c r="AN20" s="122">
        <v>10.1</v>
      </c>
    </row>
    <row r="21" spans="1:40" x14ac:dyDescent="0.2">
      <c r="A21" s="3">
        <v>6</v>
      </c>
      <c r="B21" s="3" t="s">
        <v>1393</v>
      </c>
      <c r="C21" s="3" t="s">
        <v>250</v>
      </c>
      <c r="D21" s="145">
        <v>511</v>
      </c>
      <c r="E21" s="145">
        <v>65</v>
      </c>
      <c r="F21" s="146">
        <v>185</v>
      </c>
      <c r="G21" s="4">
        <v>35164</v>
      </c>
      <c r="H21" s="122">
        <f t="shared" ca="1" si="2"/>
        <v>24.5</v>
      </c>
      <c r="I21" s="60" t="s">
        <v>226</v>
      </c>
      <c r="J21" s="3">
        <v>2</v>
      </c>
      <c r="K21" s="110">
        <v>2018</v>
      </c>
      <c r="L21" s="110"/>
      <c r="M21" s="3" t="s">
        <v>982</v>
      </c>
      <c r="N21" s="3"/>
      <c r="P21" s="53"/>
      <c r="Q21" s="12"/>
      <c r="R21" s="12"/>
      <c r="S21" s="12"/>
      <c r="W21" s="98" t="s">
        <v>291</v>
      </c>
      <c r="X21" s="69">
        <v>1</v>
      </c>
      <c r="Y21" s="69">
        <v>30</v>
      </c>
      <c r="Z21" s="65">
        <v>0.23333333333333334</v>
      </c>
      <c r="AA21" s="122">
        <v>105.3</v>
      </c>
      <c r="AB21" s="122">
        <v>111.1</v>
      </c>
      <c r="AC21" s="122">
        <f t="shared" si="3"/>
        <v>-5.7999999999999972</v>
      </c>
      <c r="AD21" s="122">
        <v>19.7</v>
      </c>
      <c r="AE21" s="122">
        <v>16.3</v>
      </c>
      <c r="AF21" s="65">
        <v>0.58699999999999997</v>
      </c>
      <c r="AG21" s="122">
        <v>15.8</v>
      </c>
      <c r="AH21" s="122">
        <v>1.2</v>
      </c>
      <c r="AI21" s="122">
        <v>0.4</v>
      </c>
      <c r="AJ21" s="65">
        <v>0.13</v>
      </c>
      <c r="AK21" s="122">
        <v>0.4</v>
      </c>
      <c r="AL21" s="122">
        <v>-0.1</v>
      </c>
      <c r="AM21" s="122">
        <v>0.3</v>
      </c>
      <c r="AN21" s="122">
        <v>11</v>
      </c>
    </row>
    <row r="22" spans="1:40" x14ac:dyDescent="0.2">
      <c r="A22" s="3">
        <v>30</v>
      </c>
      <c r="B22" s="3" t="s">
        <v>1394</v>
      </c>
      <c r="C22" s="3" t="s">
        <v>244</v>
      </c>
      <c r="D22" s="145">
        <v>65</v>
      </c>
      <c r="E22" s="145">
        <v>67</v>
      </c>
      <c r="F22" s="146">
        <v>230</v>
      </c>
      <c r="G22" s="4">
        <v>34914</v>
      </c>
      <c r="H22" s="122">
        <f t="shared" ca="1" si="2"/>
        <v>25.2</v>
      </c>
      <c r="I22" s="60" t="s">
        <v>1395</v>
      </c>
      <c r="J22" s="3">
        <v>2</v>
      </c>
      <c r="K22" s="110">
        <v>2018</v>
      </c>
      <c r="L22" s="110"/>
      <c r="M22" s="3" t="s">
        <v>1396</v>
      </c>
      <c r="N22" s="3"/>
      <c r="P22" s="53"/>
      <c r="Q22" s="12"/>
      <c r="R22" s="12"/>
      <c r="S22" s="12"/>
      <c r="W22" s="60" t="s">
        <v>1397</v>
      </c>
      <c r="X22" s="69">
        <v>3</v>
      </c>
      <c r="Y22" s="69">
        <v>31</v>
      </c>
      <c r="Z22" s="65">
        <f>12/31</f>
        <v>0.38709677419354838</v>
      </c>
      <c r="AA22" s="122">
        <v>101.4</v>
      </c>
      <c r="AB22" s="122">
        <v>103.1</v>
      </c>
      <c r="AC22" s="122">
        <f t="shared" si="3"/>
        <v>-1.6999999999999886</v>
      </c>
      <c r="AD22" s="122">
        <v>16</v>
      </c>
      <c r="AE22" s="122">
        <v>9.1999999999999993</v>
      </c>
      <c r="AF22" s="65">
        <v>0.50600000000000001</v>
      </c>
      <c r="AG22" s="122">
        <v>17.8</v>
      </c>
      <c r="AH22" s="122">
        <v>-0.1</v>
      </c>
      <c r="AI22" s="122">
        <v>0.3</v>
      </c>
      <c r="AJ22" s="65">
        <v>2.3E-2</v>
      </c>
      <c r="AK22" s="122">
        <v>-3.3</v>
      </c>
      <c r="AL22" s="122">
        <v>-1</v>
      </c>
      <c r="AM22" s="122">
        <v>-0.3</v>
      </c>
      <c r="AN22" s="122">
        <v>7.7</v>
      </c>
    </row>
    <row r="23" spans="1:40" x14ac:dyDescent="0.2">
      <c r="B23" s="3"/>
      <c r="P23" s="11"/>
      <c r="X23" s="69"/>
      <c r="Y23" s="69"/>
      <c r="Z23" s="65"/>
      <c r="AA23" s="122"/>
      <c r="AB23" s="122"/>
      <c r="AC23" s="122"/>
      <c r="AD23" s="122"/>
      <c r="AE23" s="122"/>
      <c r="AF23" s="65"/>
      <c r="AG23" s="122"/>
      <c r="AH23" s="122"/>
      <c r="AI23" s="122"/>
      <c r="AJ23" s="65"/>
      <c r="AK23" s="122"/>
      <c r="AL23" s="122"/>
      <c r="AM23" s="122"/>
      <c r="AN23" s="122"/>
    </row>
    <row r="24" spans="1:40" x14ac:dyDescent="0.2">
      <c r="B24" s="3"/>
      <c r="G24" s="62">
        <f ca="1">TODAY()</f>
        <v>44128</v>
      </c>
      <c r="H24" s="63">
        <f ca="1">AVERAGE(H2:H12)</f>
        <v>24</v>
      </c>
      <c r="J24" s="63">
        <f>AVERAGE(J2:J12)</f>
        <v>4.2727272727272725</v>
      </c>
      <c r="X24" s="69"/>
      <c r="Y24" s="69"/>
      <c r="Z24" s="65"/>
      <c r="AA24" s="122"/>
      <c r="AB24" s="122"/>
      <c r="AC24" s="122"/>
      <c r="AD24" s="122"/>
      <c r="AE24" s="122"/>
      <c r="AF24" s="65"/>
      <c r="AG24" s="122"/>
      <c r="AH24" s="122"/>
      <c r="AI24" s="122"/>
      <c r="AJ24" s="65"/>
      <c r="AK24" s="122"/>
      <c r="AL24" s="122"/>
      <c r="AM24" s="122"/>
      <c r="AN24" s="122"/>
    </row>
    <row r="25" spans="1:40" x14ac:dyDescent="0.2">
      <c r="E25" s="62"/>
      <c r="G25" s="62"/>
      <c r="H25" s="63">
        <f ca="1">MEDIAN(H2:H12)</f>
        <v>23.2</v>
      </c>
      <c r="J25" s="69">
        <f>MEDIAN(J2:J12)</f>
        <v>3</v>
      </c>
      <c r="P25" s="64"/>
      <c r="X25" s="69"/>
      <c r="Y25" s="69"/>
      <c r="Z25" s="65"/>
      <c r="AA25" s="122"/>
      <c r="AB25" s="122"/>
      <c r="AC25" s="122"/>
      <c r="AD25" s="122"/>
      <c r="AE25" s="122"/>
      <c r="AF25" s="65"/>
      <c r="AG25" s="122"/>
      <c r="AH25" s="122"/>
      <c r="AI25" s="122"/>
      <c r="AJ25" s="65"/>
      <c r="AK25" s="122"/>
      <c r="AL25" s="122"/>
      <c r="AM25" s="122"/>
      <c r="AN25" s="122"/>
    </row>
    <row r="26" spans="1:40" x14ac:dyDescent="0.2">
      <c r="B26" s="209" t="s">
        <v>2224</v>
      </c>
      <c r="C26" s="3"/>
      <c r="J26" s="11"/>
      <c r="O26" s="11"/>
      <c r="P26" s="64">
        <f>P2+P3+P5+P6+P7+P8+P9+P13+P14+P15</f>
        <v>88046675</v>
      </c>
      <c r="X26" s="69"/>
      <c r="Y26" s="69"/>
      <c r="Z26" s="65"/>
      <c r="AA26" s="122"/>
      <c r="AB26" s="122"/>
      <c r="AC26" s="122"/>
      <c r="AD26" s="122"/>
      <c r="AE26" s="122"/>
      <c r="AF26" s="65"/>
      <c r="AG26" s="122"/>
      <c r="AH26" s="122"/>
      <c r="AI26" s="122"/>
      <c r="AJ26" s="65"/>
      <c r="AK26" s="122"/>
      <c r="AL26" s="122"/>
      <c r="AM26" s="122"/>
      <c r="AN26" s="122"/>
    </row>
    <row r="27" spans="1:40" x14ac:dyDescent="0.2">
      <c r="B27" s="3" t="s">
        <v>2085</v>
      </c>
      <c r="C27" s="3">
        <v>7</v>
      </c>
      <c r="I27" s="209"/>
      <c r="J27" s="3"/>
      <c r="O27" s="3"/>
      <c r="P27" s="160">
        <f>P2+P3+P4+P5+P6+P7+P8+P9+P13+P14+P15</f>
        <v>104093775</v>
      </c>
      <c r="X27" s="69"/>
      <c r="Y27" s="69"/>
      <c r="Z27" s="65"/>
      <c r="AA27" s="122"/>
      <c r="AB27" s="122"/>
      <c r="AC27" s="122"/>
      <c r="AD27" s="122"/>
      <c r="AE27" s="122"/>
      <c r="AF27" s="65"/>
      <c r="AG27" s="122"/>
      <c r="AH27" s="122"/>
      <c r="AI27" s="122"/>
      <c r="AJ27" s="65"/>
      <c r="AK27" s="122"/>
      <c r="AL27" s="122"/>
      <c r="AM27" s="122"/>
      <c r="AN27" s="122"/>
    </row>
    <row r="28" spans="1:40" x14ac:dyDescent="0.2">
      <c r="B28" s="3" t="s">
        <v>2088</v>
      </c>
      <c r="C28" s="3">
        <v>4</v>
      </c>
      <c r="I28" s="3"/>
      <c r="J28" s="3"/>
      <c r="O28" s="22"/>
      <c r="P28" s="124">
        <f>P2+P3+P4+P5+P6+P7+P8+P9+P10+P11+P12+P13+P14+P15</f>
        <v>108793598</v>
      </c>
      <c r="X28" s="69"/>
      <c r="Y28" s="69"/>
      <c r="Z28" s="65"/>
      <c r="AA28" s="122"/>
      <c r="AB28" s="122"/>
      <c r="AC28" s="122"/>
      <c r="AD28" s="122"/>
      <c r="AE28" s="122"/>
      <c r="AF28" s="65"/>
      <c r="AG28" s="122"/>
      <c r="AH28" s="122"/>
      <c r="AI28" s="122"/>
      <c r="AJ28" s="65"/>
      <c r="AK28" s="122"/>
      <c r="AL28" s="122"/>
      <c r="AM28" s="122"/>
      <c r="AN28" s="122"/>
    </row>
    <row r="29" spans="1:40" x14ac:dyDescent="0.2">
      <c r="B29" s="3" t="s">
        <v>2086</v>
      </c>
      <c r="C29" s="3">
        <v>3</v>
      </c>
      <c r="I29" s="3"/>
      <c r="J29" s="3"/>
      <c r="O29" s="3"/>
      <c r="P29" s="11"/>
      <c r="X29" s="69"/>
      <c r="Y29" s="69"/>
      <c r="Z29" s="65"/>
      <c r="AA29" s="122"/>
      <c r="AB29" s="122"/>
      <c r="AC29" s="122"/>
      <c r="AD29" s="122"/>
      <c r="AE29" s="122"/>
      <c r="AF29" s="65"/>
      <c r="AG29" s="122"/>
      <c r="AH29" s="122"/>
      <c r="AI29" s="122"/>
      <c r="AJ29" s="65"/>
      <c r="AK29" s="122"/>
      <c r="AL29" s="122"/>
      <c r="AM29" s="122"/>
      <c r="AN29" s="122"/>
    </row>
    <row r="30" spans="1:40" x14ac:dyDescent="0.2">
      <c r="B30" s="3" t="s">
        <v>2219</v>
      </c>
      <c r="C30" s="3" t="s">
        <v>2347</v>
      </c>
      <c r="F30" s="62"/>
      <c r="I30" s="3"/>
      <c r="J30" s="3"/>
      <c r="O30" s="3" t="s">
        <v>300</v>
      </c>
      <c r="P30" s="11">
        <v>109140000</v>
      </c>
      <c r="X30" s="69"/>
      <c r="Y30" s="69"/>
      <c r="Z30" s="65"/>
      <c r="AA30" s="122"/>
      <c r="AB30" s="122"/>
      <c r="AC30" s="122"/>
      <c r="AD30" s="122"/>
      <c r="AE30" s="122"/>
      <c r="AF30" s="65"/>
      <c r="AG30" s="122"/>
      <c r="AH30" s="122"/>
      <c r="AI30" s="122"/>
      <c r="AJ30" s="65"/>
      <c r="AK30" s="122"/>
      <c r="AL30" s="122"/>
      <c r="AM30" s="122"/>
      <c r="AN30" s="122"/>
    </row>
    <row r="31" spans="1:40" x14ac:dyDescent="0.2">
      <c r="B31" s="3" t="s">
        <v>301</v>
      </c>
      <c r="C31" s="61">
        <v>0</v>
      </c>
      <c r="F31" s="62"/>
      <c r="I31" s="3"/>
      <c r="J31" s="3"/>
      <c r="O31" s="22" t="s">
        <v>302</v>
      </c>
      <c r="P31" s="11">
        <v>132627000</v>
      </c>
      <c r="X31" s="69"/>
      <c r="Y31" s="69"/>
      <c r="Z31" s="65"/>
      <c r="AA31" s="122"/>
      <c r="AB31" s="122"/>
      <c r="AC31" s="122"/>
      <c r="AD31" s="122"/>
      <c r="AE31" s="122"/>
      <c r="AF31" s="65"/>
      <c r="AG31" s="122"/>
      <c r="AH31" s="122"/>
      <c r="AI31" s="122"/>
      <c r="AJ31" s="65"/>
      <c r="AK31" s="122"/>
      <c r="AL31" s="122"/>
      <c r="AM31" s="122"/>
      <c r="AN31" s="122"/>
    </row>
    <row r="32" spans="1:40" x14ac:dyDescent="0.2">
      <c r="B32" s="3" t="s">
        <v>303</v>
      </c>
      <c r="C32" s="61">
        <v>0</v>
      </c>
      <c r="F32" s="62"/>
      <c r="I32" s="3"/>
      <c r="J32" s="61"/>
      <c r="O32" s="3"/>
      <c r="X32" s="69"/>
      <c r="Y32" s="69"/>
      <c r="Z32" s="65"/>
      <c r="AA32" s="122"/>
      <c r="AB32" s="122"/>
      <c r="AC32" s="122"/>
      <c r="AD32" s="122"/>
      <c r="AE32" s="122"/>
      <c r="AF32" s="65"/>
      <c r="AG32" s="122"/>
      <c r="AH32" s="122"/>
      <c r="AI32" s="122"/>
      <c r="AJ32" s="122"/>
      <c r="AK32" s="122"/>
      <c r="AL32" s="122"/>
      <c r="AM32" s="122"/>
      <c r="AN32" s="122"/>
    </row>
    <row r="33" spans="2:40" x14ac:dyDescent="0.2">
      <c r="B33" s="3"/>
      <c r="C33" s="61"/>
      <c r="J33" s="3"/>
      <c r="O33" s="3"/>
      <c r="X33" s="122"/>
      <c r="Y33" s="122"/>
      <c r="Z33" s="122"/>
      <c r="AA33" s="122"/>
      <c r="AB33" s="122"/>
      <c r="AC33" s="122"/>
      <c r="AD33" s="122"/>
      <c r="AE33" s="122"/>
      <c r="AF33" s="65"/>
      <c r="AG33" s="122"/>
      <c r="AH33" s="122"/>
      <c r="AI33" s="122"/>
      <c r="AJ33" s="122"/>
      <c r="AK33" s="122"/>
      <c r="AL33" s="122"/>
      <c r="AM33" s="122"/>
      <c r="AN33" s="122"/>
    </row>
    <row r="34" spans="2:40" x14ac:dyDescent="0.2">
      <c r="B34" s="71" t="s">
        <v>2084</v>
      </c>
      <c r="J34" s="3"/>
      <c r="O34" s="3"/>
      <c r="X34" s="122"/>
      <c r="Y34" s="122"/>
      <c r="Z34" s="122"/>
      <c r="AA34" s="122"/>
      <c r="AB34" s="122"/>
      <c r="AC34" s="122"/>
      <c r="AD34" s="122"/>
      <c r="AE34" s="122"/>
      <c r="AF34" s="122"/>
      <c r="AG34" s="122"/>
      <c r="AH34" s="122"/>
      <c r="AI34" s="122"/>
      <c r="AJ34" s="122"/>
      <c r="AK34" s="122"/>
      <c r="AL34" s="122"/>
      <c r="AM34" s="122"/>
      <c r="AN34" s="122"/>
    </row>
    <row r="35" spans="2:40" x14ac:dyDescent="0.2">
      <c r="B35" s="3" t="s">
        <v>304</v>
      </c>
      <c r="C35" s="41">
        <f>19/64</f>
        <v>0.296875</v>
      </c>
      <c r="D35" s="3" t="s">
        <v>757</v>
      </c>
      <c r="E35" s="3"/>
      <c r="J35" s="22"/>
      <c r="O35" s="22"/>
      <c r="X35" s="122"/>
      <c r="Y35" s="122"/>
      <c r="Z35" s="122"/>
      <c r="AA35" s="122"/>
      <c r="AB35" s="122"/>
      <c r="AC35" s="122"/>
      <c r="AD35" s="122"/>
      <c r="AE35" s="122"/>
      <c r="AF35" s="122"/>
      <c r="AG35" s="122"/>
      <c r="AH35" s="122"/>
      <c r="AI35" s="122"/>
      <c r="AJ35" s="122"/>
      <c r="AK35" s="122"/>
      <c r="AL35" s="122"/>
      <c r="AM35" s="122"/>
      <c r="AN35" s="122"/>
    </row>
    <row r="36" spans="2:40" x14ac:dyDescent="0.2">
      <c r="B36" s="3" t="s">
        <v>306</v>
      </c>
      <c r="C36" s="113">
        <v>107.6</v>
      </c>
      <c r="D36" s="3" t="s">
        <v>2326</v>
      </c>
      <c r="E36" s="3"/>
    </row>
    <row r="37" spans="2:40" x14ac:dyDescent="0.2">
      <c r="B37" s="3" t="s">
        <v>307</v>
      </c>
      <c r="C37" s="113">
        <v>111.6</v>
      </c>
      <c r="D37" s="3" t="s">
        <v>2250</v>
      </c>
      <c r="E37" s="3"/>
    </row>
    <row r="38" spans="2:40" x14ac:dyDescent="0.2">
      <c r="B38" s="3" t="s">
        <v>308</v>
      </c>
      <c r="C38" s="113">
        <f>C36-C37</f>
        <v>-4</v>
      </c>
      <c r="D38" s="3" t="s">
        <v>2326</v>
      </c>
      <c r="E38" s="3"/>
    </row>
    <row r="39" spans="2:40" x14ac:dyDescent="0.2">
      <c r="B39" s="3" t="s">
        <v>309</v>
      </c>
      <c r="C39" s="36">
        <v>103.94</v>
      </c>
      <c r="D39" s="3" t="s">
        <v>2178</v>
      </c>
      <c r="E39" s="3"/>
    </row>
    <row r="40" spans="2:40" x14ac:dyDescent="0.2">
      <c r="B40" s="3"/>
      <c r="C40" s="3"/>
      <c r="D40" s="3"/>
      <c r="E40" s="3"/>
    </row>
    <row r="41" spans="2:40" x14ac:dyDescent="0.2">
      <c r="B41" s="155" t="s">
        <v>310</v>
      </c>
      <c r="C41" s="3"/>
      <c r="D41" s="3"/>
      <c r="E41" s="3"/>
    </row>
    <row r="42" spans="2:40" x14ac:dyDescent="0.2">
      <c r="B42" s="155" t="s">
        <v>1401</v>
      </c>
      <c r="C42" s="3"/>
      <c r="D42" s="3"/>
      <c r="E42" s="3"/>
    </row>
    <row r="43" spans="2:40" x14ac:dyDescent="0.2">
      <c r="B43" s="156"/>
      <c r="C43" s="3"/>
      <c r="D43" s="3"/>
      <c r="E43" s="3"/>
    </row>
    <row r="44" spans="2:40" x14ac:dyDescent="0.2">
      <c r="B44" s="155" t="s">
        <v>318</v>
      </c>
      <c r="C44" s="3"/>
      <c r="D44" s="3"/>
      <c r="E44" s="3"/>
    </row>
    <row r="45" spans="2:40" x14ac:dyDescent="0.2">
      <c r="B45" s="155" t="s">
        <v>1402</v>
      </c>
      <c r="C45" s="3"/>
      <c r="D45" s="3"/>
      <c r="E45" s="3"/>
    </row>
    <row r="46" spans="2:40" x14ac:dyDescent="0.2">
      <c r="B46" s="155" t="s">
        <v>1403</v>
      </c>
      <c r="C46" s="3"/>
      <c r="D46" s="3"/>
      <c r="E46" s="3"/>
    </row>
    <row r="47" spans="2:40" x14ac:dyDescent="0.2">
      <c r="B47" s="155"/>
      <c r="C47" s="3"/>
      <c r="D47" s="3"/>
      <c r="E47" s="3"/>
    </row>
    <row r="48" spans="2:40" x14ac:dyDescent="0.2">
      <c r="B48" s="5" t="s">
        <v>2228</v>
      </c>
      <c r="C48" s="3"/>
      <c r="D48" s="3"/>
      <c r="E48" s="3"/>
    </row>
    <row r="49" spans="2:10" x14ac:dyDescent="0.2">
      <c r="B49" s="39" t="s">
        <v>322</v>
      </c>
      <c r="C49" s="3">
        <v>19</v>
      </c>
      <c r="D49" s="3">
        <v>45</v>
      </c>
      <c r="E49" s="3" t="s">
        <v>757</v>
      </c>
      <c r="G49" s="60" t="s">
        <v>1400</v>
      </c>
      <c r="J49" s="148" t="s">
        <v>324</v>
      </c>
    </row>
    <row r="50" spans="2:10" x14ac:dyDescent="0.2">
      <c r="B50" s="39" t="s">
        <v>325</v>
      </c>
      <c r="C50" s="3">
        <v>36</v>
      </c>
      <c r="D50" s="3">
        <v>46</v>
      </c>
      <c r="E50" s="3" t="s">
        <v>759</v>
      </c>
      <c r="G50" s="60" t="s">
        <v>1404</v>
      </c>
      <c r="J50" s="148" t="s">
        <v>324</v>
      </c>
    </row>
    <row r="51" spans="2:10" x14ac:dyDescent="0.2">
      <c r="B51" s="39" t="s">
        <v>327</v>
      </c>
      <c r="C51" s="3">
        <v>47</v>
      </c>
      <c r="D51" s="3">
        <v>35</v>
      </c>
      <c r="E51" s="3" t="s">
        <v>763</v>
      </c>
      <c r="G51" s="60" t="s">
        <v>622</v>
      </c>
      <c r="J51" s="60" t="s">
        <v>762</v>
      </c>
    </row>
    <row r="52" spans="2:10" x14ac:dyDescent="0.2">
      <c r="B52" s="39" t="s">
        <v>330</v>
      </c>
      <c r="C52" s="3">
        <v>31</v>
      </c>
      <c r="D52" s="3">
        <v>51</v>
      </c>
      <c r="E52" s="3" t="s">
        <v>758</v>
      </c>
      <c r="G52" s="60" t="s">
        <v>622</v>
      </c>
      <c r="J52" s="148" t="s">
        <v>324</v>
      </c>
    </row>
    <row r="53" spans="2:10" x14ac:dyDescent="0.2">
      <c r="B53" s="39" t="s">
        <v>333</v>
      </c>
      <c r="C53" s="3">
        <v>29</v>
      </c>
      <c r="D53" s="3">
        <v>53</v>
      </c>
      <c r="E53" s="3" t="s">
        <v>758</v>
      </c>
      <c r="G53" s="60" t="s">
        <v>1405</v>
      </c>
      <c r="J53" s="148" t="s">
        <v>324</v>
      </c>
    </row>
    <row r="54" spans="2:10" x14ac:dyDescent="0.2">
      <c r="B54" s="39" t="s">
        <v>336</v>
      </c>
      <c r="C54" s="3">
        <v>16</v>
      </c>
      <c r="D54" s="3">
        <v>66</v>
      </c>
      <c r="E54" s="3" t="s">
        <v>942</v>
      </c>
      <c r="G54" s="60" t="s">
        <v>1406</v>
      </c>
      <c r="J54" s="148" t="s">
        <v>324</v>
      </c>
    </row>
    <row r="55" spans="2:10" x14ac:dyDescent="0.2">
      <c r="B55" s="39" t="s">
        <v>339</v>
      </c>
      <c r="C55" s="3">
        <v>40</v>
      </c>
      <c r="D55" s="3">
        <v>42</v>
      </c>
      <c r="E55" s="3" t="s">
        <v>765</v>
      </c>
      <c r="G55" s="60" t="s">
        <v>1016</v>
      </c>
      <c r="J55" s="148" t="s">
        <v>324</v>
      </c>
    </row>
    <row r="56" spans="2:10" x14ac:dyDescent="0.2">
      <c r="B56" s="39" t="s">
        <v>342</v>
      </c>
      <c r="C56" s="3">
        <v>31</v>
      </c>
      <c r="D56" s="3">
        <v>51</v>
      </c>
      <c r="E56" s="3" t="s">
        <v>820</v>
      </c>
      <c r="G56" s="60" t="s">
        <v>1016</v>
      </c>
      <c r="J56" s="148" t="s">
        <v>324</v>
      </c>
    </row>
    <row r="57" spans="2:10" x14ac:dyDescent="0.2">
      <c r="B57" s="39" t="s">
        <v>346</v>
      </c>
      <c r="C57" s="3">
        <v>26</v>
      </c>
      <c r="D57" s="3">
        <v>40</v>
      </c>
      <c r="E57" s="3" t="s">
        <v>820</v>
      </c>
      <c r="G57" s="60" t="s">
        <v>1016</v>
      </c>
      <c r="J57" s="148" t="s">
        <v>324</v>
      </c>
    </row>
    <row r="58" spans="2:10" x14ac:dyDescent="0.2">
      <c r="B58" s="39" t="s">
        <v>348</v>
      </c>
      <c r="C58" s="3">
        <v>17</v>
      </c>
      <c r="D58" s="3">
        <v>65</v>
      </c>
      <c r="E58" s="3" t="s">
        <v>942</v>
      </c>
      <c r="G58" s="60" t="s">
        <v>1407</v>
      </c>
      <c r="J58" s="148" t="s">
        <v>324</v>
      </c>
    </row>
    <row r="59" spans="2:10" x14ac:dyDescent="0.2">
      <c r="B59" s="3" t="s">
        <v>350</v>
      </c>
      <c r="C59" s="3">
        <f>SUM(C49:C58)</f>
        <v>292</v>
      </c>
      <c r="D59" s="3">
        <f>SUM(D49:D58)</f>
        <v>494</v>
      </c>
      <c r="E59" s="41">
        <f>C59/(C59+D59)</f>
        <v>0.37150127226463103</v>
      </c>
    </row>
    <row r="60" spans="2:10" x14ac:dyDescent="0.2">
      <c r="B60" s="3"/>
      <c r="C60" s="3"/>
      <c r="D60" s="3"/>
      <c r="E60" s="41"/>
    </row>
  </sheetData>
  <hyperlinks>
    <hyperlink ref="B49" r:id="rId1" xr:uid="{21D461DD-2F1D-AC42-8945-A3FCD19C1374}"/>
    <hyperlink ref="B50" r:id="rId2" xr:uid="{5D5ADA16-78AB-B64E-BECA-5923E027BA56}"/>
    <hyperlink ref="B51" r:id="rId3" xr:uid="{8E0C3B5D-2F45-7249-80DB-2E219CF7505D}"/>
    <hyperlink ref="B52" r:id="rId4" xr:uid="{27202E1D-8674-3849-ABB8-BE55558FC8A3}"/>
    <hyperlink ref="B53" r:id="rId5" xr:uid="{9FD01070-6635-BC49-8F87-C5BA5A773EB5}"/>
    <hyperlink ref="B54" r:id="rId6" xr:uid="{D02D8CF2-312A-6843-BD9D-8AF5FC91B326}"/>
    <hyperlink ref="B55" r:id="rId7" xr:uid="{21A90CFD-8A63-E74F-8F0E-7223B5C33CE5}"/>
    <hyperlink ref="B56" r:id="rId8" xr:uid="{C536D7C1-B453-BA4E-9053-8CBB1965590A}"/>
    <hyperlink ref="B57" r:id="rId9" xr:uid="{50380767-2670-024B-BE69-6899539D1132}"/>
    <hyperlink ref="B58" r:id="rId10" xr:uid="{EA7B0F9E-34F6-AF47-A23A-DB60778A1502}"/>
  </hyperlinks>
  <pageMargins left="0.7" right="0.7" top="0.75" bottom="0.75" header="0.3" footer="0.3"/>
  <legacyDrawing r:id="rId1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8412B-16DD-9C46-8195-8F00E1398A65}">
  <dimension ref="A1:AR68"/>
  <sheetViews>
    <sheetView zoomScaleNormal="100" workbookViewId="0">
      <selection sqref="A1:AR1"/>
    </sheetView>
  </sheetViews>
  <sheetFormatPr baseColWidth="10" defaultColWidth="11" defaultRowHeight="16" x14ac:dyDescent="0.2"/>
  <cols>
    <col min="1" max="1" width="3.83203125" customWidth="1"/>
    <col min="2" max="2" width="22" customWidth="1"/>
    <col min="3" max="3" width="12.6640625" customWidth="1"/>
    <col min="7" max="7" width="11" bestFit="1" customWidth="1"/>
    <col min="8" max="8" width="6" customWidth="1"/>
    <col min="9" max="9" width="27" customWidth="1"/>
    <col min="10" max="10" width="11" customWidth="1"/>
    <col min="11" max="11" width="11.83203125" customWidth="1"/>
    <col min="12" max="12" width="5" customWidth="1"/>
    <col min="13" max="13" width="24.33203125" customWidth="1"/>
    <col min="14" max="14" width="16.5" customWidth="1"/>
    <col min="15" max="15" width="37.83203125" customWidth="1"/>
    <col min="16" max="16" width="13.33203125" bestFit="1" customWidth="1"/>
    <col min="17" max="19" width="12.33203125" bestFit="1" customWidth="1"/>
    <col min="20" max="20" width="12.33203125" customWidth="1"/>
    <col min="21" max="21" width="9.6640625" customWidth="1"/>
    <col min="22" max="22" width="187.5" customWidth="1"/>
    <col min="23" max="23" width="26.1640625" customWidth="1"/>
    <col min="24" max="24" width="9.83203125" customWidth="1"/>
    <col min="25" max="25" width="4" customWidth="1"/>
    <col min="26" max="26" width="8" customWidth="1"/>
    <col min="27" max="28" width="5.83203125" customWidth="1"/>
    <col min="29" max="29" width="7.5" customWidth="1"/>
    <col min="30" max="30" width="5.1640625" customWidth="1"/>
    <col min="31" max="31" width="4.83203125" customWidth="1"/>
    <col min="32" max="32" width="6.1640625" customWidth="1"/>
    <col min="33" max="33" width="7.83203125" customWidth="1"/>
    <col min="34" max="34" width="4.83203125" customWidth="1"/>
    <col min="35" max="35" width="5.1640625" customWidth="1"/>
    <col min="36" max="36" width="6.83203125" customWidth="1"/>
    <col min="37" max="37" width="6.1640625" customWidth="1"/>
    <col min="38" max="38" width="6" customWidth="1"/>
    <col min="39" max="39" width="5.33203125" customWidth="1"/>
    <col min="40" max="40" width="5" customWidth="1"/>
  </cols>
  <sheetData>
    <row r="1" spans="1:44" x14ac:dyDescent="0.2">
      <c r="A1" s="223" t="s">
        <v>2394</v>
      </c>
      <c r="B1" s="223" t="s">
        <v>2395</v>
      </c>
      <c r="C1" s="223" t="s">
        <v>2396</v>
      </c>
      <c r="D1" s="223" t="s">
        <v>2397</v>
      </c>
      <c r="E1" s="223" t="s">
        <v>2398</v>
      </c>
      <c r="F1" s="223" t="s">
        <v>2399</v>
      </c>
      <c r="G1" s="223" t="s">
        <v>2400</v>
      </c>
      <c r="H1" s="223" t="s">
        <v>2401</v>
      </c>
      <c r="I1" s="223" t="s">
        <v>2402</v>
      </c>
      <c r="J1" s="223" t="s">
        <v>2403</v>
      </c>
      <c r="K1" s="223" t="s">
        <v>2404</v>
      </c>
      <c r="L1" s="223" t="s">
        <v>2405</v>
      </c>
      <c r="M1" s="223" t="s">
        <v>2406</v>
      </c>
      <c r="N1" s="223" t="s">
        <v>2407</v>
      </c>
      <c r="O1" s="223" t="s">
        <v>2408</v>
      </c>
      <c r="P1" s="223" t="s">
        <v>2409</v>
      </c>
      <c r="Q1" s="223" t="s">
        <v>2410</v>
      </c>
      <c r="R1" s="223" t="s">
        <v>2411</v>
      </c>
      <c r="S1" s="223" t="s">
        <v>2412</v>
      </c>
      <c r="T1" s="223" t="s">
        <v>2413</v>
      </c>
      <c r="U1" s="223" t="s">
        <v>2414</v>
      </c>
      <c r="V1" s="223" t="s">
        <v>2415</v>
      </c>
      <c r="W1" s="223" t="s">
        <v>2416</v>
      </c>
      <c r="X1" s="223" t="s">
        <v>2433</v>
      </c>
      <c r="Y1" s="223" t="s">
        <v>2417</v>
      </c>
      <c r="Z1" s="223" t="s">
        <v>2418</v>
      </c>
      <c r="AA1" s="223" t="s">
        <v>2419</v>
      </c>
      <c r="AB1" s="223" t="s">
        <v>2420</v>
      </c>
      <c r="AC1" s="223" t="s">
        <v>2421</v>
      </c>
      <c r="AD1" s="223" t="s">
        <v>2422</v>
      </c>
      <c r="AE1" s="223" t="s">
        <v>2423</v>
      </c>
      <c r="AF1" s="223" t="s">
        <v>2424</v>
      </c>
      <c r="AG1" s="223" t="s">
        <v>2425</v>
      </c>
      <c r="AH1" s="223" t="s">
        <v>2426</v>
      </c>
      <c r="AI1" s="223" t="s">
        <v>2427</v>
      </c>
      <c r="AJ1" s="223" t="s">
        <v>2428</v>
      </c>
      <c r="AK1" s="223" t="s">
        <v>2429</v>
      </c>
      <c r="AL1" s="223" t="s">
        <v>2430</v>
      </c>
      <c r="AM1" s="223" t="s">
        <v>2431</v>
      </c>
      <c r="AN1" s="223" t="s">
        <v>2432</v>
      </c>
      <c r="AO1" s="224"/>
      <c r="AP1" s="225"/>
      <c r="AQ1" s="6"/>
      <c r="AR1" s="6"/>
    </row>
    <row r="2" spans="1:44" x14ac:dyDescent="0.2">
      <c r="A2" s="3">
        <v>11</v>
      </c>
      <c r="B2" s="3" t="s">
        <v>209</v>
      </c>
      <c r="C2" s="2" t="s">
        <v>232</v>
      </c>
      <c r="D2" s="108">
        <v>63</v>
      </c>
      <c r="E2" s="108">
        <v>67</v>
      </c>
      <c r="F2" s="109">
        <v>205</v>
      </c>
      <c r="G2" s="4">
        <v>33036</v>
      </c>
      <c r="H2" s="122">
        <f t="shared" ref="H2:H10" ca="1" si="0">ROUNDDOWN(YEARFRAC($G$27,G2),1)</f>
        <v>30.3</v>
      </c>
      <c r="I2" t="s">
        <v>564</v>
      </c>
      <c r="J2" s="110">
        <v>12</v>
      </c>
      <c r="K2" s="110">
        <v>2009</v>
      </c>
      <c r="L2" s="110">
        <v>17</v>
      </c>
      <c r="M2" s="2" t="s">
        <v>1408</v>
      </c>
      <c r="N2" s="2" t="s">
        <v>1</v>
      </c>
      <c r="O2" t="s">
        <v>1409</v>
      </c>
      <c r="P2" s="11">
        <v>26231111</v>
      </c>
      <c r="Q2" s="48">
        <v>27120000</v>
      </c>
      <c r="R2" s="14">
        <f>Q2*1.5</f>
        <v>40680000</v>
      </c>
      <c r="S2" s="12"/>
      <c r="T2" s="12"/>
      <c r="V2" t="s">
        <v>1410</v>
      </c>
      <c r="W2" t="s">
        <v>1411</v>
      </c>
      <c r="X2" s="110">
        <v>2</v>
      </c>
      <c r="Y2" s="110">
        <v>55</v>
      </c>
      <c r="Z2" s="41">
        <f>24/55</f>
        <v>0.43636363636363634</v>
      </c>
      <c r="AA2" s="113">
        <v>110.5</v>
      </c>
      <c r="AB2" s="113">
        <v>109.9</v>
      </c>
      <c r="AC2" s="113">
        <f t="shared" ref="AC2:AC10" si="1">AA2-AB2</f>
        <v>0.59999999999999432</v>
      </c>
      <c r="AD2" s="113">
        <v>34.9</v>
      </c>
      <c r="AE2" s="113">
        <v>17.5</v>
      </c>
      <c r="AF2" s="41">
        <v>0.53500000000000003</v>
      </c>
      <c r="AG2" s="113">
        <v>24.7</v>
      </c>
      <c r="AH2" s="113">
        <v>2.1</v>
      </c>
      <c r="AI2" s="113">
        <v>1.8</v>
      </c>
      <c r="AJ2" s="41">
        <v>9.9000000000000005E-2</v>
      </c>
      <c r="AK2" s="113">
        <v>1.9</v>
      </c>
      <c r="AL2" s="113">
        <v>0.3</v>
      </c>
      <c r="AM2" s="113">
        <v>2.1</v>
      </c>
      <c r="AN2" s="113">
        <v>11.7</v>
      </c>
    </row>
    <row r="3" spans="1:44" x14ac:dyDescent="0.2">
      <c r="A3" s="3">
        <v>4</v>
      </c>
      <c r="B3" s="3" t="s">
        <v>1413</v>
      </c>
      <c r="C3" s="2" t="s">
        <v>255</v>
      </c>
      <c r="D3" s="108">
        <v>63</v>
      </c>
      <c r="E3" s="108">
        <v>63</v>
      </c>
      <c r="F3" s="109">
        <v>200</v>
      </c>
      <c r="G3" s="4">
        <v>30857</v>
      </c>
      <c r="H3" s="122">
        <f t="shared" ca="1" si="0"/>
        <v>36.299999999999997</v>
      </c>
      <c r="I3" t="s">
        <v>256</v>
      </c>
      <c r="J3" s="3">
        <v>15</v>
      </c>
      <c r="K3" s="110">
        <v>2006</v>
      </c>
      <c r="L3" s="110">
        <v>11</v>
      </c>
      <c r="M3" s="2" t="s">
        <v>379</v>
      </c>
      <c r="N3" s="2" t="s">
        <v>285</v>
      </c>
      <c r="O3" t="s">
        <v>1414</v>
      </c>
      <c r="P3" s="11">
        <v>13013700</v>
      </c>
      <c r="Q3" s="14">
        <f>P3*1.3</f>
        <v>16917810</v>
      </c>
      <c r="R3" s="12"/>
      <c r="S3" s="12"/>
      <c r="T3" s="12"/>
      <c r="W3" t="s">
        <v>1415</v>
      </c>
      <c r="X3" s="110">
        <v>2</v>
      </c>
      <c r="Y3" s="110">
        <v>54</v>
      </c>
      <c r="Z3" s="41">
        <f>24/54</f>
        <v>0.44444444444444442</v>
      </c>
      <c r="AA3" s="113">
        <v>112.2</v>
      </c>
      <c r="AB3" s="113">
        <v>112.4</v>
      </c>
      <c r="AC3" s="113">
        <f t="shared" si="1"/>
        <v>-0.20000000000000284</v>
      </c>
      <c r="AD3" s="113">
        <v>26.4</v>
      </c>
      <c r="AE3" s="113">
        <v>15.1</v>
      </c>
      <c r="AF3" s="41">
        <v>0.63900000000000001</v>
      </c>
      <c r="AG3" s="113">
        <v>19.899999999999999</v>
      </c>
      <c r="AH3" s="113">
        <v>3.2</v>
      </c>
      <c r="AI3" s="113">
        <v>0.6</v>
      </c>
      <c r="AJ3" s="41">
        <v>0.125</v>
      </c>
      <c r="AK3" s="113">
        <v>2</v>
      </c>
      <c r="AL3" s="113">
        <v>-1.6</v>
      </c>
      <c r="AM3" s="113">
        <v>0.9</v>
      </c>
      <c r="AN3" s="113">
        <v>9.6</v>
      </c>
    </row>
    <row r="4" spans="1:44" ht="17" x14ac:dyDescent="0.2">
      <c r="A4" s="3">
        <v>2</v>
      </c>
      <c r="B4" s="3" t="s">
        <v>1420</v>
      </c>
      <c r="C4" s="2" t="s">
        <v>232</v>
      </c>
      <c r="D4" s="108">
        <v>66</v>
      </c>
      <c r="E4" s="108">
        <v>69</v>
      </c>
      <c r="F4" s="109">
        <v>190</v>
      </c>
      <c r="G4" s="4">
        <v>35730</v>
      </c>
      <c r="H4" s="122">
        <f t="shared" ca="1" si="0"/>
        <v>22.9</v>
      </c>
      <c r="I4" t="s">
        <v>564</v>
      </c>
      <c r="J4" s="3">
        <v>4</v>
      </c>
      <c r="K4" s="110">
        <v>2017</v>
      </c>
      <c r="L4" s="110">
        <v>2</v>
      </c>
      <c r="M4" s="2" t="s">
        <v>1421</v>
      </c>
      <c r="N4" s="2" t="s">
        <v>1422</v>
      </c>
      <c r="O4" t="s">
        <v>1423</v>
      </c>
      <c r="P4" s="11">
        <v>11003782</v>
      </c>
      <c r="Q4" s="50">
        <f>P4*2.5</f>
        <v>27509455</v>
      </c>
      <c r="R4" s="12"/>
      <c r="S4" s="12"/>
      <c r="T4" s="35"/>
      <c r="W4" t="s">
        <v>1424</v>
      </c>
      <c r="X4" s="110">
        <v>1</v>
      </c>
      <c r="Y4" s="110">
        <v>56</v>
      </c>
      <c r="Z4" s="41">
        <f>24/56</f>
        <v>0.42857142857142855</v>
      </c>
      <c r="AA4" s="113">
        <v>110.2</v>
      </c>
      <c r="AB4" s="113">
        <v>109.7</v>
      </c>
      <c r="AC4" s="113">
        <f t="shared" si="1"/>
        <v>0.5</v>
      </c>
      <c r="AD4" s="113">
        <v>32.4</v>
      </c>
      <c r="AE4" s="113">
        <v>13.7</v>
      </c>
      <c r="AF4" s="41">
        <v>0.52900000000000003</v>
      </c>
      <c r="AG4" s="113">
        <v>18.600000000000001</v>
      </c>
      <c r="AH4" s="113">
        <v>0.7</v>
      </c>
      <c r="AI4" s="113">
        <v>1.9</v>
      </c>
      <c r="AJ4" s="41">
        <v>6.8000000000000005E-2</v>
      </c>
      <c r="AK4" s="113">
        <v>0.4</v>
      </c>
      <c r="AL4" s="113">
        <v>0.6</v>
      </c>
      <c r="AM4" s="113">
        <v>1.3</v>
      </c>
      <c r="AN4" s="113">
        <v>10.5</v>
      </c>
    </row>
    <row r="5" spans="1:44" ht="17" x14ac:dyDescent="0.2">
      <c r="A5" s="3">
        <v>1</v>
      </c>
      <c r="B5" s="3" t="s">
        <v>1416</v>
      </c>
      <c r="C5" s="2" t="s">
        <v>236</v>
      </c>
      <c r="D5" s="108">
        <v>66</v>
      </c>
      <c r="E5" s="108">
        <v>611</v>
      </c>
      <c r="F5" s="109">
        <v>284</v>
      </c>
      <c r="G5" s="4">
        <v>36713</v>
      </c>
      <c r="H5" s="122">
        <f t="shared" ca="1" si="0"/>
        <v>20.3</v>
      </c>
      <c r="I5" t="s">
        <v>256</v>
      </c>
      <c r="J5" s="3">
        <v>2</v>
      </c>
      <c r="K5" s="110">
        <v>2019</v>
      </c>
      <c r="L5" s="110">
        <v>1</v>
      </c>
      <c r="M5" s="2" t="s">
        <v>1417</v>
      </c>
      <c r="N5" s="2" t="s">
        <v>247</v>
      </c>
      <c r="O5" t="s">
        <v>1418</v>
      </c>
      <c r="P5" s="11">
        <v>10245480</v>
      </c>
      <c r="Q5" s="51">
        <v>10733400</v>
      </c>
      <c r="R5" s="51">
        <v>13534817</v>
      </c>
      <c r="S5" s="50">
        <f>R5*2.5</f>
        <v>33837042.5</v>
      </c>
      <c r="T5" s="35"/>
      <c r="W5" t="s">
        <v>1419</v>
      </c>
      <c r="X5" s="110">
        <v>4</v>
      </c>
      <c r="Y5" s="110">
        <v>19</v>
      </c>
      <c r="Z5" s="41">
        <f>10/19</f>
        <v>0.52631578947368418</v>
      </c>
      <c r="AA5" s="113">
        <v>113.5</v>
      </c>
      <c r="AB5" s="113">
        <v>103.1</v>
      </c>
      <c r="AC5" s="113">
        <f t="shared" si="1"/>
        <v>10.400000000000006</v>
      </c>
      <c r="AD5" s="113">
        <v>29.7</v>
      </c>
      <c r="AE5" s="113">
        <v>24.2</v>
      </c>
      <c r="AF5" s="41">
        <v>0.624</v>
      </c>
      <c r="AG5" s="113">
        <v>29.6</v>
      </c>
      <c r="AH5" s="113">
        <v>1.3</v>
      </c>
      <c r="AI5" s="113">
        <v>0.4</v>
      </c>
      <c r="AJ5" s="41">
        <v>0.14899999999999999</v>
      </c>
      <c r="AK5" s="113">
        <v>3.5</v>
      </c>
      <c r="AL5" s="113">
        <v>-1.1000000000000001</v>
      </c>
      <c r="AM5" s="113">
        <v>0.6</v>
      </c>
      <c r="AN5" s="113">
        <v>14.3</v>
      </c>
    </row>
    <row r="6" spans="1:44" x14ac:dyDescent="0.2">
      <c r="A6" s="3">
        <v>21</v>
      </c>
      <c r="B6" s="3" t="s">
        <v>115</v>
      </c>
      <c r="C6" s="2" t="s">
        <v>244</v>
      </c>
      <c r="D6" s="108">
        <v>66</v>
      </c>
      <c r="E6" s="108">
        <v>69</v>
      </c>
      <c r="F6" s="109">
        <v>225</v>
      </c>
      <c r="G6" s="4">
        <v>32953</v>
      </c>
      <c r="H6" s="122">
        <f t="shared" ca="1" si="0"/>
        <v>30.5</v>
      </c>
      <c r="I6" t="s">
        <v>369</v>
      </c>
      <c r="J6" s="3">
        <v>7</v>
      </c>
      <c r="K6" s="110">
        <v>2012</v>
      </c>
      <c r="L6" s="110">
        <v>46</v>
      </c>
      <c r="M6" s="2" t="s">
        <v>1429</v>
      </c>
      <c r="N6" s="2" t="s">
        <v>1430</v>
      </c>
      <c r="O6" t="s">
        <v>1431</v>
      </c>
      <c r="P6" s="15">
        <v>7000000</v>
      </c>
      <c r="Q6" s="14">
        <f>P6*1.9</f>
        <v>13300000</v>
      </c>
      <c r="R6" s="12"/>
      <c r="S6" s="12"/>
      <c r="T6" s="12"/>
      <c r="W6" t="s">
        <v>1432</v>
      </c>
      <c r="X6" s="110">
        <v>3</v>
      </c>
      <c r="Y6" s="110">
        <v>69</v>
      </c>
      <c r="Z6" s="41">
        <f>31/69</f>
        <v>0.44927536231884058</v>
      </c>
      <c r="AA6" s="113">
        <v>109.6</v>
      </c>
      <c r="AB6" s="113">
        <v>109.8</v>
      </c>
      <c r="AC6" s="113">
        <f t="shared" si="1"/>
        <v>-0.20000000000000284</v>
      </c>
      <c r="AD6" s="113">
        <v>25.5</v>
      </c>
      <c r="AE6" s="113">
        <v>8.4</v>
      </c>
      <c r="AF6" s="41">
        <v>0.55000000000000004</v>
      </c>
      <c r="AG6" s="113">
        <v>13.4</v>
      </c>
      <c r="AH6" s="113">
        <v>1.1000000000000001</v>
      </c>
      <c r="AI6" s="113">
        <v>0.6</v>
      </c>
      <c r="AJ6" s="41">
        <v>4.4999999999999998E-2</v>
      </c>
      <c r="AK6" s="113">
        <v>-2.1</v>
      </c>
      <c r="AL6" s="113">
        <v>-0.8</v>
      </c>
      <c r="AM6" s="113">
        <v>-0.4</v>
      </c>
      <c r="AN6" s="113">
        <v>4.8</v>
      </c>
    </row>
    <row r="7" spans="1:44" ht="17" x14ac:dyDescent="0.2">
      <c r="A7" s="3">
        <v>10</v>
      </c>
      <c r="B7" s="3" t="s">
        <v>1433</v>
      </c>
      <c r="C7" s="2" t="s">
        <v>236</v>
      </c>
      <c r="D7" s="108">
        <v>611</v>
      </c>
      <c r="E7" s="108">
        <v>74</v>
      </c>
      <c r="F7" s="109">
        <v>220</v>
      </c>
      <c r="G7" s="4">
        <v>36669</v>
      </c>
      <c r="H7" s="122">
        <f t="shared" ca="1" si="0"/>
        <v>20.399999999999999</v>
      </c>
      <c r="I7" t="s">
        <v>424</v>
      </c>
      <c r="J7" s="3">
        <v>2</v>
      </c>
      <c r="K7" s="110">
        <v>2019</v>
      </c>
      <c r="L7" s="110">
        <v>8</v>
      </c>
      <c r="M7" s="2" t="s">
        <v>1434</v>
      </c>
      <c r="N7" s="2" t="s">
        <v>247</v>
      </c>
      <c r="O7" s="7" t="s">
        <v>1435</v>
      </c>
      <c r="P7" s="11">
        <v>5105160</v>
      </c>
      <c r="Q7" s="51">
        <v>5348280</v>
      </c>
      <c r="R7" s="51">
        <v>6803012</v>
      </c>
      <c r="S7" s="50">
        <f>R7*3</f>
        <v>20409036</v>
      </c>
      <c r="T7" s="26"/>
      <c r="U7" s="35"/>
      <c r="W7" s="135" t="s">
        <v>240</v>
      </c>
      <c r="X7" s="110">
        <v>5</v>
      </c>
      <c r="Y7" s="110">
        <v>56</v>
      </c>
      <c r="Z7" s="41">
        <f>26/56</f>
        <v>0.4642857142857143</v>
      </c>
      <c r="AA7" s="113">
        <v>107.7</v>
      </c>
      <c r="AB7" s="113">
        <v>109.8</v>
      </c>
      <c r="AC7" s="113">
        <f t="shared" si="1"/>
        <v>-2.0999999999999943</v>
      </c>
      <c r="AD7" s="113">
        <v>17</v>
      </c>
      <c r="AE7" s="113">
        <v>17.8</v>
      </c>
      <c r="AF7" s="41">
        <v>0.67500000000000004</v>
      </c>
      <c r="AG7" s="113">
        <v>15.1</v>
      </c>
      <c r="AH7" s="113">
        <v>2.5</v>
      </c>
      <c r="AI7" s="113">
        <v>1</v>
      </c>
      <c r="AJ7" s="41">
        <v>0.17599999999999999</v>
      </c>
      <c r="AK7" s="113">
        <v>-0.8</v>
      </c>
      <c r="AL7" s="113">
        <v>0.8</v>
      </c>
      <c r="AM7" s="113">
        <v>0.5</v>
      </c>
      <c r="AN7" s="113">
        <v>9.5</v>
      </c>
    </row>
    <row r="8" spans="1:44" x14ac:dyDescent="0.2">
      <c r="A8" s="3">
        <v>20</v>
      </c>
      <c r="B8" s="3" t="s">
        <v>1436</v>
      </c>
      <c r="C8" s="2" t="s">
        <v>236</v>
      </c>
      <c r="D8" s="108">
        <v>69</v>
      </c>
      <c r="E8" s="108"/>
      <c r="F8" s="109">
        <v>236</v>
      </c>
      <c r="G8" s="4">
        <v>33264</v>
      </c>
      <c r="H8" s="122">
        <f t="shared" ca="1" si="0"/>
        <v>29.7</v>
      </c>
      <c r="I8" t="s">
        <v>393</v>
      </c>
      <c r="J8" s="3">
        <v>2</v>
      </c>
      <c r="K8" s="110">
        <v>2013</v>
      </c>
      <c r="L8" s="110"/>
      <c r="M8" s="2" t="s">
        <v>401</v>
      </c>
      <c r="N8" s="2" t="s">
        <v>299</v>
      </c>
      <c r="O8" t="s">
        <v>1145</v>
      </c>
      <c r="P8" s="11">
        <v>3897436</v>
      </c>
      <c r="Q8" s="50">
        <f>P8*1.3</f>
        <v>5066666.8</v>
      </c>
      <c r="R8" s="157"/>
      <c r="S8" s="3"/>
      <c r="T8" s="3"/>
      <c r="W8" t="s">
        <v>1437</v>
      </c>
      <c r="X8" s="110">
        <v>5</v>
      </c>
      <c r="Y8" s="110">
        <v>52</v>
      </c>
      <c r="Z8" s="41">
        <f>24/52</f>
        <v>0.46153846153846156</v>
      </c>
      <c r="AA8" s="113">
        <v>105.3</v>
      </c>
      <c r="AB8" s="113">
        <v>110.8</v>
      </c>
      <c r="AC8" s="113">
        <f t="shared" si="1"/>
        <v>-5.5</v>
      </c>
      <c r="AD8" s="113">
        <v>17.100000000000001</v>
      </c>
      <c r="AE8" s="113">
        <v>12.3</v>
      </c>
      <c r="AF8" s="41">
        <v>0.58299999999999996</v>
      </c>
      <c r="AG8" s="113">
        <v>15.9</v>
      </c>
      <c r="AH8" s="113">
        <v>1</v>
      </c>
      <c r="AI8" s="113">
        <v>0.8</v>
      </c>
      <c r="AJ8" s="41">
        <v>9.5000000000000001E-2</v>
      </c>
      <c r="AK8" s="113">
        <v>-0.9</v>
      </c>
      <c r="AL8" s="113">
        <v>0.3</v>
      </c>
      <c r="AM8" s="113">
        <v>0.3</v>
      </c>
      <c r="AN8" s="113">
        <v>7.7</v>
      </c>
    </row>
    <row r="9" spans="1:44" x14ac:dyDescent="0.2">
      <c r="A9" s="3">
        <v>3</v>
      </c>
      <c r="B9" s="3" t="s">
        <v>1442</v>
      </c>
      <c r="C9" s="2" t="s">
        <v>244</v>
      </c>
      <c r="D9" s="108">
        <v>65</v>
      </c>
      <c r="E9" s="108">
        <v>69</v>
      </c>
      <c r="F9" s="109">
        <v>215</v>
      </c>
      <c r="G9" s="4">
        <v>34764</v>
      </c>
      <c r="H9" s="122">
        <f t="shared" ca="1" si="0"/>
        <v>25.6</v>
      </c>
      <c r="I9" t="s">
        <v>589</v>
      </c>
      <c r="J9" s="3">
        <v>4</v>
      </c>
      <c r="K9" s="110">
        <v>2017</v>
      </c>
      <c r="L9" s="110">
        <v>30</v>
      </c>
      <c r="M9" s="2" t="s">
        <v>1421</v>
      </c>
      <c r="N9" s="2" t="s">
        <v>1422</v>
      </c>
      <c r="O9" t="s">
        <v>1443</v>
      </c>
      <c r="P9" s="11">
        <v>3491159</v>
      </c>
      <c r="Q9" s="50">
        <f>P9*3</f>
        <v>10473477</v>
      </c>
      <c r="R9" s="12"/>
      <c r="S9" s="12"/>
      <c r="T9" s="12"/>
      <c r="W9" t="s">
        <v>1444</v>
      </c>
      <c r="X9" s="110">
        <v>3</v>
      </c>
      <c r="Y9" s="110">
        <v>57</v>
      </c>
      <c r="Z9" s="41">
        <f>24/57</f>
        <v>0.42105263157894735</v>
      </c>
      <c r="AA9" s="113">
        <v>107.8</v>
      </c>
      <c r="AB9" s="113">
        <v>110.7</v>
      </c>
      <c r="AC9" s="113">
        <f t="shared" si="1"/>
        <v>-2.9000000000000057</v>
      </c>
      <c r="AD9" s="113">
        <v>27.4</v>
      </c>
      <c r="AE9" s="113">
        <v>11.7</v>
      </c>
      <c r="AF9" s="41">
        <v>0.55600000000000005</v>
      </c>
      <c r="AG9" s="113">
        <v>15.3</v>
      </c>
      <c r="AH9" s="113">
        <v>1</v>
      </c>
      <c r="AI9" s="113">
        <v>1.7</v>
      </c>
      <c r="AJ9" s="41">
        <v>8.3000000000000004E-2</v>
      </c>
      <c r="AK9" s="113">
        <v>-1.2</v>
      </c>
      <c r="AL9" s="113">
        <v>0.6</v>
      </c>
      <c r="AM9" s="113">
        <v>0.6</v>
      </c>
      <c r="AN9" s="113">
        <v>8.8000000000000007</v>
      </c>
    </row>
    <row r="10" spans="1:44" x14ac:dyDescent="0.2">
      <c r="A10" s="3">
        <v>0</v>
      </c>
      <c r="B10" s="3" t="s">
        <v>1438</v>
      </c>
      <c r="C10" s="2" t="s">
        <v>232</v>
      </c>
      <c r="D10" s="108">
        <v>65</v>
      </c>
      <c r="E10" s="108">
        <v>69</v>
      </c>
      <c r="F10" s="109">
        <v>205</v>
      </c>
      <c r="G10" s="4">
        <v>36040</v>
      </c>
      <c r="H10" s="122">
        <f t="shared" ca="1" si="0"/>
        <v>22.1</v>
      </c>
      <c r="I10" t="s">
        <v>1439</v>
      </c>
      <c r="J10" s="3">
        <v>2</v>
      </c>
      <c r="K10" s="110">
        <v>2019</v>
      </c>
      <c r="L10" s="110">
        <v>17</v>
      </c>
      <c r="M10" s="2" t="s">
        <v>1440</v>
      </c>
      <c r="N10" s="2" t="s">
        <v>247</v>
      </c>
      <c r="O10" s="7" t="s">
        <v>1043</v>
      </c>
      <c r="P10" s="11">
        <v>3113160</v>
      </c>
      <c r="Q10" s="51">
        <v>3261480</v>
      </c>
      <c r="R10" s="51">
        <v>5009633</v>
      </c>
      <c r="S10" s="50">
        <v>15028899</v>
      </c>
      <c r="T10" s="3"/>
      <c r="W10" t="s">
        <v>1441</v>
      </c>
      <c r="X10" s="110">
        <v>3</v>
      </c>
      <c r="Y10" s="110">
        <v>41</v>
      </c>
      <c r="Z10" s="41">
        <f>18/41</f>
        <v>0.43902439024390244</v>
      </c>
      <c r="AA10" s="113">
        <v>108.1</v>
      </c>
      <c r="AB10" s="113">
        <v>113.3</v>
      </c>
      <c r="AC10" s="113">
        <f t="shared" si="1"/>
        <v>-5.2000000000000028</v>
      </c>
      <c r="AD10" s="113">
        <v>12.2</v>
      </c>
      <c r="AE10" s="113">
        <v>7.6</v>
      </c>
      <c r="AF10" s="41">
        <v>0.441</v>
      </c>
      <c r="AG10" s="113">
        <v>22.8</v>
      </c>
      <c r="AH10" s="113">
        <v>-0.7</v>
      </c>
      <c r="AI10" s="113">
        <v>0.4</v>
      </c>
      <c r="AJ10" s="41">
        <v>-3.4000000000000002E-2</v>
      </c>
      <c r="AK10" s="113">
        <v>-3.5</v>
      </c>
      <c r="AL10" s="113">
        <v>-1.4</v>
      </c>
      <c r="AM10" s="113">
        <v>-0.4</v>
      </c>
      <c r="AN10" s="113">
        <v>6.2</v>
      </c>
    </row>
    <row r="11" spans="1:44" x14ac:dyDescent="0.2">
      <c r="A11" s="3"/>
      <c r="B11" s="3" t="s">
        <v>297</v>
      </c>
      <c r="C11" s="2"/>
      <c r="D11" s="108"/>
      <c r="E11" s="108"/>
      <c r="F11" s="109"/>
      <c r="G11" s="4"/>
      <c r="H11" s="122"/>
      <c r="J11" s="2"/>
      <c r="K11" s="141"/>
      <c r="L11" s="141"/>
      <c r="M11" s="2"/>
      <c r="N11" s="2"/>
      <c r="P11" s="12"/>
      <c r="Q11" s="12"/>
      <c r="R11" s="12"/>
      <c r="S11" s="12"/>
      <c r="T11" s="12"/>
      <c r="X11" s="137"/>
      <c r="Y11" s="137"/>
      <c r="Z11" s="127"/>
    </row>
    <row r="12" spans="1:44" x14ac:dyDescent="0.2">
      <c r="A12" s="3"/>
      <c r="B12" s="3" t="s">
        <v>2198</v>
      </c>
      <c r="C12" s="3"/>
      <c r="D12" s="108"/>
      <c r="E12" s="108"/>
      <c r="F12" s="109"/>
      <c r="G12" s="2"/>
      <c r="J12" s="2"/>
      <c r="K12" s="141"/>
      <c r="L12" s="141"/>
      <c r="M12" s="2"/>
      <c r="N12" s="2"/>
      <c r="P12" s="11">
        <v>3640200</v>
      </c>
      <c r="Q12" s="11">
        <v>3822240</v>
      </c>
      <c r="R12" s="51">
        <v>4004280</v>
      </c>
      <c r="S12" s="51">
        <f>R12*1.429</f>
        <v>5722116.1200000001</v>
      </c>
      <c r="T12" s="50">
        <f>S12*3</f>
        <v>17166348.359999999</v>
      </c>
      <c r="U12" s="3"/>
      <c r="X12" s="137"/>
      <c r="Y12" s="137"/>
      <c r="Z12" s="127"/>
    </row>
    <row r="13" spans="1:44" x14ac:dyDescent="0.2">
      <c r="A13" s="3"/>
      <c r="B13" s="3" t="s">
        <v>1453</v>
      </c>
      <c r="C13" s="3"/>
      <c r="D13" s="108"/>
      <c r="E13" s="108"/>
      <c r="F13" s="109"/>
      <c r="G13" s="2"/>
      <c r="J13" s="2"/>
      <c r="K13" s="2"/>
      <c r="L13" s="2"/>
      <c r="M13" s="2"/>
      <c r="N13" s="2"/>
      <c r="P13" s="189">
        <v>898310</v>
      </c>
      <c r="X13" s="137"/>
      <c r="Y13" s="137"/>
      <c r="Z13" s="127"/>
    </row>
    <row r="14" spans="1:44" x14ac:dyDescent="0.2">
      <c r="A14" s="3"/>
      <c r="B14" s="2" t="s">
        <v>2199</v>
      </c>
      <c r="C14" s="3"/>
      <c r="D14" s="108"/>
      <c r="E14" s="108"/>
      <c r="F14" s="109"/>
      <c r="G14" s="2"/>
      <c r="J14" s="2"/>
      <c r="K14" s="2"/>
      <c r="L14" s="2"/>
      <c r="M14" s="2"/>
      <c r="N14" s="2"/>
      <c r="O14" s="7"/>
      <c r="P14" s="189">
        <v>898310</v>
      </c>
      <c r="X14" s="137"/>
      <c r="Y14" s="137"/>
      <c r="Z14" s="127"/>
    </row>
    <row r="15" spans="1:44" x14ac:dyDescent="0.2">
      <c r="A15" s="3"/>
      <c r="B15" s="2" t="s">
        <v>1454</v>
      </c>
      <c r="C15" s="3"/>
      <c r="D15" s="108"/>
      <c r="E15" s="108"/>
      <c r="F15" s="109"/>
      <c r="J15" s="11"/>
      <c r="P15" s="189">
        <v>898310</v>
      </c>
      <c r="X15" s="137"/>
      <c r="Y15" s="137"/>
      <c r="Z15" s="127"/>
    </row>
    <row r="16" spans="1:44" x14ac:dyDescent="0.2">
      <c r="A16" s="3"/>
      <c r="B16" s="3"/>
      <c r="C16" s="2"/>
      <c r="D16" s="108"/>
      <c r="E16" s="108"/>
      <c r="F16" s="109"/>
      <c r="G16" s="4"/>
      <c r="H16" s="122"/>
      <c r="J16" s="2"/>
      <c r="K16" s="141"/>
      <c r="L16" s="141"/>
      <c r="M16" s="2"/>
      <c r="N16" s="2"/>
      <c r="P16" s="12"/>
      <c r="Q16" s="12"/>
      <c r="R16" s="12"/>
      <c r="S16" s="12"/>
      <c r="T16" s="12"/>
      <c r="X16" s="137"/>
      <c r="Y16" s="137"/>
      <c r="Z16" s="127"/>
    </row>
    <row r="17" spans="1:40" x14ac:dyDescent="0.2">
      <c r="A17" s="3">
        <v>22</v>
      </c>
      <c r="B17" s="3" t="s">
        <v>112</v>
      </c>
      <c r="C17" s="2" t="s">
        <v>236</v>
      </c>
      <c r="D17" s="108">
        <v>69</v>
      </c>
      <c r="E17" s="108">
        <v>74</v>
      </c>
      <c r="F17" s="109">
        <v>265</v>
      </c>
      <c r="G17" s="4">
        <v>33434</v>
      </c>
      <c r="H17" s="122">
        <f t="shared" ref="H17:H25" ca="1" si="2">ROUNDDOWN(YEARFRAC($G$27,G17),1)</f>
        <v>29.2</v>
      </c>
      <c r="I17" t="s">
        <v>567</v>
      </c>
      <c r="J17" s="3">
        <v>11</v>
      </c>
      <c r="K17" s="110">
        <v>2010</v>
      </c>
      <c r="L17" s="110">
        <v>3</v>
      </c>
      <c r="M17" s="2" t="s">
        <v>1412</v>
      </c>
      <c r="N17" s="2"/>
      <c r="P17" s="14">
        <v>26475000</v>
      </c>
      <c r="Q17" s="12"/>
      <c r="R17" s="12"/>
      <c r="S17" s="12"/>
      <c r="T17" s="12"/>
      <c r="W17" s="135" t="s">
        <v>240</v>
      </c>
      <c r="X17" s="110">
        <v>5</v>
      </c>
      <c r="Y17" s="110">
        <v>45</v>
      </c>
      <c r="Z17" s="41">
        <f>22/45</f>
        <v>0.48888888888888887</v>
      </c>
      <c r="AA17" s="113">
        <v>113.2</v>
      </c>
      <c r="AB17" s="113">
        <v>107.4</v>
      </c>
      <c r="AC17" s="113">
        <f t="shared" ref="AC17:AC22" si="3">AA17-AB17</f>
        <v>5.7999999999999972</v>
      </c>
      <c r="AD17" s="113">
        <v>24.2</v>
      </c>
      <c r="AE17" s="113">
        <v>19</v>
      </c>
      <c r="AF17" s="41">
        <v>0.624</v>
      </c>
      <c r="AG17" s="113">
        <v>14.4</v>
      </c>
      <c r="AH17" s="113">
        <v>2.4</v>
      </c>
      <c r="AI17" s="113">
        <v>1.4</v>
      </c>
      <c r="AJ17" s="41">
        <v>0.16800000000000001</v>
      </c>
      <c r="AK17" s="113">
        <v>0.8</v>
      </c>
      <c r="AL17" s="113">
        <v>0.4</v>
      </c>
      <c r="AM17" s="113">
        <v>0.9</v>
      </c>
      <c r="AN17" s="113">
        <v>13</v>
      </c>
    </row>
    <row r="18" spans="1:40" ht="17" x14ac:dyDescent="0.2">
      <c r="A18" s="3">
        <v>14</v>
      </c>
      <c r="B18" s="3" t="s">
        <v>114</v>
      </c>
      <c r="C18" s="2" t="s">
        <v>244</v>
      </c>
      <c r="D18" s="108">
        <v>67</v>
      </c>
      <c r="E18" s="108">
        <v>73</v>
      </c>
      <c r="F18" s="109">
        <v>190</v>
      </c>
      <c r="G18" s="4">
        <v>35675</v>
      </c>
      <c r="H18" s="122">
        <f t="shared" ca="1" si="2"/>
        <v>23.1</v>
      </c>
      <c r="I18" t="s">
        <v>256</v>
      </c>
      <c r="J18" s="3">
        <v>5</v>
      </c>
      <c r="K18" s="110">
        <v>2016</v>
      </c>
      <c r="L18" s="110">
        <v>2</v>
      </c>
      <c r="M18" s="2" t="s">
        <v>1421</v>
      </c>
      <c r="N18" s="2"/>
      <c r="P18" s="50">
        <v>21796455</v>
      </c>
      <c r="Q18" s="12"/>
      <c r="R18" s="12"/>
      <c r="S18" s="12"/>
      <c r="T18" s="35"/>
      <c r="W18" t="s">
        <v>1428</v>
      </c>
      <c r="X18" s="110">
        <v>4</v>
      </c>
      <c r="Y18" s="110">
        <v>56</v>
      </c>
      <c r="Z18" s="41">
        <f>23/56</f>
        <v>0.4107142857142857</v>
      </c>
      <c r="AA18" s="113">
        <v>110.7</v>
      </c>
      <c r="AB18" s="113">
        <v>111.1</v>
      </c>
      <c r="AC18" s="113">
        <f t="shared" si="3"/>
        <v>-0.39999999999999147</v>
      </c>
      <c r="AD18" s="113">
        <v>34.299999999999997</v>
      </c>
      <c r="AE18" s="113">
        <v>19.2</v>
      </c>
      <c r="AF18" s="41">
        <v>0.59</v>
      </c>
      <c r="AG18" s="113">
        <v>28.2</v>
      </c>
      <c r="AH18" s="113">
        <v>3.2</v>
      </c>
      <c r="AI18" s="113">
        <v>1.7</v>
      </c>
      <c r="AJ18" s="41">
        <v>0.122</v>
      </c>
      <c r="AK18" s="113">
        <v>2.7</v>
      </c>
      <c r="AL18" s="113">
        <v>-0.3</v>
      </c>
      <c r="AM18" s="113">
        <v>2.1</v>
      </c>
      <c r="AN18" s="113">
        <v>13.2</v>
      </c>
    </row>
    <row r="19" spans="1:40" x14ac:dyDescent="0.2">
      <c r="A19" s="3">
        <v>55</v>
      </c>
      <c r="B19" s="3" t="s">
        <v>113</v>
      </c>
      <c r="C19" s="2" t="s">
        <v>255</v>
      </c>
      <c r="D19" s="108">
        <v>63</v>
      </c>
      <c r="E19" s="108">
        <v>610</v>
      </c>
      <c r="F19" s="109">
        <v>191</v>
      </c>
      <c r="G19" s="4">
        <v>32564</v>
      </c>
      <c r="H19" s="122">
        <f t="shared" ca="1" si="2"/>
        <v>31.6</v>
      </c>
      <c r="I19" t="s">
        <v>1425</v>
      </c>
      <c r="J19" s="3">
        <v>10</v>
      </c>
      <c r="K19" s="110">
        <v>2011</v>
      </c>
      <c r="L19" s="110">
        <v>55</v>
      </c>
      <c r="M19" s="2" t="s">
        <v>1426</v>
      </c>
      <c r="N19" s="2"/>
      <c r="P19" s="14">
        <v>16463363</v>
      </c>
      <c r="Q19" s="12"/>
      <c r="R19" s="12"/>
      <c r="S19" s="12"/>
      <c r="T19" s="12"/>
      <c r="W19" t="s">
        <v>1427</v>
      </c>
      <c r="X19" s="110">
        <v>2</v>
      </c>
      <c r="Y19" s="110">
        <v>51</v>
      </c>
      <c r="Z19" s="41">
        <f>26/51</f>
        <v>0.50980392156862742</v>
      </c>
      <c r="AA19" s="113">
        <v>108.8</v>
      </c>
      <c r="AB19" s="113">
        <v>110.7</v>
      </c>
      <c r="AC19" s="113">
        <f t="shared" si="3"/>
        <v>-1.9000000000000057</v>
      </c>
      <c r="AD19" s="113">
        <v>18.8</v>
      </c>
      <c r="AE19" s="113">
        <v>11.1</v>
      </c>
      <c r="AF19" s="41">
        <v>0.50900000000000001</v>
      </c>
      <c r="AG19" s="113">
        <v>19.899999999999999</v>
      </c>
      <c r="AH19" s="113">
        <v>0.2</v>
      </c>
      <c r="AI19" s="113">
        <v>0.6</v>
      </c>
      <c r="AJ19" s="41">
        <v>4.2000000000000003E-2</v>
      </c>
      <c r="AK19" s="113">
        <v>-2</v>
      </c>
      <c r="AL19" s="113">
        <v>-1</v>
      </c>
      <c r="AM19" s="113">
        <v>-0.2</v>
      </c>
      <c r="AN19" s="113">
        <v>7.2</v>
      </c>
    </row>
    <row r="20" spans="1:40" ht="17" x14ac:dyDescent="0.2">
      <c r="A20" s="3">
        <v>15</v>
      </c>
      <c r="B20" s="3" t="s">
        <v>117</v>
      </c>
      <c r="C20" s="2" t="s">
        <v>250</v>
      </c>
      <c r="D20" s="108">
        <v>63</v>
      </c>
      <c r="E20" s="108">
        <v>68</v>
      </c>
      <c r="F20" s="109">
        <v>205</v>
      </c>
      <c r="G20" s="4">
        <v>35919</v>
      </c>
      <c r="H20" s="122">
        <f t="shared" ca="1" si="2"/>
        <v>22.4</v>
      </c>
      <c r="I20" t="s">
        <v>256</v>
      </c>
      <c r="J20" s="3">
        <v>4</v>
      </c>
      <c r="K20" s="110">
        <v>2017</v>
      </c>
      <c r="L20" s="110">
        <v>31</v>
      </c>
      <c r="M20" s="2" t="s">
        <v>1446</v>
      </c>
      <c r="N20" s="2"/>
      <c r="O20" s="143"/>
      <c r="P20" s="50">
        <v>2023150</v>
      </c>
      <c r="Q20" s="35"/>
      <c r="R20" s="35"/>
      <c r="S20" s="12"/>
      <c r="T20" s="12"/>
      <c r="W20" s="152" t="s">
        <v>291</v>
      </c>
      <c r="X20" s="110">
        <v>1</v>
      </c>
      <c r="Y20" s="110">
        <v>51</v>
      </c>
      <c r="Z20" s="41">
        <f>24/51</f>
        <v>0.47058823529411764</v>
      </c>
      <c r="AA20" s="113">
        <v>108.6</v>
      </c>
      <c r="AB20" s="113">
        <v>114.6</v>
      </c>
      <c r="AC20" s="113">
        <f t="shared" si="3"/>
        <v>-6</v>
      </c>
      <c r="AD20" s="113">
        <v>12.9</v>
      </c>
      <c r="AE20" s="113">
        <v>7.7</v>
      </c>
      <c r="AF20" s="41">
        <v>0.5</v>
      </c>
      <c r="AG20" s="113">
        <v>20.399999999999999</v>
      </c>
      <c r="AH20" s="113">
        <v>-0.4</v>
      </c>
      <c r="AI20" s="113">
        <v>0.3</v>
      </c>
      <c r="AJ20" s="41">
        <v>-5.0000000000000001E-3</v>
      </c>
      <c r="AK20" s="113">
        <v>-4</v>
      </c>
      <c r="AL20" s="113">
        <v>-2</v>
      </c>
      <c r="AM20" s="113">
        <v>-0.7</v>
      </c>
      <c r="AN20" s="113">
        <v>4.3</v>
      </c>
    </row>
    <row r="21" spans="1:40" x14ac:dyDescent="0.2">
      <c r="A21" s="3">
        <v>34</v>
      </c>
      <c r="B21" s="3" t="s">
        <v>118</v>
      </c>
      <c r="C21" s="2" t="s">
        <v>236</v>
      </c>
      <c r="D21" s="108">
        <v>66</v>
      </c>
      <c r="E21" s="108">
        <v>68</v>
      </c>
      <c r="F21" s="109">
        <v>210</v>
      </c>
      <c r="G21" s="4">
        <v>34670</v>
      </c>
      <c r="H21" s="122">
        <f t="shared" ca="1" si="2"/>
        <v>25.8</v>
      </c>
      <c r="I21" t="s">
        <v>1447</v>
      </c>
      <c r="J21" s="3">
        <v>3</v>
      </c>
      <c r="K21" s="110">
        <v>2018</v>
      </c>
      <c r="L21" s="110"/>
      <c r="M21" s="2" t="s">
        <v>1448</v>
      </c>
      <c r="N21" s="2"/>
      <c r="P21" s="50">
        <v>1907576</v>
      </c>
      <c r="Q21" s="12"/>
      <c r="R21" s="12"/>
      <c r="S21" s="12"/>
      <c r="T21" s="12"/>
      <c r="W21" t="s">
        <v>1449</v>
      </c>
      <c r="X21" s="110">
        <v>4</v>
      </c>
      <c r="Y21" s="110">
        <v>35</v>
      </c>
      <c r="Z21" s="41">
        <f>12/35</f>
        <v>0.34285714285714286</v>
      </c>
      <c r="AA21" s="113">
        <v>105.8</v>
      </c>
      <c r="AB21" s="113">
        <v>108.2</v>
      </c>
      <c r="AC21" s="113">
        <f t="shared" si="3"/>
        <v>-2.4000000000000057</v>
      </c>
      <c r="AD21" s="113">
        <v>22.3</v>
      </c>
      <c r="AE21" s="113">
        <v>7.6</v>
      </c>
      <c r="AF21" s="41">
        <v>0.43</v>
      </c>
      <c r="AG21" s="113">
        <v>9.1999999999999993</v>
      </c>
      <c r="AH21" s="113">
        <v>0.1</v>
      </c>
      <c r="AI21" s="113">
        <v>0.8</v>
      </c>
      <c r="AJ21" s="41">
        <v>5.1999999999999998E-2</v>
      </c>
      <c r="AK21" s="113">
        <v>-3.3</v>
      </c>
      <c r="AL21" s="113">
        <v>1</v>
      </c>
      <c r="AM21" s="113">
        <v>-0.1</v>
      </c>
      <c r="AN21" s="113">
        <v>5.4</v>
      </c>
    </row>
    <row r="22" spans="1:40" x14ac:dyDescent="0.2">
      <c r="A22" s="3">
        <v>9</v>
      </c>
      <c r="B22" s="3" t="s">
        <v>116</v>
      </c>
      <c r="C22" s="2" t="s">
        <v>236</v>
      </c>
      <c r="D22" s="108">
        <v>610</v>
      </c>
      <c r="E22" s="108">
        <v>75</v>
      </c>
      <c r="F22" s="109">
        <v>270</v>
      </c>
      <c r="G22" s="4">
        <v>35048</v>
      </c>
      <c r="H22" s="122">
        <f t="shared" ca="1" si="2"/>
        <v>24.8</v>
      </c>
      <c r="I22" t="s">
        <v>256</v>
      </c>
      <c r="J22" s="3">
        <v>6</v>
      </c>
      <c r="K22" s="110">
        <v>2015</v>
      </c>
      <c r="L22" s="110">
        <v>3</v>
      </c>
      <c r="M22" s="2" t="s">
        <v>1445</v>
      </c>
      <c r="N22" s="2"/>
      <c r="O22" s="7"/>
      <c r="P22" s="14">
        <v>1707576</v>
      </c>
      <c r="Q22" s="12"/>
      <c r="R22" s="12"/>
      <c r="S22" s="12"/>
      <c r="T22" s="12"/>
      <c r="W22" s="135" t="s">
        <v>240</v>
      </c>
      <c r="X22" s="110">
        <v>5</v>
      </c>
      <c r="Y22" s="110">
        <v>28</v>
      </c>
      <c r="Z22" s="41">
        <f>9/28</f>
        <v>0.32142857142857145</v>
      </c>
      <c r="AA22" s="113">
        <v>104.3</v>
      </c>
      <c r="AB22" s="113">
        <v>116</v>
      </c>
      <c r="AC22" s="113">
        <f t="shared" si="3"/>
        <v>-11.700000000000003</v>
      </c>
      <c r="AD22" s="113">
        <v>15.1</v>
      </c>
      <c r="AE22" s="113">
        <v>17.8</v>
      </c>
      <c r="AF22" s="41">
        <v>0.63100000000000001</v>
      </c>
      <c r="AG22" s="113">
        <v>19.8</v>
      </c>
      <c r="AH22" s="113">
        <v>0.7</v>
      </c>
      <c r="AI22" s="113">
        <v>0.4</v>
      </c>
      <c r="AJ22" s="41">
        <v>0.129</v>
      </c>
      <c r="AK22" s="113">
        <v>-0.8</v>
      </c>
      <c r="AL22" s="113">
        <v>0.6</v>
      </c>
      <c r="AM22" s="113">
        <v>0.2</v>
      </c>
      <c r="AN22" s="113">
        <v>10.5</v>
      </c>
    </row>
    <row r="23" spans="1:40" x14ac:dyDescent="0.2">
      <c r="A23" s="3">
        <v>3</v>
      </c>
      <c r="B23" s="3" t="s">
        <v>2080</v>
      </c>
      <c r="C23" s="2"/>
      <c r="D23" s="108">
        <v>64</v>
      </c>
      <c r="E23" s="108"/>
      <c r="F23" s="109">
        <v>215</v>
      </c>
      <c r="G23" s="4">
        <v>34653</v>
      </c>
      <c r="H23" s="122">
        <f t="shared" ca="1" si="2"/>
        <v>25.9</v>
      </c>
      <c r="I23" t="s">
        <v>808</v>
      </c>
      <c r="J23" s="3">
        <v>4</v>
      </c>
      <c r="K23" s="110">
        <v>2017</v>
      </c>
      <c r="L23" s="110">
        <v>48</v>
      </c>
      <c r="M23" s="2" t="s">
        <v>2261</v>
      </c>
      <c r="N23" s="2"/>
      <c r="P23" s="14">
        <v>1707576</v>
      </c>
      <c r="Q23" s="12"/>
      <c r="R23" s="12"/>
      <c r="S23" s="12"/>
      <c r="T23" s="12"/>
      <c r="X23" s="110"/>
      <c r="Y23" s="110"/>
      <c r="Z23" s="41"/>
      <c r="AA23" s="113"/>
      <c r="AB23" s="113"/>
      <c r="AC23" s="113"/>
      <c r="AD23" s="113"/>
      <c r="AE23" s="113"/>
      <c r="AF23" s="41"/>
      <c r="AG23" s="113"/>
      <c r="AH23" s="113"/>
      <c r="AI23" s="113"/>
      <c r="AJ23" s="41"/>
      <c r="AK23" s="113"/>
      <c r="AL23" s="113"/>
      <c r="AM23" s="113"/>
      <c r="AN23" s="113"/>
    </row>
    <row r="24" spans="1:40" x14ac:dyDescent="0.2">
      <c r="A24" s="3">
        <v>45</v>
      </c>
      <c r="B24" s="3" t="s">
        <v>1450</v>
      </c>
      <c r="C24" s="2" t="s">
        <v>244</v>
      </c>
      <c r="D24" s="108">
        <v>65</v>
      </c>
      <c r="E24" s="108">
        <v>70</v>
      </c>
      <c r="F24" s="109">
        <v>220</v>
      </c>
      <c r="G24" s="4">
        <v>35020</v>
      </c>
      <c r="H24" s="122">
        <f t="shared" ca="1" si="2"/>
        <v>24.9</v>
      </c>
      <c r="I24" t="s">
        <v>959</v>
      </c>
      <c r="J24" s="3">
        <v>2</v>
      </c>
      <c r="K24" s="110">
        <v>2019</v>
      </c>
      <c r="L24" s="110"/>
      <c r="M24" s="2" t="s">
        <v>747</v>
      </c>
      <c r="N24" s="2"/>
      <c r="P24" s="53"/>
      <c r="Q24" s="12"/>
      <c r="R24" s="12"/>
      <c r="S24" s="12"/>
      <c r="T24" s="12"/>
      <c r="X24" s="110"/>
      <c r="Y24" s="110">
        <v>3</v>
      </c>
      <c r="Z24" s="41"/>
      <c r="AA24" s="113"/>
      <c r="AB24" s="113"/>
      <c r="AC24" s="113"/>
      <c r="AD24" s="113"/>
      <c r="AE24" s="113"/>
      <c r="AF24" s="41"/>
      <c r="AG24" s="113"/>
      <c r="AH24" s="113"/>
      <c r="AI24" s="113"/>
      <c r="AJ24" s="41"/>
      <c r="AK24" s="113"/>
      <c r="AL24" s="113"/>
      <c r="AM24" s="113"/>
      <c r="AN24" s="113"/>
    </row>
    <row r="25" spans="1:40" x14ac:dyDescent="0.2">
      <c r="A25" s="3">
        <v>5</v>
      </c>
      <c r="B25" s="3" t="s">
        <v>1451</v>
      </c>
      <c r="C25" s="2" t="s">
        <v>250</v>
      </c>
      <c r="D25" s="108">
        <v>60</v>
      </c>
      <c r="E25" s="108">
        <v>65</v>
      </c>
      <c r="F25" s="109">
        <v>180</v>
      </c>
      <c r="G25" s="4">
        <v>34221</v>
      </c>
      <c r="H25" s="122">
        <f t="shared" ca="1" si="2"/>
        <v>27.1</v>
      </c>
      <c r="I25" t="s">
        <v>1452</v>
      </c>
      <c r="J25" s="3">
        <v>3</v>
      </c>
      <c r="K25" s="110">
        <v>2016</v>
      </c>
      <c r="L25" s="110"/>
      <c r="M25" s="2" t="s">
        <v>747</v>
      </c>
      <c r="N25" s="2"/>
      <c r="P25" s="53"/>
      <c r="Q25" s="12"/>
      <c r="R25" s="12"/>
      <c r="S25" s="12"/>
      <c r="T25" s="12"/>
      <c r="X25" s="110"/>
      <c r="Y25" s="110">
        <v>2</v>
      </c>
      <c r="Z25" s="41"/>
      <c r="AA25" s="113"/>
      <c r="AB25" s="113"/>
      <c r="AC25" s="113"/>
      <c r="AD25" s="113"/>
      <c r="AE25" s="113"/>
      <c r="AF25" s="41"/>
      <c r="AG25" s="113"/>
      <c r="AH25" s="113"/>
      <c r="AI25" s="113"/>
      <c r="AJ25" s="41"/>
      <c r="AK25" s="113"/>
      <c r="AL25" s="113"/>
      <c r="AM25" s="113"/>
      <c r="AN25" s="113"/>
    </row>
    <row r="26" spans="1:40" x14ac:dyDescent="0.2">
      <c r="A26" s="3"/>
      <c r="B26" s="3"/>
      <c r="C26" s="2"/>
      <c r="D26" s="108"/>
      <c r="E26" s="108"/>
      <c r="F26" s="109"/>
      <c r="G26" s="4"/>
      <c r="H26" s="122"/>
      <c r="J26" s="2"/>
      <c r="K26" s="141"/>
      <c r="L26" s="141"/>
      <c r="M26" s="2"/>
      <c r="N26" s="2"/>
      <c r="P26" s="12"/>
      <c r="Q26" s="12"/>
      <c r="R26" s="12"/>
      <c r="S26" s="12"/>
      <c r="T26" s="12"/>
      <c r="X26" s="137"/>
      <c r="Y26" s="137"/>
      <c r="Z26" s="127"/>
    </row>
    <row r="27" spans="1:40" x14ac:dyDescent="0.2">
      <c r="A27" s="3"/>
      <c r="B27" s="3"/>
      <c r="C27" s="3"/>
      <c r="D27" s="3"/>
      <c r="E27" s="3"/>
      <c r="F27" s="109"/>
      <c r="G27" s="62">
        <f ca="1">TODAY()</f>
        <v>44128</v>
      </c>
      <c r="H27" s="63">
        <f ca="1">AVERAGE(H2:H10)</f>
        <v>26.455555555555556</v>
      </c>
      <c r="J27" s="36">
        <f>AVERAGE(J2:J10)</f>
        <v>5.5555555555555554</v>
      </c>
      <c r="O27" s="7"/>
      <c r="P27" s="124"/>
      <c r="Z27" s="127"/>
    </row>
    <row r="28" spans="1:40" x14ac:dyDescent="0.2">
      <c r="A28" s="3"/>
      <c r="B28" s="3"/>
      <c r="C28" s="3"/>
      <c r="D28" s="3"/>
      <c r="E28" s="3"/>
      <c r="F28" s="109"/>
      <c r="H28" s="63">
        <f ca="1">MEDIAN(H2:H10)</f>
        <v>25.6</v>
      </c>
      <c r="J28" s="110">
        <f>MEDIAN(J2:J10)</f>
        <v>4</v>
      </c>
      <c r="O28" s="7"/>
      <c r="P28" s="160"/>
      <c r="Z28" s="127"/>
    </row>
    <row r="29" spans="1:40" x14ac:dyDescent="0.2">
      <c r="A29" s="3"/>
      <c r="B29" s="209" t="s">
        <v>2224</v>
      </c>
      <c r="C29" s="3"/>
      <c r="D29" s="3"/>
      <c r="E29" s="3"/>
      <c r="F29" s="109"/>
      <c r="J29" s="3"/>
      <c r="O29" s="142"/>
      <c r="P29" s="124">
        <f>P2+P3+P4+P5+P7+P8+P9+P10+P12</f>
        <v>79741188</v>
      </c>
      <c r="Z29" s="127"/>
    </row>
    <row r="30" spans="1:40" x14ac:dyDescent="0.2">
      <c r="A30" s="3"/>
      <c r="B30" s="3" t="s">
        <v>2085</v>
      </c>
      <c r="C30" s="3">
        <v>8</v>
      </c>
      <c r="D30" s="3"/>
      <c r="E30" s="3"/>
      <c r="F30" s="109"/>
      <c r="I30" s="209"/>
      <c r="J30" s="3"/>
      <c r="O30" s="142"/>
      <c r="P30" s="160">
        <f>P2+P3+P4+P5+P6+P7+P8+P9+P10+P12</f>
        <v>86741188</v>
      </c>
      <c r="Z30" s="127"/>
    </row>
    <row r="31" spans="1:40" x14ac:dyDescent="0.2">
      <c r="B31" s="3" t="s">
        <v>2088</v>
      </c>
      <c r="C31" s="3">
        <v>1</v>
      </c>
      <c r="I31" s="3"/>
      <c r="J31" s="3"/>
    </row>
    <row r="32" spans="1:40" x14ac:dyDescent="0.2">
      <c r="B32" s="3" t="s">
        <v>2086</v>
      </c>
      <c r="C32" s="218">
        <v>4</v>
      </c>
      <c r="I32" s="3"/>
      <c r="J32" s="3"/>
      <c r="O32" s="3" t="s">
        <v>300</v>
      </c>
      <c r="P32" s="11">
        <v>109140000</v>
      </c>
    </row>
    <row r="33" spans="2:16" x14ac:dyDescent="0.2">
      <c r="B33" s="3" t="s">
        <v>2219</v>
      </c>
      <c r="C33" s="3" t="s">
        <v>2351</v>
      </c>
      <c r="D33" s="3"/>
      <c r="E33" s="3"/>
      <c r="I33" s="3"/>
      <c r="J33" s="218"/>
      <c r="O33" s="22" t="s">
        <v>302</v>
      </c>
      <c r="P33" s="11">
        <v>132627000</v>
      </c>
    </row>
    <row r="34" spans="2:16" x14ac:dyDescent="0.2">
      <c r="B34" s="3" t="s">
        <v>301</v>
      </c>
      <c r="C34" s="22">
        <v>0</v>
      </c>
      <c r="D34" s="3"/>
      <c r="E34" s="3"/>
      <c r="I34" s="3"/>
      <c r="J34" s="3"/>
    </row>
    <row r="35" spans="2:16" x14ac:dyDescent="0.2">
      <c r="B35" s="3" t="s">
        <v>303</v>
      </c>
      <c r="C35" s="22">
        <v>0</v>
      </c>
      <c r="D35" s="3"/>
      <c r="E35" s="3"/>
      <c r="I35" s="3"/>
      <c r="J35" s="3"/>
    </row>
    <row r="36" spans="2:16" x14ac:dyDescent="0.2">
      <c r="B36" s="3"/>
      <c r="C36" s="3"/>
      <c r="D36" s="3"/>
      <c r="E36" s="3"/>
      <c r="I36" s="3"/>
      <c r="J36" s="22"/>
    </row>
    <row r="37" spans="2:16" x14ac:dyDescent="0.2">
      <c r="B37" s="5" t="s">
        <v>2084</v>
      </c>
      <c r="C37" s="3"/>
      <c r="D37" s="3"/>
      <c r="E37" s="3"/>
      <c r="I37" s="3"/>
      <c r="J37" s="22"/>
    </row>
    <row r="38" spans="2:16" x14ac:dyDescent="0.2">
      <c r="B38" s="3" t="s">
        <v>304</v>
      </c>
      <c r="C38" s="41">
        <f>30/(30+42)</f>
        <v>0.41666666666666669</v>
      </c>
      <c r="D38" s="3" t="s">
        <v>758</v>
      </c>
      <c r="E38" s="3"/>
    </row>
    <row r="39" spans="2:16" x14ac:dyDescent="0.2">
      <c r="B39" s="3" t="s">
        <v>306</v>
      </c>
      <c r="C39" s="113">
        <v>110.5</v>
      </c>
      <c r="D39" s="3" t="s">
        <v>2232</v>
      </c>
      <c r="E39" s="3"/>
    </row>
    <row r="40" spans="2:16" x14ac:dyDescent="0.2">
      <c r="B40" s="3" t="s">
        <v>307</v>
      </c>
      <c r="C40" s="113">
        <v>111.8</v>
      </c>
      <c r="D40" s="3" t="s">
        <v>2306</v>
      </c>
      <c r="E40" s="3"/>
    </row>
    <row r="41" spans="2:16" x14ac:dyDescent="0.2">
      <c r="B41" s="3" t="s">
        <v>308</v>
      </c>
      <c r="C41" s="113">
        <f>C39-C40</f>
        <v>-1.2999999999999972</v>
      </c>
      <c r="D41" s="3" t="s">
        <v>2250</v>
      </c>
      <c r="E41" s="3"/>
    </row>
    <row r="42" spans="2:16" x14ac:dyDescent="0.2">
      <c r="B42" s="3" t="s">
        <v>309</v>
      </c>
      <c r="C42" s="36">
        <v>103.89</v>
      </c>
      <c r="D42" s="3" t="s">
        <v>2172</v>
      </c>
      <c r="E42" s="3"/>
    </row>
    <row r="43" spans="2:16" x14ac:dyDescent="0.2">
      <c r="B43" s="3"/>
      <c r="C43" s="3"/>
      <c r="D43" s="3"/>
      <c r="E43" s="3"/>
    </row>
    <row r="44" spans="2:16" x14ac:dyDescent="0.2">
      <c r="B44" s="2" t="s">
        <v>310</v>
      </c>
      <c r="C44" s="3"/>
      <c r="D44" s="3"/>
      <c r="E44" s="3"/>
    </row>
    <row r="45" spans="2:16" x14ac:dyDescent="0.2">
      <c r="B45" s="2" t="s">
        <v>1456</v>
      </c>
      <c r="C45" s="3"/>
      <c r="D45" s="3"/>
      <c r="E45" s="3"/>
    </row>
    <row r="46" spans="2:16" x14ac:dyDescent="0.2">
      <c r="B46" s="2" t="s">
        <v>1457</v>
      </c>
      <c r="C46" s="3"/>
      <c r="D46" s="3"/>
      <c r="E46" s="3"/>
    </row>
    <row r="47" spans="2:16" x14ac:dyDescent="0.2">
      <c r="B47" s="2" t="s">
        <v>2349</v>
      </c>
      <c r="C47" s="3"/>
      <c r="D47" s="3"/>
      <c r="E47" s="3"/>
    </row>
    <row r="48" spans="2:16" x14ac:dyDescent="0.2">
      <c r="B48" s="2" t="s">
        <v>2350</v>
      </c>
      <c r="C48" s="3"/>
      <c r="D48" s="3"/>
      <c r="E48" s="3"/>
    </row>
    <row r="49" spans="2:9" x14ac:dyDescent="0.2">
      <c r="B49" s="2" t="s">
        <v>1458</v>
      </c>
      <c r="C49" s="3"/>
      <c r="D49" s="3"/>
      <c r="E49" s="3"/>
    </row>
    <row r="50" spans="2:9" x14ac:dyDescent="0.2">
      <c r="B50" s="2" t="s">
        <v>1459</v>
      </c>
      <c r="C50" s="3"/>
      <c r="D50" s="3"/>
      <c r="E50" s="3"/>
    </row>
    <row r="51" spans="2:9" x14ac:dyDescent="0.2">
      <c r="B51" s="2" t="s">
        <v>1460</v>
      </c>
      <c r="C51" s="3"/>
      <c r="D51" s="3"/>
      <c r="E51" s="3"/>
    </row>
    <row r="52" spans="2:9" x14ac:dyDescent="0.2">
      <c r="B52" s="10"/>
      <c r="C52" s="3"/>
      <c r="D52" s="3"/>
      <c r="E52" s="3"/>
    </row>
    <row r="53" spans="2:9" x14ac:dyDescent="0.2">
      <c r="B53" s="2" t="s">
        <v>318</v>
      </c>
      <c r="C53" s="3"/>
      <c r="D53" s="3"/>
      <c r="E53" s="3"/>
    </row>
    <row r="54" spans="2:9" x14ac:dyDescent="0.2">
      <c r="B54" s="2" t="s">
        <v>1461</v>
      </c>
      <c r="C54" s="3"/>
      <c r="D54" s="3"/>
      <c r="E54" s="3"/>
    </row>
    <row r="55" spans="2:9" x14ac:dyDescent="0.2">
      <c r="B55" s="2" t="s">
        <v>1462</v>
      </c>
      <c r="C55" s="3"/>
      <c r="D55" s="3"/>
      <c r="E55" s="3"/>
    </row>
    <row r="56" spans="2:9" x14ac:dyDescent="0.2">
      <c r="B56" s="2"/>
      <c r="C56" s="3"/>
      <c r="D56" s="3"/>
      <c r="E56" s="3"/>
    </row>
    <row r="57" spans="2:9" x14ac:dyDescent="0.2">
      <c r="B57" s="205" t="s">
        <v>2228</v>
      </c>
      <c r="C57" s="3"/>
      <c r="D57" s="3"/>
      <c r="E57" s="3"/>
    </row>
    <row r="58" spans="2:9" x14ac:dyDescent="0.2">
      <c r="B58" s="39" t="s">
        <v>322</v>
      </c>
      <c r="C58" s="3">
        <v>30</v>
      </c>
      <c r="D58" s="3">
        <v>42</v>
      </c>
      <c r="E58" s="3" t="s">
        <v>758</v>
      </c>
      <c r="G58" t="s">
        <v>1455</v>
      </c>
      <c r="I58" s="144" t="s">
        <v>324</v>
      </c>
    </row>
    <row r="59" spans="2:9" x14ac:dyDescent="0.2">
      <c r="B59" s="39" t="s">
        <v>325</v>
      </c>
      <c r="C59" s="3">
        <v>33</v>
      </c>
      <c r="D59" s="3">
        <v>49</v>
      </c>
      <c r="E59" s="3" t="s">
        <v>758</v>
      </c>
      <c r="G59" t="s">
        <v>1455</v>
      </c>
      <c r="I59" s="144" t="s">
        <v>324</v>
      </c>
    </row>
    <row r="60" spans="2:9" x14ac:dyDescent="0.2">
      <c r="B60" s="39" t="s">
        <v>327</v>
      </c>
      <c r="C60" s="3">
        <v>48</v>
      </c>
      <c r="D60" s="3">
        <v>34</v>
      </c>
      <c r="E60" s="41" t="s">
        <v>760</v>
      </c>
      <c r="G60" t="s">
        <v>1455</v>
      </c>
      <c r="I60" t="s">
        <v>1463</v>
      </c>
    </row>
    <row r="61" spans="2:9" x14ac:dyDescent="0.2">
      <c r="B61" s="39" t="s">
        <v>330</v>
      </c>
      <c r="C61" s="3">
        <v>34</v>
      </c>
      <c r="D61" s="3">
        <v>48</v>
      </c>
      <c r="E61" s="41" t="s">
        <v>765</v>
      </c>
      <c r="G61" t="s">
        <v>1455</v>
      </c>
      <c r="I61" s="144" t="s">
        <v>324</v>
      </c>
    </row>
    <row r="62" spans="2:9" x14ac:dyDescent="0.2">
      <c r="B62" s="37" t="s">
        <v>333</v>
      </c>
      <c r="C62" s="3">
        <v>30</v>
      </c>
      <c r="D62" s="3">
        <v>52</v>
      </c>
      <c r="E62" s="3" t="s">
        <v>820</v>
      </c>
      <c r="G62" t="s">
        <v>1455</v>
      </c>
      <c r="I62" s="144" t="s">
        <v>324</v>
      </c>
    </row>
    <row r="63" spans="2:9" x14ac:dyDescent="0.2">
      <c r="B63" s="37" t="s">
        <v>336</v>
      </c>
      <c r="C63" s="3">
        <v>45</v>
      </c>
      <c r="D63" s="3">
        <v>37</v>
      </c>
      <c r="E63" s="3" t="s">
        <v>763</v>
      </c>
      <c r="G63" t="s">
        <v>1464</v>
      </c>
      <c r="I63" t="s">
        <v>1465</v>
      </c>
    </row>
    <row r="64" spans="2:9" x14ac:dyDescent="0.2">
      <c r="B64" s="37" t="s">
        <v>339</v>
      </c>
      <c r="C64" s="3">
        <v>34</v>
      </c>
      <c r="D64" s="3">
        <v>48</v>
      </c>
      <c r="E64" s="3" t="s">
        <v>820</v>
      </c>
      <c r="G64" t="s">
        <v>1464</v>
      </c>
      <c r="I64" s="144" t="s">
        <v>324</v>
      </c>
    </row>
    <row r="65" spans="2:9" x14ac:dyDescent="0.2">
      <c r="B65" s="37" t="s">
        <v>342</v>
      </c>
      <c r="C65" s="3">
        <v>27</v>
      </c>
      <c r="D65" s="3">
        <v>55</v>
      </c>
      <c r="E65" s="3" t="s">
        <v>757</v>
      </c>
      <c r="G65" t="s">
        <v>1464</v>
      </c>
      <c r="I65" s="144" t="s">
        <v>324</v>
      </c>
    </row>
    <row r="66" spans="2:9" x14ac:dyDescent="0.2">
      <c r="B66" s="37" t="s">
        <v>346</v>
      </c>
      <c r="C66" s="3">
        <v>21</v>
      </c>
      <c r="D66" s="3">
        <v>45</v>
      </c>
      <c r="E66" s="3" t="s">
        <v>942</v>
      </c>
      <c r="G66" t="s">
        <v>1464</v>
      </c>
      <c r="I66" s="144" t="s">
        <v>324</v>
      </c>
    </row>
    <row r="67" spans="2:9" x14ac:dyDescent="0.2">
      <c r="B67" s="37" t="s">
        <v>348</v>
      </c>
      <c r="C67" s="3">
        <v>46</v>
      </c>
      <c r="D67" s="3">
        <v>36</v>
      </c>
      <c r="E67" s="3" t="s">
        <v>754</v>
      </c>
      <c r="G67" t="s">
        <v>1464</v>
      </c>
      <c r="I67" t="s">
        <v>1466</v>
      </c>
    </row>
    <row r="68" spans="2:9" x14ac:dyDescent="0.2">
      <c r="B68" t="s">
        <v>350</v>
      </c>
      <c r="C68" s="60">
        <f>SUM(C58:C67)</f>
        <v>348</v>
      </c>
      <c r="D68" s="60">
        <f>SUM(D58:D67)</f>
        <v>446</v>
      </c>
      <c r="E68" s="65">
        <f>C68/(C68+D68)</f>
        <v>0.43828715365239296</v>
      </c>
    </row>
  </sheetData>
  <hyperlinks>
    <hyperlink ref="B58" r:id="rId1" xr:uid="{56E17FBA-96C2-D842-803F-D2BAECA2F1F2}"/>
    <hyperlink ref="B59" r:id="rId2" xr:uid="{C4B2C15E-48DC-6C44-85DA-4094C5D0A0D6}"/>
    <hyperlink ref="B60" r:id="rId3" xr:uid="{680819EE-0634-3F43-BF80-151F53AD99E7}"/>
    <hyperlink ref="B61" r:id="rId4" xr:uid="{6105C03F-FBE7-D246-9762-C74E21A26D8F}"/>
    <hyperlink ref="B62" r:id="rId5" xr:uid="{89BF0A02-6328-4F4C-9BF6-2AFFE94B4FBD}"/>
    <hyperlink ref="B63" r:id="rId6" xr:uid="{5B8B6F6E-D3EF-6B48-AE6D-183B0735C404}"/>
    <hyperlink ref="B64" r:id="rId7" xr:uid="{7DDB0AC8-46DB-9649-AD3D-A93856BA5DE1}"/>
    <hyperlink ref="B65" r:id="rId8" xr:uid="{CE4B32F3-17E1-1946-8AEB-2C5785B01140}"/>
    <hyperlink ref="B66" r:id="rId9" xr:uid="{A336C446-1789-DB47-90E3-E2A550C8FB46}"/>
    <hyperlink ref="B67" r:id="rId10" xr:uid="{EA710FC5-2A53-2A4B-8BBB-3BF58B5748B4}"/>
  </hyperlinks>
  <pageMargins left="0.7" right="0.7" top="0.75" bottom="0.75" header="0.3" footer="0.3"/>
  <legacyDrawing r:id="rId1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A2918-2769-DB49-A65C-9BB06DFCBEA6}">
  <dimension ref="A1:AR62"/>
  <sheetViews>
    <sheetView zoomScaleNormal="100" workbookViewId="0">
      <selection sqref="A1:AR1"/>
    </sheetView>
  </sheetViews>
  <sheetFormatPr baseColWidth="10" defaultColWidth="10.83203125" defaultRowHeight="16" x14ac:dyDescent="0.2"/>
  <cols>
    <col min="1" max="1" width="4.83203125" style="3" customWidth="1"/>
    <col min="2" max="2" width="18.6640625" style="3" bestFit="1" customWidth="1"/>
    <col min="3" max="3" width="9.6640625" style="3" customWidth="1"/>
    <col min="4" max="4" width="7.1640625" style="3" customWidth="1"/>
    <col min="5" max="5" width="10.5" style="3" customWidth="1"/>
    <col min="6" max="6" width="8" style="3" customWidth="1"/>
    <col min="7" max="7" width="11" style="3" customWidth="1"/>
    <col min="8" max="8" width="5.6640625" style="3" customWidth="1"/>
    <col min="9" max="9" width="22.83203125" style="3" customWidth="1"/>
    <col min="10" max="10" width="10.83203125" style="3" customWidth="1"/>
    <col min="11" max="11" width="11.6640625" style="3" customWidth="1"/>
    <col min="12" max="12" width="4.83203125" style="3" customWidth="1"/>
    <col min="13" max="13" width="34" style="3" customWidth="1"/>
    <col min="14" max="14" width="14.33203125" style="3" customWidth="1"/>
    <col min="15" max="15" width="47" style="3" customWidth="1"/>
    <col min="16" max="16" width="14" style="3" customWidth="1"/>
    <col min="17" max="17" width="12.33203125" style="3" customWidth="1"/>
    <col min="18" max="18" width="13.5" style="3" customWidth="1"/>
    <col min="19" max="19" width="12.33203125" style="3" customWidth="1"/>
    <col min="20" max="20" width="13.6640625" style="3" customWidth="1"/>
    <col min="21" max="21" width="12.83203125" style="3" bestFit="1" customWidth="1"/>
    <col min="22" max="22" width="112.83203125" style="3" customWidth="1"/>
    <col min="23" max="23" width="26" style="3" customWidth="1"/>
    <col min="24" max="24" width="10" style="3" customWidth="1"/>
    <col min="25" max="25" width="3.33203125" style="3" customWidth="1"/>
    <col min="26" max="26" width="8.83203125" style="3" bestFit="1" customWidth="1"/>
    <col min="27" max="27" width="5.83203125" style="3" customWidth="1"/>
    <col min="28" max="28" width="5.6640625" style="3" customWidth="1"/>
    <col min="29" max="29" width="7.6640625" style="3" customWidth="1"/>
    <col min="30" max="31" width="5" style="3" customWidth="1"/>
    <col min="32" max="32" width="7.1640625" style="3" bestFit="1" customWidth="1"/>
    <col min="33" max="33" width="8.83203125" style="3" bestFit="1" customWidth="1"/>
    <col min="34" max="34" width="5" style="3" customWidth="1"/>
    <col min="35" max="35" width="5.1640625" style="3" customWidth="1"/>
    <col min="36" max="36" width="7" style="3" customWidth="1"/>
    <col min="37" max="37" width="5.83203125" style="3" customWidth="1"/>
    <col min="38" max="38" width="6" style="3" customWidth="1"/>
    <col min="39" max="39" width="5.5" style="3" customWidth="1"/>
    <col min="40" max="40" width="5.1640625" style="3" customWidth="1"/>
    <col min="41" max="16384" width="10.83203125" style="3"/>
  </cols>
  <sheetData>
    <row r="1" spans="1:44" x14ac:dyDescent="0.2">
      <c r="A1" s="223" t="s">
        <v>2394</v>
      </c>
      <c r="B1" s="223" t="s">
        <v>2395</v>
      </c>
      <c r="C1" s="223" t="s">
        <v>2396</v>
      </c>
      <c r="D1" s="223" t="s">
        <v>2397</v>
      </c>
      <c r="E1" s="223" t="s">
        <v>2398</v>
      </c>
      <c r="F1" s="223" t="s">
        <v>2399</v>
      </c>
      <c r="G1" s="223" t="s">
        <v>2400</v>
      </c>
      <c r="H1" s="223" t="s">
        <v>2401</v>
      </c>
      <c r="I1" s="223" t="s">
        <v>2402</v>
      </c>
      <c r="J1" s="223" t="s">
        <v>2403</v>
      </c>
      <c r="K1" s="223" t="s">
        <v>2404</v>
      </c>
      <c r="L1" s="223" t="s">
        <v>2405</v>
      </c>
      <c r="M1" s="223" t="s">
        <v>2406</v>
      </c>
      <c r="N1" s="223" t="s">
        <v>2407</v>
      </c>
      <c r="O1" s="223" t="s">
        <v>2408</v>
      </c>
      <c r="P1" s="223" t="s">
        <v>2409</v>
      </c>
      <c r="Q1" s="223" t="s">
        <v>2410</v>
      </c>
      <c r="R1" s="223" t="s">
        <v>2411</v>
      </c>
      <c r="S1" s="223" t="s">
        <v>2412</v>
      </c>
      <c r="T1" s="223" t="s">
        <v>2413</v>
      </c>
      <c r="U1" s="223" t="s">
        <v>2414</v>
      </c>
      <c r="V1" s="223" t="s">
        <v>2415</v>
      </c>
      <c r="W1" s="223" t="s">
        <v>2416</v>
      </c>
      <c r="X1" s="223" t="s">
        <v>2433</v>
      </c>
      <c r="Y1" s="223" t="s">
        <v>2417</v>
      </c>
      <c r="Z1" s="223" t="s">
        <v>2418</v>
      </c>
      <c r="AA1" s="223" t="s">
        <v>2419</v>
      </c>
      <c r="AB1" s="223" t="s">
        <v>2420</v>
      </c>
      <c r="AC1" s="223" t="s">
        <v>2421</v>
      </c>
      <c r="AD1" s="223" t="s">
        <v>2422</v>
      </c>
      <c r="AE1" s="223" t="s">
        <v>2423</v>
      </c>
      <c r="AF1" s="223" t="s">
        <v>2424</v>
      </c>
      <c r="AG1" s="223" t="s">
        <v>2425</v>
      </c>
      <c r="AH1" s="223" t="s">
        <v>2426</v>
      </c>
      <c r="AI1" s="223" t="s">
        <v>2427</v>
      </c>
      <c r="AJ1" s="223" t="s">
        <v>2428</v>
      </c>
      <c r="AK1" s="223" t="s">
        <v>2429</v>
      </c>
      <c r="AL1" s="223" t="s">
        <v>2430</v>
      </c>
      <c r="AM1" s="223" t="s">
        <v>2431</v>
      </c>
      <c r="AN1" s="223" t="s">
        <v>2432</v>
      </c>
      <c r="AO1" s="224"/>
      <c r="AP1" s="225"/>
      <c r="AQ1" s="6"/>
      <c r="AR1" s="6"/>
    </row>
    <row r="2" spans="1:44" x14ac:dyDescent="0.2">
      <c r="A2" s="110">
        <v>8</v>
      </c>
      <c r="B2" s="24" t="s">
        <v>351</v>
      </c>
      <c r="C2" s="3" t="s">
        <v>250</v>
      </c>
      <c r="D2" s="108">
        <v>60</v>
      </c>
      <c r="E2" s="108">
        <v>64</v>
      </c>
      <c r="F2" s="109">
        <v>184</v>
      </c>
      <c r="G2" s="4">
        <v>33001</v>
      </c>
      <c r="H2" s="113">
        <f ca="1">ROUNDDOWN(YEARFRAC($G$26,G2),1)</f>
        <v>30.4</v>
      </c>
      <c r="I2" s="3" t="s">
        <v>352</v>
      </c>
      <c r="J2" s="3">
        <v>10</v>
      </c>
      <c r="K2" s="112">
        <v>2011</v>
      </c>
      <c r="L2" s="112">
        <v>9</v>
      </c>
      <c r="M2" s="3" t="s">
        <v>353</v>
      </c>
      <c r="N2" s="3" t="s">
        <v>354</v>
      </c>
      <c r="O2" s="3" t="s">
        <v>2111</v>
      </c>
      <c r="P2" s="11">
        <v>34379100</v>
      </c>
      <c r="Q2" s="11">
        <v>36016200</v>
      </c>
      <c r="R2" s="42">
        <v>37653300</v>
      </c>
      <c r="S2" s="18">
        <v>48234375</v>
      </c>
      <c r="T2" s="13"/>
      <c r="V2" s="3" t="s">
        <v>355</v>
      </c>
      <c r="W2" s="5" t="s">
        <v>291</v>
      </c>
      <c r="X2" s="110">
        <v>1</v>
      </c>
      <c r="Y2" s="110">
        <v>50</v>
      </c>
      <c r="Z2" s="41">
        <f>33/50</f>
        <v>0.66</v>
      </c>
      <c r="AA2" s="113">
        <v>116</v>
      </c>
      <c r="AB2" s="113">
        <v>108.5</v>
      </c>
      <c r="AC2" s="113">
        <f>AA2-AB2</f>
        <v>7.5</v>
      </c>
      <c r="AD2" s="113">
        <v>31.8</v>
      </c>
      <c r="AE2" s="113">
        <v>20.2</v>
      </c>
      <c r="AF2" s="41">
        <v>0.56899999999999995</v>
      </c>
      <c r="AG2" s="113">
        <v>27.8</v>
      </c>
      <c r="AH2" s="113">
        <v>3.5</v>
      </c>
      <c r="AI2" s="113">
        <v>1.9</v>
      </c>
      <c r="AJ2" s="41">
        <v>0.16300000000000001</v>
      </c>
      <c r="AK2" s="113">
        <v>5</v>
      </c>
      <c r="AL2" s="113">
        <v>-0.2</v>
      </c>
      <c r="AM2" s="113">
        <v>2.7</v>
      </c>
      <c r="AN2" s="113">
        <v>13.2</v>
      </c>
    </row>
    <row r="3" spans="1:44" x14ac:dyDescent="0.2">
      <c r="A3" s="110">
        <v>20</v>
      </c>
      <c r="B3" s="24" t="s">
        <v>7</v>
      </c>
      <c r="C3" s="3" t="s">
        <v>244</v>
      </c>
      <c r="D3" s="108">
        <v>67</v>
      </c>
      <c r="E3" s="108">
        <v>68</v>
      </c>
      <c r="F3" s="109">
        <v>225</v>
      </c>
      <c r="G3" s="4">
        <v>32955</v>
      </c>
      <c r="H3" s="113">
        <f t="shared" ref="H3:H15" ca="1" si="0">ROUNDDOWN(YEARFRAC($G$26,G3),1)</f>
        <v>30.5</v>
      </c>
      <c r="I3" s="3" t="s">
        <v>356</v>
      </c>
      <c r="J3" s="3">
        <v>11</v>
      </c>
      <c r="K3" s="112">
        <v>2010</v>
      </c>
      <c r="L3" s="111">
        <v>9</v>
      </c>
      <c r="M3" s="3" t="s">
        <v>357</v>
      </c>
      <c r="N3" s="3" t="s">
        <v>285</v>
      </c>
      <c r="O3" s="163" t="s">
        <v>358</v>
      </c>
      <c r="P3" s="42">
        <v>34187085</v>
      </c>
      <c r="Q3" s="18">
        <v>43365000</v>
      </c>
      <c r="V3" s="3" t="s">
        <v>355</v>
      </c>
      <c r="W3" s="3" t="s">
        <v>359</v>
      </c>
      <c r="X3" s="110">
        <v>3</v>
      </c>
      <c r="Y3" s="110">
        <v>45</v>
      </c>
      <c r="Z3" s="41">
        <f>29/45</f>
        <v>0.64444444444444449</v>
      </c>
      <c r="AA3" s="113">
        <v>113</v>
      </c>
      <c r="AB3" s="113">
        <v>104.9</v>
      </c>
      <c r="AC3" s="113">
        <f t="shared" ref="AC3:AC15" si="1">AA3-AB3</f>
        <v>8.0999999999999943</v>
      </c>
      <c r="AD3" s="113">
        <v>33.4</v>
      </c>
      <c r="AE3" s="113">
        <v>18.2</v>
      </c>
      <c r="AF3" s="41">
        <v>0.59299999999999997</v>
      </c>
      <c r="AG3" s="113">
        <v>20.9</v>
      </c>
      <c r="AH3" s="113">
        <v>3.1</v>
      </c>
      <c r="AI3" s="113">
        <v>1.9</v>
      </c>
      <c r="AJ3" s="41">
        <v>0.16</v>
      </c>
      <c r="AK3" s="113">
        <v>2.6</v>
      </c>
      <c r="AL3" s="113">
        <v>0.3</v>
      </c>
      <c r="AM3" s="113">
        <v>1.8</v>
      </c>
      <c r="AN3" s="113">
        <v>13.3</v>
      </c>
    </row>
    <row r="4" spans="1:44" x14ac:dyDescent="0.2">
      <c r="A4" s="110">
        <v>7</v>
      </c>
      <c r="B4" s="24" t="s">
        <v>194</v>
      </c>
      <c r="C4" s="3" t="s">
        <v>255</v>
      </c>
      <c r="D4" s="108">
        <v>66</v>
      </c>
      <c r="E4" s="108">
        <v>70</v>
      </c>
      <c r="F4" s="109">
        <v>223</v>
      </c>
      <c r="G4" s="4">
        <v>35362</v>
      </c>
      <c r="H4" s="113">
        <f t="shared" ca="1" si="0"/>
        <v>24</v>
      </c>
      <c r="I4" s="3" t="s">
        <v>366</v>
      </c>
      <c r="J4" s="3">
        <v>5</v>
      </c>
      <c r="K4" s="112">
        <v>2016</v>
      </c>
      <c r="L4" s="112">
        <v>3</v>
      </c>
      <c r="M4" s="3" t="s">
        <v>367</v>
      </c>
      <c r="N4" s="3" t="s">
        <v>1</v>
      </c>
      <c r="O4" s="3" t="s">
        <v>2110</v>
      </c>
      <c r="P4" s="11">
        <v>23735119</v>
      </c>
      <c r="Q4" s="11">
        <v>25633929</v>
      </c>
      <c r="R4" s="11">
        <v>27532738</v>
      </c>
      <c r="S4" s="11">
        <v>29431548</v>
      </c>
      <c r="T4" s="18">
        <v>43411200</v>
      </c>
      <c r="V4" s="3" t="s">
        <v>2032</v>
      </c>
      <c r="W4" s="3" t="s">
        <v>368</v>
      </c>
      <c r="X4" s="110">
        <v>2</v>
      </c>
      <c r="Y4" s="110">
        <v>50</v>
      </c>
      <c r="Z4" s="41">
        <f>33/50</f>
        <v>0.66</v>
      </c>
      <c r="AA4" s="113">
        <v>113.4</v>
      </c>
      <c r="AB4" s="113">
        <v>106.9</v>
      </c>
      <c r="AC4" s="113">
        <f t="shared" si="1"/>
        <v>6.5</v>
      </c>
      <c r="AD4" s="113">
        <v>34</v>
      </c>
      <c r="AE4" s="113">
        <v>17.100000000000001</v>
      </c>
      <c r="AF4" s="41">
        <v>0.58899999999999997</v>
      </c>
      <c r="AG4" s="113">
        <v>24.7</v>
      </c>
      <c r="AH4" s="113">
        <v>2.1</v>
      </c>
      <c r="AI4" s="113">
        <v>2.2999999999999998</v>
      </c>
      <c r="AJ4" s="41">
        <v>0.126</v>
      </c>
      <c r="AK4" s="113">
        <v>1</v>
      </c>
      <c r="AL4" s="113">
        <v>-0.1</v>
      </c>
      <c r="AM4" s="113">
        <v>1.2</v>
      </c>
      <c r="AN4" s="113">
        <v>11.4</v>
      </c>
      <c r="AO4" s="46"/>
    </row>
    <row r="5" spans="1:44" x14ac:dyDescent="0.2">
      <c r="A5" s="110">
        <v>36</v>
      </c>
      <c r="B5" s="24" t="s">
        <v>195</v>
      </c>
      <c r="C5" s="3" t="s">
        <v>232</v>
      </c>
      <c r="D5" s="108">
        <v>63</v>
      </c>
      <c r="E5" s="108">
        <v>69</v>
      </c>
      <c r="F5" s="109">
        <v>220</v>
      </c>
      <c r="G5" s="4">
        <v>34399</v>
      </c>
      <c r="H5" s="113">
        <f t="shared" ca="1" si="0"/>
        <v>26.6</v>
      </c>
      <c r="I5" s="3" t="s">
        <v>360</v>
      </c>
      <c r="J5" s="3">
        <v>7</v>
      </c>
      <c r="K5" s="112">
        <v>2014</v>
      </c>
      <c r="L5" s="112">
        <v>6</v>
      </c>
      <c r="M5" s="3" t="s">
        <v>361</v>
      </c>
      <c r="N5" s="3" t="s">
        <v>1</v>
      </c>
      <c r="O5" s="3" t="s">
        <v>2112</v>
      </c>
      <c r="P5" s="11">
        <v>13446428</v>
      </c>
      <c r="Q5" s="11">
        <v>14339285</v>
      </c>
      <c r="R5" s="18">
        <f>Q5*1.5</f>
        <v>21508927.5</v>
      </c>
      <c r="V5" s="3" t="s">
        <v>2030</v>
      </c>
      <c r="W5" s="3" t="s">
        <v>362</v>
      </c>
      <c r="X5" s="110">
        <v>2</v>
      </c>
      <c r="Y5" s="110">
        <v>53</v>
      </c>
      <c r="Z5" s="41">
        <f>34/53</f>
        <v>0.64150943396226412</v>
      </c>
      <c r="AA5" s="113">
        <v>110.9</v>
      </c>
      <c r="AB5" s="113">
        <v>104.3</v>
      </c>
      <c r="AC5" s="113">
        <f t="shared" si="1"/>
        <v>6.6000000000000085</v>
      </c>
      <c r="AD5" s="113">
        <v>32.5</v>
      </c>
      <c r="AE5" s="113">
        <v>14</v>
      </c>
      <c r="AF5" s="41">
        <v>0.51900000000000002</v>
      </c>
      <c r="AG5" s="113">
        <v>19.3</v>
      </c>
      <c r="AH5" s="113">
        <v>0.7</v>
      </c>
      <c r="AI5" s="113">
        <v>2.4</v>
      </c>
      <c r="AJ5" s="41">
        <v>0.115</v>
      </c>
      <c r="AK5" s="113">
        <v>0.2</v>
      </c>
      <c r="AL5" s="113">
        <v>1.3</v>
      </c>
      <c r="AM5" s="113">
        <v>1.5</v>
      </c>
      <c r="AN5" s="113">
        <v>9.1999999999999993</v>
      </c>
    </row>
    <row r="6" spans="1:44" x14ac:dyDescent="0.2">
      <c r="A6" s="110">
        <v>0</v>
      </c>
      <c r="B6" s="24" t="s">
        <v>363</v>
      </c>
      <c r="C6" s="3" t="s">
        <v>244</v>
      </c>
      <c r="D6" s="108">
        <v>68</v>
      </c>
      <c r="E6" s="108">
        <v>611</v>
      </c>
      <c r="F6" s="109">
        <v>210</v>
      </c>
      <c r="G6" s="4">
        <v>35857</v>
      </c>
      <c r="H6" s="113">
        <f t="shared" ca="1" si="0"/>
        <v>22.6</v>
      </c>
      <c r="I6" s="3" t="s">
        <v>256</v>
      </c>
      <c r="J6" s="3">
        <v>4</v>
      </c>
      <c r="K6" s="112">
        <v>2017</v>
      </c>
      <c r="L6" s="112">
        <v>3</v>
      </c>
      <c r="M6" s="3" t="s">
        <v>364</v>
      </c>
      <c r="N6" s="3" t="s">
        <v>247</v>
      </c>
      <c r="O6" s="3" t="s">
        <v>2113</v>
      </c>
      <c r="P6" s="11">
        <v>9897120</v>
      </c>
      <c r="Q6" s="32">
        <f>P6*3</f>
        <v>29691360</v>
      </c>
      <c r="W6" s="3" t="s">
        <v>365</v>
      </c>
      <c r="X6" s="110">
        <v>4</v>
      </c>
      <c r="Y6" s="110">
        <v>59</v>
      </c>
      <c r="Z6" s="41">
        <f>41/59</f>
        <v>0.69491525423728817</v>
      </c>
      <c r="AA6" s="113">
        <v>113.8</v>
      </c>
      <c r="AB6" s="113">
        <v>103.5</v>
      </c>
      <c r="AC6" s="113">
        <f t="shared" si="1"/>
        <v>10.299999999999997</v>
      </c>
      <c r="AD6" s="113">
        <v>34.6</v>
      </c>
      <c r="AE6" s="113">
        <v>20.3</v>
      </c>
      <c r="AF6" s="41">
        <v>0.56200000000000006</v>
      </c>
      <c r="AG6" s="113">
        <v>28.6</v>
      </c>
      <c r="AH6" s="113">
        <v>2.9</v>
      </c>
      <c r="AI6" s="113">
        <v>3.4</v>
      </c>
      <c r="AJ6" s="41">
        <v>0.14699999999999999</v>
      </c>
      <c r="AK6" s="113">
        <v>3.3</v>
      </c>
      <c r="AL6" s="113">
        <v>0.6</v>
      </c>
      <c r="AM6" s="113">
        <v>3</v>
      </c>
      <c r="AN6" s="113">
        <v>14.3</v>
      </c>
    </row>
    <row r="7" spans="1:44" x14ac:dyDescent="0.2">
      <c r="A7" s="110">
        <v>11</v>
      </c>
      <c r="B7" s="24" t="s">
        <v>8</v>
      </c>
      <c r="C7" s="3" t="s">
        <v>236</v>
      </c>
      <c r="D7" s="108">
        <v>610</v>
      </c>
      <c r="E7" s="108">
        <v>71</v>
      </c>
      <c r="F7" s="109">
        <v>250</v>
      </c>
      <c r="G7" s="4">
        <v>33744</v>
      </c>
      <c r="H7" s="113">
        <f t="shared" ca="1" si="0"/>
        <v>28.4</v>
      </c>
      <c r="I7" s="3" t="s">
        <v>270</v>
      </c>
      <c r="J7" s="3">
        <v>10</v>
      </c>
      <c r="K7" s="112">
        <v>2011</v>
      </c>
      <c r="L7" s="111">
        <v>3</v>
      </c>
      <c r="M7" s="3" t="s">
        <v>372</v>
      </c>
      <c r="N7" s="3" t="s">
        <v>299</v>
      </c>
      <c r="O7" s="163" t="s">
        <v>371</v>
      </c>
      <c r="P7" s="42">
        <v>5005350</v>
      </c>
      <c r="Q7" s="18">
        <f>P7*1.3</f>
        <v>6506955</v>
      </c>
      <c r="W7" s="5" t="s">
        <v>240</v>
      </c>
      <c r="X7" s="110">
        <v>5</v>
      </c>
      <c r="Y7" s="110">
        <v>51</v>
      </c>
      <c r="Z7" s="41">
        <f>32/51</f>
        <v>0.62745098039215685</v>
      </c>
      <c r="AA7" s="113">
        <v>112</v>
      </c>
      <c r="AB7" s="113">
        <v>103.7</v>
      </c>
      <c r="AC7" s="113">
        <f t="shared" si="1"/>
        <v>8.2999999999999972</v>
      </c>
      <c r="AD7" s="113">
        <v>17.5</v>
      </c>
      <c r="AE7" s="113">
        <v>22</v>
      </c>
      <c r="AF7" s="41">
        <v>0.59399999999999997</v>
      </c>
      <c r="AG7" s="113">
        <v>19.3</v>
      </c>
      <c r="AH7" s="113">
        <v>2.1</v>
      </c>
      <c r="AI7" s="113">
        <v>1.7</v>
      </c>
      <c r="AJ7" s="41">
        <v>0.20699999999999999</v>
      </c>
      <c r="AK7" s="113">
        <v>1.6</v>
      </c>
      <c r="AL7" s="113">
        <v>-0.1</v>
      </c>
      <c r="AM7" s="113">
        <v>0.8</v>
      </c>
      <c r="AN7" s="113">
        <v>15.5</v>
      </c>
    </row>
    <row r="8" spans="1:44" x14ac:dyDescent="0.2">
      <c r="A8" s="110">
        <v>27</v>
      </c>
      <c r="B8" s="24" t="s">
        <v>9</v>
      </c>
      <c r="C8" s="3" t="s">
        <v>236</v>
      </c>
      <c r="D8" s="108">
        <v>68</v>
      </c>
      <c r="E8" s="108">
        <v>611</v>
      </c>
      <c r="F8" s="109">
        <v>245</v>
      </c>
      <c r="G8" s="4">
        <v>33698</v>
      </c>
      <c r="H8" s="113">
        <f t="shared" ca="1" si="0"/>
        <v>28.5</v>
      </c>
      <c r="I8" s="3" t="s">
        <v>369</v>
      </c>
      <c r="J8" s="3">
        <v>4</v>
      </c>
      <c r="K8" s="112">
        <v>2013</v>
      </c>
      <c r="L8" s="111"/>
      <c r="M8" s="3" t="s">
        <v>370</v>
      </c>
      <c r="N8" s="3" t="s">
        <v>5</v>
      </c>
      <c r="O8" s="163" t="s">
        <v>371</v>
      </c>
      <c r="P8" s="30">
        <v>5000000</v>
      </c>
      <c r="Q8" s="18">
        <f>P8*1.9</f>
        <v>9500000</v>
      </c>
      <c r="W8" s="5" t="s">
        <v>240</v>
      </c>
      <c r="X8" s="110">
        <v>5</v>
      </c>
      <c r="Y8" s="110">
        <v>58</v>
      </c>
      <c r="Z8" s="41">
        <f>37/58</f>
        <v>0.63793103448275867</v>
      </c>
      <c r="AA8" s="113">
        <v>111.8</v>
      </c>
      <c r="AB8" s="113">
        <v>104.1</v>
      </c>
      <c r="AC8" s="113">
        <f t="shared" si="1"/>
        <v>7.7000000000000028</v>
      </c>
      <c r="AD8" s="113">
        <v>23.8</v>
      </c>
      <c r="AE8" s="113">
        <v>18.2</v>
      </c>
      <c r="AF8" s="41">
        <v>0.629</v>
      </c>
      <c r="AG8" s="113">
        <v>14.7</v>
      </c>
      <c r="AH8" s="113">
        <v>3.6</v>
      </c>
      <c r="AI8" s="113">
        <v>2.2999999999999998</v>
      </c>
      <c r="AJ8" s="41">
        <v>0.20499999999999999</v>
      </c>
      <c r="AK8" s="113">
        <v>0.4</v>
      </c>
      <c r="AL8" s="113">
        <v>1.8</v>
      </c>
      <c r="AM8" s="113">
        <v>1.5</v>
      </c>
      <c r="AN8" s="113">
        <v>10.7</v>
      </c>
    </row>
    <row r="9" spans="1:44" x14ac:dyDescent="0.2">
      <c r="A9" s="110">
        <v>45</v>
      </c>
      <c r="B9" s="24" t="s">
        <v>373</v>
      </c>
      <c r="C9" s="3" t="s">
        <v>255</v>
      </c>
      <c r="D9" s="108">
        <v>64</v>
      </c>
      <c r="E9" s="108">
        <v>611</v>
      </c>
      <c r="F9" s="109">
        <v>216</v>
      </c>
      <c r="G9" s="4">
        <v>36458</v>
      </c>
      <c r="H9" s="113">
        <f t="shared" ca="1" si="0"/>
        <v>20.9</v>
      </c>
      <c r="I9" s="3" t="s">
        <v>374</v>
      </c>
      <c r="J9" s="3">
        <v>2</v>
      </c>
      <c r="K9" s="112">
        <v>2019</v>
      </c>
      <c r="L9" s="112">
        <v>14</v>
      </c>
      <c r="M9" s="3" t="s">
        <v>375</v>
      </c>
      <c r="N9" s="3" t="s">
        <v>247</v>
      </c>
      <c r="O9" s="3" t="s">
        <v>2114</v>
      </c>
      <c r="P9" s="11">
        <v>3631200</v>
      </c>
      <c r="Q9" s="31">
        <v>3804360</v>
      </c>
      <c r="R9" s="31">
        <v>5634257</v>
      </c>
      <c r="S9" s="32">
        <f>R9*3</f>
        <v>16902771</v>
      </c>
      <c r="W9" s="3" t="s">
        <v>376</v>
      </c>
      <c r="X9" s="110">
        <v>2</v>
      </c>
      <c r="Y9" s="110">
        <v>27</v>
      </c>
      <c r="Z9" s="41">
        <f>19/27</f>
        <v>0.70370370370370372</v>
      </c>
      <c r="AA9" s="113">
        <v>110.5</v>
      </c>
      <c r="AB9" s="113">
        <v>102.1</v>
      </c>
      <c r="AC9" s="113">
        <f t="shared" si="1"/>
        <v>8.4000000000000057</v>
      </c>
      <c r="AD9" s="113">
        <v>11</v>
      </c>
      <c r="AE9" s="113">
        <v>6</v>
      </c>
      <c r="AF9" s="41">
        <v>0.46500000000000002</v>
      </c>
      <c r="AG9" s="113">
        <v>11.9</v>
      </c>
      <c r="AH9" s="113">
        <v>-0.1</v>
      </c>
      <c r="AI9" s="113">
        <v>0.3</v>
      </c>
      <c r="AJ9" s="41">
        <v>3.9E-2</v>
      </c>
      <c r="AK9" s="113">
        <v>-4.5</v>
      </c>
      <c r="AL9" s="113">
        <v>-0.1</v>
      </c>
      <c r="AM9" s="113">
        <v>-0.2</v>
      </c>
      <c r="AN9" s="113">
        <v>2.2999999999999998</v>
      </c>
    </row>
    <row r="10" spans="1:44" x14ac:dyDescent="0.2">
      <c r="A10" s="110">
        <v>77</v>
      </c>
      <c r="B10" s="24" t="s">
        <v>377</v>
      </c>
      <c r="C10" s="3" t="s">
        <v>236</v>
      </c>
      <c r="D10" s="108">
        <v>70</v>
      </c>
      <c r="E10" s="108"/>
      <c r="F10" s="109">
        <v>235</v>
      </c>
      <c r="G10" s="4">
        <v>34259</v>
      </c>
      <c r="H10" s="113">
        <f t="shared" ca="1" si="0"/>
        <v>27</v>
      </c>
      <c r="I10" s="3" t="s">
        <v>378</v>
      </c>
      <c r="J10" s="3">
        <v>2</v>
      </c>
      <c r="K10" s="112">
        <v>2015</v>
      </c>
      <c r="L10" s="112"/>
      <c r="M10" s="3" t="s">
        <v>379</v>
      </c>
      <c r="N10" s="3" t="s">
        <v>285</v>
      </c>
      <c r="O10" s="3" t="s">
        <v>2115</v>
      </c>
      <c r="P10" s="11">
        <v>2619207</v>
      </c>
      <c r="Q10" s="32">
        <f>P10*1.3</f>
        <v>3404969.1</v>
      </c>
      <c r="V10" s="11">
        <f>P6+Q6+R6+S6</f>
        <v>39588480</v>
      </c>
      <c r="W10" s="5" t="s">
        <v>240</v>
      </c>
      <c r="X10" s="110">
        <v>5</v>
      </c>
      <c r="Y10" s="110">
        <v>21</v>
      </c>
      <c r="Z10" s="41">
        <f>18/21</f>
        <v>0.8571428571428571</v>
      </c>
      <c r="AA10" s="113">
        <v>104.3</v>
      </c>
      <c r="AB10" s="113">
        <v>108.1</v>
      </c>
      <c r="AC10" s="113">
        <f t="shared" si="1"/>
        <v>-3.7999999999999972</v>
      </c>
      <c r="AD10" s="113">
        <v>5.4</v>
      </c>
      <c r="AE10" s="113">
        <v>12.8</v>
      </c>
      <c r="AF10" s="41">
        <v>0.54</v>
      </c>
      <c r="AG10" s="113">
        <v>15.8</v>
      </c>
      <c r="AH10" s="113">
        <v>0.1</v>
      </c>
      <c r="AI10" s="113">
        <v>0.2</v>
      </c>
      <c r="AJ10" s="41">
        <v>0.124</v>
      </c>
      <c r="AK10" s="113">
        <v>-4.5</v>
      </c>
      <c r="AL10" s="113">
        <v>0.7</v>
      </c>
      <c r="AM10" s="113">
        <v>-0.1</v>
      </c>
      <c r="AN10" s="113">
        <v>7</v>
      </c>
    </row>
    <row r="11" spans="1:44" x14ac:dyDescent="0.2">
      <c r="A11" s="110">
        <v>12</v>
      </c>
      <c r="B11" s="24" t="s">
        <v>381</v>
      </c>
      <c r="C11" s="3" t="s">
        <v>236</v>
      </c>
      <c r="D11" s="108">
        <v>66</v>
      </c>
      <c r="E11" s="108">
        <v>610</v>
      </c>
      <c r="F11" s="109">
        <v>236</v>
      </c>
      <c r="G11" s="4">
        <v>36129</v>
      </c>
      <c r="H11" s="113">
        <f t="shared" ca="1" si="0"/>
        <v>21.9</v>
      </c>
      <c r="I11" s="3" t="s">
        <v>382</v>
      </c>
      <c r="J11" s="3">
        <v>2</v>
      </c>
      <c r="K11" s="112">
        <v>2019</v>
      </c>
      <c r="L11" s="112">
        <v>22</v>
      </c>
      <c r="M11" s="3" t="s">
        <v>383</v>
      </c>
      <c r="N11" s="3" t="s">
        <v>247</v>
      </c>
      <c r="O11" s="3" t="s">
        <v>2116</v>
      </c>
      <c r="P11" s="11">
        <v>2498760</v>
      </c>
      <c r="Q11" s="31">
        <v>2617800</v>
      </c>
      <c r="R11" s="31">
        <v>4306281</v>
      </c>
      <c r="S11" s="32">
        <f>R11*3</f>
        <v>12918843</v>
      </c>
      <c r="W11" s="3" t="s">
        <v>384</v>
      </c>
      <c r="X11" s="110">
        <v>4</v>
      </c>
      <c r="Y11" s="110">
        <v>62</v>
      </c>
      <c r="Z11" s="41">
        <f>43/62</f>
        <v>0.69354838709677424</v>
      </c>
      <c r="AA11" s="113">
        <v>109.8</v>
      </c>
      <c r="AB11" s="113">
        <v>102.4</v>
      </c>
      <c r="AC11" s="113">
        <f t="shared" si="1"/>
        <v>7.3999999999999915</v>
      </c>
      <c r="AD11" s="113">
        <v>15.6</v>
      </c>
      <c r="AE11" s="113">
        <v>8</v>
      </c>
      <c r="AF11" s="41">
        <v>0.50800000000000001</v>
      </c>
      <c r="AG11" s="113">
        <v>11.5</v>
      </c>
      <c r="AH11" s="113">
        <v>0.2</v>
      </c>
      <c r="AI11" s="113">
        <v>1.3</v>
      </c>
      <c r="AJ11" s="41">
        <v>7.4999999999999997E-2</v>
      </c>
      <c r="AK11" s="113">
        <v>-4</v>
      </c>
      <c r="AL11" s="113">
        <v>1.4</v>
      </c>
      <c r="AM11" s="113">
        <v>-0.1</v>
      </c>
      <c r="AN11" s="113">
        <v>3.9</v>
      </c>
    </row>
    <row r="12" spans="1:44" x14ac:dyDescent="0.2">
      <c r="A12" s="110">
        <v>44</v>
      </c>
      <c r="B12" s="24" t="s">
        <v>385</v>
      </c>
      <c r="C12" s="3" t="s">
        <v>236</v>
      </c>
      <c r="D12" s="108">
        <v>68</v>
      </c>
      <c r="E12" s="108">
        <v>76</v>
      </c>
      <c r="F12" s="109">
        <v>237</v>
      </c>
      <c r="G12" s="4">
        <v>35720</v>
      </c>
      <c r="H12" s="113">
        <f t="shared" ca="1" si="0"/>
        <v>23</v>
      </c>
      <c r="I12" s="3" t="s">
        <v>386</v>
      </c>
      <c r="J12" s="3">
        <v>3</v>
      </c>
      <c r="K12" s="112">
        <v>2018</v>
      </c>
      <c r="L12" s="112">
        <v>27</v>
      </c>
      <c r="M12" s="3" t="s">
        <v>387</v>
      </c>
      <c r="N12" s="3" t="s">
        <v>247</v>
      </c>
      <c r="O12" s="3" t="s">
        <v>2117</v>
      </c>
      <c r="P12" s="11">
        <v>2029920</v>
      </c>
      <c r="Q12" s="31">
        <v>3661976</v>
      </c>
      <c r="R12" s="32">
        <f>Q12*3</f>
        <v>10985928</v>
      </c>
      <c r="W12" s="3" t="s">
        <v>388</v>
      </c>
      <c r="X12" s="110">
        <v>5</v>
      </c>
      <c r="Y12" s="110">
        <v>23</v>
      </c>
      <c r="Z12" s="41">
        <f>15/23</f>
        <v>0.65217391304347827</v>
      </c>
      <c r="AA12" s="113">
        <v>109.7</v>
      </c>
      <c r="AB12" s="113">
        <v>108.6</v>
      </c>
      <c r="AC12" s="113">
        <f t="shared" si="1"/>
        <v>1.1000000000000085</v>
      </c>
      <c r="AD12" s="113">
        <v>14</v>
      </c>
      <c r="AE12" s="113">
        <v>19.600000000000001</v>
      </c>
      <c r="AF12" s="41">
        <v>0.67100000000000004</v>
      </c>
      <c r="AG12" s="113">
        <v>12.3</v>
      </c>
      <c r="AH12" s="113">
        <v>0.6</v>
      </c>
      <c r="AI12" s="113">
        <v>0.8</v>
      </c>
      <c r="AJ12" s="41">
        <v>0.20499999999999999</v>
      </c>
      <c r="AK12" s="113">
        <v>-0.6</v>
      </c>
      <c r="AL12" s="113">
        <v>4.4000000000000004</v>
      </c>
      <c r="AM12" s="113">
        <v>0.5</v>
      </c>
      <c r="AN12" s="113">
        <v>12.5</v>
      </c>
    </row>
    <row r="13" spans="1:44" x14ac:dyDescent="0.2">
      <c r="A13" s="110">
        <v>37</v>
      </c>
      <c r="B13" s="24" t="s">
        <v>11</v>
      </c>
      <c r="C13" s="3" t="s">
        <v>236</v>
      </c>
      <c r="D13" s="108">
        <v>66</v>
      </c>
      <c r="E13" s="108">
        <v>610</v>
      </c>
      <c r="F13" s="109">
        <v>240</v>
      </c>
      <c r="G13" s="4">
        <v>34673</v>
      </c>
      <c r="H13" s="113">
        <f t="shared" ca="1" si="0"/>
        <v>25.8</v>
      </c>
      <c r="I13" s="3" t="s">
        <v>389</v>
      </c>
      <c r="J13" s="3">
        <v>4</v>
      </c>
      <c r="K13" s="112">
        <v>2017</v>
      </c>
      <c r="L13" s="111">
        <v>37</v>
      </c>
      <c r="M13" s="3" t="s">
        <v>390</v>
      </c>
      <c r="N13" s="3" t="s">
        <v>247</v>
      </c>
      <c r="O13" s="163" t="s">
        <v>391</v>
      </c>
      <c r="P13" s="43">
        <v>1752950</v>
      </c>
      <c r="Q13" s="44">
        <v>1856061</v>
      </c>
      <c r="W13" s="3" t="s">
        <v>392</v>
      </c>
      <c r="X13" s="110">
        <v>3</v>
      </c>
      <c r="Y13" s="110">
        <v>61</v>
      </c>
      <c r="Z13" s="41">
        <f>41/61</f>
        <v>0.67213114754098358</v>
      </c>
      <c r="AA13" s="113">
        <v>104.1</v>
      </c>
      <c r="AB13" s="113">
        <v>104.5</v>
      </c>
      <c r="AC13" s="113">
        <f t="shared" si="1"/>
        <v>-0.40000000000000568</v>
      </c>
      <c r="AD13" s="113">
        <v>14.6</v>
      </c>
      <c r="AE13" s="113">
        <v>7.6</v>
      </c>
      <c r="AF13" s="41">
        <v>0.55700000000000005</v>
      </c>
      <c r="AG13" s="113">
        <v>8.8000000000000007</v>
      </c>
      <c r="AH13" s="113">
        <v>0.8</v>
      </c>
      <c r="AI13" s="113">
        <v>0.9</v>
      </c>
      <c r="AJ13" s="41">
        <v>9.0999999999999998E-2</v>
      </c>
      <c r="AK13" s="113">
        <v>-2.1</v>
      </c>
      <c r="AL13" s="113">
        <v>0.5</v>
      </c>
      <c r="AM13" s="113">
        <v>0.1</v>
      </c>
      <c r="AN13" s="113">
        <v>5.7</v>
      </c>
    </row>
    <row r="14" spans="1:44" x14ac:dyDescent="0.2">
      <c r="A14" s="110">
        <v>4</v>
      </c>
      <c r="B14" s="3" t="s">
        <v>396</v>
      </c>
      <c r="C14" s="3" t="s">
        <v>232</v>
      </c>
      <c r="D14" s="108">
        <v>511</v>
      </c>
      <c r="E14" s="108">
        <v>66</v>
      </c>
      <c r="F14" s="109">
        <v>200</v>
      </c>
      <c r="G14" s="4">
        <v>35866</v>
      </c>
      <c r="H14" s="113">
        <f t="shared" ca="1" si="0"/>
        <v>22.6</v>
      </c>
      <c r="I14" s="3" t="s">
        <v>397</v>
      </c>
      <c r="J14" s="3">
        <v>2</v>
      </c>
      <c r="K14" s="112">
        <v>2019</v>
      </c>
      <c r="L14" s="112">
        <v>33</v>
      </c>
      <c r="M14" s="3" t="s">
        <v>398</v>
      </c>
      <c r="N14" s="3" t="s">
        <v>285</v>
      </c>
      <c r="O14" s="3" t="s">
        <v>2109</v>
      </c>
      <c r="P14" s="11">
        <v>1517981</v>
      </c>
      <c r="Q14" s="11">
        <v>1782621</v>
      </c>
      <c r="R14" s="43">
        <v>1930681</v>
      </c>
      <c r="S14" s="18">
        <v>2046307</v>
      </c>
      <c r="W14" s="3" t="s">
        <v>400</v>
      </c>
      <c r="X14" s="110">
        <v>2</v>
      </c>
      <c r="Y14" s="110">
        <v>35</v>
      </c>
      <c r="Z14" s="41">
        <f>24/35</f>
        <v>0.68571428571428572</v>
      </c>
      <c r="AA14" s="113">
        <v>93</v>
      </c>
      <c r="AB14" s="113">
        <v>99.4</v>
      </c>
      <c r="AC14" s="113">
        <f t="shared" si="1"/>
        <v>-6.4000000000000057</v>
      </c>
      <c r="AD14" s="113">
        <v>9</v>
      </c>
      <c r="AE14" s="113">
        <v>6.5</v>
      </c>
      <c r="AF14" s="41">
        <v>0.44600000000000001</v>
      </c>
      <c r="AG14" s="113">
        <v>18.100000000000001</v>
      </c>
      <c r="AH14" s="113">
        <v>-0.3</v>
      </c>
      <c r="AI14" s="113">
        <v>0.4</v>
      </c>
      <c r="AJ14" s="41">
        <v>1.2E-2</v>
      </c>
      <c r="AK14" s="113">
        <v>-4.5999999999999996</v>
      </c>
      <c r="AL14" s="113">
        <v>-0.3</v>
      </c>
      <c r="AM14" s="113">
        <v>-0.2</v>
      </c>
      <c r="AN14" s="113">
        <v>5.0999999999999996</v>
      </c>
    </row>
    <row r="15" spans="1:44" x14ac:dyDescent="0.2">
      <c r="A15" s="110">
        <v>43</v>
      </c>
      <c r="B15" s="3" t="s">
        <v>12</v>
      </c>
      <c r="C15" s="3" t="s">
        <v>255</v>
      </c>
      <c r="D15" s="108">
        <v>64</v>
      </c>
      <c r="E15" s="108"/>
      <c r="F15" s="109">
        <v>205</v>
      </c>
      <c r="G15" s="4">
        <v>34173</v>
      </c>
      <c r="H15" s="113">
        <f t="shared" ca="1" si="0"/>
        <v>27.2</v>
      </c>
      <c r="I15" s="3" t="s">
        <v>228</v>
      </c>
      <c r="J15" s="3">
        <v>2</v>
      </c>
      <c r="K15" s="112">
        <v>2015</v>
      </c>
      <c r="L15" s="111"/>
      <c r="M15" s="3" t="s">
        <v>401</v>
      </c>
      <c r="N15" s="3" t="s">
        <v>282</v>
      </c>
      <c r="O15" s="163" t="s">
        <v>402</v>
      </c>
      <c r="P15" s="30">
        <v>1517981</v>
      </c>
      <c r="Q15" s="32">
        <v>2056061</v>
      </c>
      <c r="T15" s="27"/>
      <c r="W15" s="3" t="s">
        <v>403</v>
      </c>
      <c r="X15" s="110">
        <v>3</v>
      </c>
      <c r="Y15" s="110">
        <v>44</v>
      </c>
      <c r="Z15" s="41">
        <f>30/44</f>
        <v>0.68181818181818177</v>
      </c>
      <c r="AA15" s="113">
        <v>105.1</v>
      </c>
      <c r="AB15" s="113">
        <v>105.1</v>
      </c>
      <c r="AC15" s="113">
        <f t="shared" si="1"/>
        <v>0</v>
      </c>
      <c r="AD15" s="113">
        <v>9.4</v>
      </c>
      <c r="AE15" s="113">
        <v>12.3</v>
      </c>
      <c r="AF15" s="41">
        <v>0.55800000000000005</v>
      </c>
      <c r="AG15" s="113">
        <v>13.6</v>
      </c>
      <c r="AH15" s="113">
        <v>0.3</v>
      </c>
      <c r="AI15" s="113">
        <v>0.7</v>
      </c>
      <c r="AJ15" s="41">
        <v>0.112</v>
      </c>
      <c r="AK15" s="113">
        <v>-2.4</v>
      </c>
      <c r="AL15" s="113">
        <v>1.8</v>
      </c>
      <c r="AM15" s="113">
        <v>0.1</v>
      </c>
      <c r="AN15" s="113">
        <v>8.3000000000000007</v>
      </c>
    </row>
    <row r="16" spans="1:44" x14ac:dyDescent="0.2">
      <c r="B16" s="3" t="s">
        <v>297</v>
      </c>
      <c r="K16" s="58"/>
      <c r="L16" s="58"/>
      <c r="M16" s="58"/>
      <c r="N16" s="58"/>
      <c r="O16" s="58"/>
      <c r="P16" s="22">
        <f>1039080+92857</f>
        <v>1131937</v>
      </c>
      <c r="Q16" s="22">
        <f>1039080+92857</f>
        <v>1131937</v>
      </c>
      <c r="R16" s="22">
        <f>92857</f>
        <v>92857</v>
      </c>
      <c r="S16" s="22">
        <f>92857</f>
        <v>92857</v>
      </c>
    </row>
    <row r="17" spans="1:40" x14ac:dyDescent="0.2">
      <c r="B17" s="3" t="s">
        <v>2182</v>
      </c>
      <c r="J17" s="11"/>
      <c r="K17" s="55"/>
      <c r="L17" s="16"/>
      <c r="M17" s="16"/>
      <c r="N17" s="19"/>
      <c r="O17" s="19"/>
      <c r="P17" s="11">
        <v>3458400</v>
      </c>
      <c r="Q17" s="11">
        <v>3631200</v>
      </c>
      <c r="R17" s="51">
        <v>3804360</v>
      </c>
      <c r="S17" s="51">
        <f>R17*1.481</f>
        <v>5634257.1600000001</v>
      </c>
      <c r="T17" s="50">
        <f>S17*3</f>
        <v>16902771.48</v>
      </c>
    </row>
    <row r="18" spans="1:40" x14ac:dyDescent="0.2">
      <c r="B18" s="3" t="s">
        <v>409</v>
      </c>
      <c r="K18" s="55"/>
      <c r="L18" s="16"/>
      <c r="M18" s="16"/>
      <c r="N18" s="19"/>
      <c r="O18" s="19"/>
      <c r="P18" s="11">
        <v>2035800</v>
      </c>
      <c r="Q18" s="11">
        <v>2137440</v>
      </c>
      <c r="R18" s="51">
        <v>2239200</v>
      </c>
      <c r="S18" s="51">
        <v>4037278</v>
      </c>
      <c r="T18" s="50">
        <f>S18*3</f>
        <v>12111834</v>
      </c>
    </row>
    <row r="19" spans="1:40" x14ac:dyDescent="0.2">
      <c r="B19" s="3" t="s">
        <v>410</v>
      </c>
      <c r="K19" s="55"/>
      <c r="L19" s="16"/>
      <c r="M19" s="16"/>
      <c r="O19" s="22"/>
      <c r="P19" s="11">
        <v>1936440</v>
      </c>
      <c r="Q19" s="11">
        <v>2033160</v>
      </c>
      <c r="R19" s="31">
        <v>2130240</v>
      </c>
      <c r="S19" s="31">
        <v>3845803</v>
      </c>
      <c r="T19" s="33">
        <f>S19*3</f>
        <v>11537409</v>
      </c>
    </row>
    <row r="20" spans="1:40" x14ac:dyDescent="0.2">
      <c r="B20" s="3" t="s">
        <v>2183</v>
      </c>
      <c r="K20" s="16"/>
      <c r="L20" s="16"/>
      <c r="M20" s="55"/>
      <c r="N20" s="22"/>
      <c r="O20" s="22"/>
      <c r="P20" s="179">
        <v>898310</v>
      </c>
    </row>
    <row r="21" spans="1:40" x14ac:dyDescent="0.2">
      <c r="K21" s="16"/>
      <c r="L21" s="16"/>
      <c r="M21" s="55"/>
      <c r="O21" s="22"/>
      <c r="P21" s="179"/>
    </row>
    <row r="22" spans="1:40" x14ac:dyDescent="0.2">
      <c r="A22" s="110">
        <v>9</v>
      </c>
      <c r="B22" s="3" t="s">
        <v>10</v>
      </c>
      <c r="C22" s="3" t="s">
        <v>232</v>
      </c>
      <c r="D22" s="108">
        <v>63</v>
      </c>
      <c r="E22" s="108">
        <v>68</v>
      </c>
      <c r="F22" s="109">
        <v>210</v>
      </c>
      <c r="G22" s="4">
        <v>32714</v>
      </c>
      <c r="H22" s="113">
        <f t="shared" ref="H22:H24" ca="1" si="2">ROUNDDOWN(YEARFRAC($G$26,G22),1)</f>
        <v>31.2</v>
      </c>
      <c r="I22" s="3" t="s">
        <v>393</v>
      </c>
      <c r="J22" s="3">
        <v>3</v>
      </c>
      <c r="K22" s="112">
        <v>2011</v>
      </c>
      <c r="L22" s="111"/>
      <c r="M22" s="3" t="s">
        <v>394</v>
      </c>
      <c r="P22" s="45">
        <v>1820564</v>
      </c>
      <c r="T22" s="27"/>
      <c r="W22" s="3" t="s">
        <v>395</v>
      </c>
      <c r="X22" s="110">
        <v>1</v>
      </c>
      <c r="Y22" s="110">
        <v>63</v>
      </c>
      <c r="Z22" s="41">
        <f>43/63</f>
        <v>0.68253968253968256</v>
      </c>
      <c r="AA22" s="113">
        <v>107.7</v>
      </c>
      <c r="AB22" s="113">
        <v>104.8</v>
      </c>
      <c r="AC22" s="113">
        <f t="shared" ref="AC22:AC24" si="3">AA22-AB22</f>
        <v>2.9000000000000057</v>
      </c>
      <c r="AD22" s="113">
        <v>19.3</v>
      </c>
      <c r="AE22" s="113">
        <v>11.8</v>
      </c>
      <c r="AF22" s="41">
        <v>0.56000000000000005</v>
      </c>
      <c r="AG22" s="113">
        <v>15.4</v>
      </c>
      <c r="AH22" s="113">
        <v>1.2</v>
      </c>
      <c r="AI22" s="113">
        <v>1.5</v>
      </c>
      <c r="AJ22" s="41">
        <v>0.108</v>
      </c>
      <c r="AK22" s="113">
        <v>-2.5</v>
      </c>
      <c r="AL22" s="113">
        <v>1.2</v>
      </c>
      <c r="AM22" s="113">
        <v>0.2</v>
      </c>
      <c r="AN22" s="113">
        <v>8.1</v>
      </c>
    </row>
    <row r="23" spans="1:40" x14ac:dyDescent="0.2">
      <c r="A23" s="110">
        <v>51</v>
      </c>
      <c r="B23" s="3" t="s">
        <v>404</v>
      </c>
      <c r="C23" s="3" t="s">
        <v>250</v>
      </c>
      <c r="D23" s="108">
        <v>510</v>
      </c>
      <c r="E23" s="108">
        <v>62</v>
      </c>
      <c r="F23" s="109">
        <v>175</v>
      </c>
      <c r="G23" s="4">
        <v>35805</v>
      </c>
      <c r="H23" s="113">
        <f t="shared" ca="1" si="2"/>
        <v>22.7</v>
      </c>
      <c r="I23" s="3" t="s">
        <v>405</v>
      </c>
      <c r="J23" s="3">
        <v>2</v>
      </c>
      <c r="K23" s="112">
        <v>2019</v>
      </c>
      <c r="L23" s="112">
        <v>51</v>
      </c>
      <c r="M23" s="3" t="s">
        <v>406</v>
      </c>
      <c r="P23" s="68">
        <v>1416852</v>
      </c>
      <c r="W23" s="5" t="s">
        <v>291</v>
      </c>
      <c r="X23" s="110">
        <v>1</v>
      </c>
      <c r="Y23" s="110">
        <v>10</v>
      </c>
      <c r="Z23" s="41">
        <f>8/10</f>
        <v>0.8</v>
      </c>
      <c r="AA23" s="113">
        <v>114.3</v>
      </c>
      <c r="AB23" s="113">
        <v>99.5</v>
      </c>
      <c r="AC23" s="113">
        <f t="shared" si="3"/>
        <v>14.799999999999997</v>
      </c>
      <c r="AD23" s="113">
        <v>8.9</v>
      </c>
      <c r="AE23" s="113">
        <v>6.5</v>
      </c>
      <c r="AF23" s="41">
        <v>0.438</v>
      </c>
      <c r="AG23" s="113">
        <v>22.9</v>
      </c>
      <c r="AH23" s="113">
        <v>-0.2</v>
      </c>
      <c r="AI23" s="113">
        <v>0.1</v>
      </c>
      <c r="AJ23" s="41">
        <v>-4.4999999999999998E-2</v>
      </c>
      <c r="AK23" s="113">
        <v>-6.6</v>
      </c>
      <c r="AL23" s="113">
        <v>0.1</v>
      </c>
      <c r="AM23" s="113">
        <v>-0.1</v>
      </c>
      <c r="AN23" s="113">
        <v>4.7</v>
      </c>
    </row>
    <row r="24" spans="1:40" x14ac:dyDescent="0.2">
      <c r="A24" s="110">
        <v>99</v>
      </c>
      <c r="B24" s="3" t="s">
        <v>407</v>
      </c>
      <c r="C24" s="3" t="s">
        <v>236</v>
      </c>
      <c r="D24" s="108">
        <v>75</v>
      </c>
      <c r="E24" s="108">
        <v>84</v>
      </c>
      <c r="F24" s="109">
        <v>311</v>
      </c>
      <c r="G24" s="4">
        <v>35043</v>
      </c>
      <c r="H24" s="113">
        <f t="shared" ca="1" si="2"/>
        <v>24.8</v>
      </c>
      <c r="I24" s="3" t="s">
        <v>408</v>
      </c>
      <c r="J24" s="3">
        <v>2</v>
      </c>
      <c r="K24" s="112">
        <v>2019</v>
      </c>
      <c r="L24" s="112"/>
      <c r="M24" s="3" t="s">
        <v>401</v>
      </c>
      <c r="P24" s="68">
        <v>1416852</v>
      </c>
      <c r="W24" s="5" t="s">
        <v>240</v>
      </c>
      <c r="X24" s="110">
        <v>5</v>
      </c>
      <c r="Y24" s="110">
        <v>6</v>
      </c>
      <c r="Z24" s="41">
        <f>5/6</f>
        <v>0.83333333333333337</v>
      </c>
      <c r="AA24" s="113">
        <v>103.6</v>
      </c>
      <c r="AB24" s="113">
        <v>90.9</v>
      </c>
      <c r="AC24" s="113">
        <f t="shared" si="3"/>
        <v>12.699999999999989</v>
      </c>
      <c r="AD24" s="113">
        <v>4</v>
      </c>
      <c r="AE24" s="113">
        <v>23.9</v>
      </c>
      <c r="AF24" s="41">
        <v>0.71299999999999997</v>
      </c>
      <c r="AG24" s="113">
        <v>29</v>
      </c>
      <c r="AH24" s="113">
        <v>0</v>
      </c>
      <c r="AI24" s="113">
        <v>0.1</v>
      </c>
      <c r="AJ24" s="41">
        <v>0.10199999999999999</v>
      </c>
      <c r="AK24" s="113">
        <v>-2</v>
      </c>
      <c r="AL24" s="113">
        <v>3.1</v>
      </c>
      <c r="AM24" s="113">
        <v>0</v>
      </c>
      <c r="AN24" s="113">
        <v>20</v>
      </c>
    </row>
    <row r="25" spans="1:40" x14ac:dyDescent="0.2">
      <c r="K25" s="16"/>
      <c r="L25" s="16"/>
      <c r="M25" s="55"/>
      <c r="O25" s="22"/>
      <c r="P25" s="179"/>
    </row>
    <row r="26" spans="1:40" x14ac:dyDescent="0.2">
      <c r="E26" s="4"/>
      <c r="F26" s="36"/>
      <c r="G26" s="4">
        <f ca="1">TODAY()</f>
        <v>44128</v>
      </c>
      <c r="H26" s="36">
        <f ca="1">AVERAGE(H2:H15)</f>
        <v>25.671428571428574</v>
      </c>
      <c r="J26" s="36">
        <f>AVERAGE(J2:J15)</f>
        <v>4.8571428571428568</v>
      </c>
      <c r="K26" s="16"/>
      <c r="L26" s="16"/>
      <c r="M26" s="55"/>
      <c r="N26" s="55"/>
      <c r="O26" s="55"/>
      <c r="P26" s="11"/>
    </row>
    <row r="27" spans="1:40" x14ac:dyDescent="0.2">
      <c r="E27" s="4"/>
      <c r="F27" s="36"/>
      <c r="G27" s="4"/>
      <c r="H27" s="36">
        <f ca="1">MEDIAN(H2:H15)</f>
        <v>26.200000000000003</v>
      </c>
      <c r="J27" s="36">
        <f>MEDIAN(J2:J15)</f>
        <v>4</v>
      </c>
      <c r="K27" s="16"/>
      <c r="L27" s="16"/>
      <c r="M27" s="55"/>
      <c r="N27" s="55"/>
      <c r="O27" s="55"/>
      <c r="P27" s="11"/>
    </row>
    <row r="28" spans="1:40" x14ac:dyDescent="0.2">
      <c r="B28" s="5" t="s">
        <v>2224</v>
      </c>
      <c r="H28" s="36"/>
      <c r="J28" s="132"/>
      <c r="K28" s="106"/>
      <c r="L28" s="16"/>
      <c r="M28" s="55"/>
      <c r="N28" s="55"/>
      <c r="O28" s="55"/>
      <c r="P28" s="11">
        <f>P2+P4+P5+P6+P9+P17+P10+P11+P18+P12+P19+P14+P16</f>
        <v>102317412</v>
      </c>
    </row>
    <row r="29" spans="1:40" x14ac:dyDescent="0.2">
      <c r="B29" s="3" t="s">
        <v>2085</v>
      </c>
      <c r="C29" s="3">
        <v>9</v>
      </c>
      <c r="H29" s="36"/>
      <c r="J29" s="132"/>
      <c r="K29" s="106"/>
      <c r="L29" s="16"/>
      <c r="M29" s="55"/>
      <c r="N29" s="55"/>
      <c r="O29" s="55"/>
      <c r="P29" s="11">
        <f>P2+P3+P4+P5+P6+P7+P9+P17+P10+P11+P18+P12+P19+P14+P16</f>
        <v>141509847</v>
      </c>
      <c r="U29" s="11"/>
    </row>
    <row r="30" spans="1:40" x14ac:dyDescent="0.2">
      <c r="B30" s="3" t="s">
        <v>2088</v>
      </c>
      <c r="C30" s="3">
        <v>4</v>
      </c>
      <c r="K30" s="55"/>
      <c r="L30" s="16"/>
      <c r="M30" s="55"/>
      <c r="N30" s="55"/>
      <c r="O30" s="55"/>
      <c r="P30" s="11">
        <f>P2+P3+P4+P5+P6+P7+P8+P9+P17+P10+P11+P18+P12+P19+P13+P14+P15+P16</f>
        <v>149780778</v>
      </c>
      <c r="R30" s="11"/>
    </row>
    <row r="31" spans="1:40" x14ac:dyDescent="0.2">
      <c r="B31" s="3" t="s">
        <v>2086</v>
      </c>
      <c r="C31" s="3">
        <v>4</v>
      </c>
      <c r="K31" s="55"/>
      <c r="L31" s="16"/>
      <c r="M31" s="55"/>
      <c r="N31" s="55"/>
      <c r="O31" s="55"/>
      <c r="P31" s="29">
        <f>P2+P3+P4+P5+P6+P7+P8+P9+P17+P10+P11+P18+P12+P19+P13+P14+P16</f>
        <v>148262797</v>
      </c>
    </row>
    <row r="32" spans="1:40" x14ac:dyDescent="0.2">
      <c r="B32" s="3" t="s">
        <v>2219</v>
      </c>
      <c r="C32" s="3" t="s">
        <v>2301</v>
      </c>
      <c r="K32" s="55"/>
      <c r="L32" s="106"/>
      <c r="M32" s="55"/>
      <c r="N32" s="55"/>
      <c r="P32" s="29"/>
    </row>
    <row r="33" spans="2:17" x14ac:dyDescent="0.2">
      <c r="B33" s="3" t="s">
        <v>301</v>
      </c>
      <c r="C33" s="47">
        <v>0</v>
      </c>
      <c r="K33" s="55"/>
      <c r="L33" s="106"/>
      <c r="M33" s="55"/>
      <c r="N33" s="55"/>
      <c r="O33" s="3" t="s">
        <v>300</v>
      </c>
      <c r="P33" s="11">
        <v>109140000</v>
      </c>
    </row>
    <row r="34" spans="2:17" x14ac:dyDescent="0.2">
      <c r="B34" s="24" t="s">
        <v>303</v>
      </c>
      <c r="C34" s="47">
        <v>0</v>
      </c>
      <c r="K34" s="55"/>
      <c r="L34" s="16"/>
      <c r="M34" s="55"/>
      <c r="N34" s="55"/>
      <c r="O34" s="22" t="s">
        <v>302</v>
      </c>
      <c r="P34" s="11">
        <v>132627000</v>
      </c>
    </row>
    <row r="35" spans="2:17" x14ac:dyDescent="0.2">
      <c r="K35" s="55"/>
      <c r="L35" s="16"/>
      <c r="M35" s="55"/>
      <c r="N35" s="55"/>
      <c r="P35" s="11"/>
    </row>
    <row r="36" spans="2:17" x14ac:dyDescent="0.2">
      <c r="B36" s="5" t="s">
        <v>2084</v>
      </c>
      <c r="K36" s="55"/>
      <c r="L36" s="55"/>
      <c r="M36" s="107"/>
      <c r="N36" s="55"/>
      <c r="O36" s="22"/>
      <c r="P36" s="11"/>
      <c r="Q36" s="5"/>
    </row>
    <row r="37" spans="2:17" x14ac:dyDescent="0.2">
      <c r="B37" s="3" t="s">
        <v>304</v>
      </c>
      <c r="C37" s="41">
        <f>48/(48+24)</f>
        <v>0.66666666666666663</v>
      </c>
      <c r="D37" s="3" t="s">
        <v>411</v>
      </c>
      <c r="K37" s="58"/>
      <c r="L37" s="55"/>
      <c r="M37" s="107"/>
      <c r="N37" s="55"/>
      <c r="O37" s="22"/>
      <c r="P37" s="11"/>
      <c r="Q37" s="5"/>
    </row>
    <row r="38" spans="2:17" x14ac:dyDescent="0.2">
      <c r="B38" s="3" t="s">
        <v>306</v>
      </c>
      <c r="C38" s="113">
        <v>112.8</v>
      </c>
      <c r="D38" s="3" t="s">
        <v>2172</v>
      </c>
      <c r="K38" s="55"/>
      <c r="L38" s="58"/>
      <c r="M38" s="55"/>
      <c r="N38" s="55"/>
      <c r="O38" s="22"/>
      <c r="P38" s="22"/>
    </row>
    <row r="39" spans="2:17" x14ac:dyDescent="0.2">
      <c r="B39" s="3" t="s">
        <v>307</v>
      </c>
      <c r="C39" s="113">
        <v>106.5</v>
      </c>
      <c r="D39" s="3" t="s">
        <v>2172</v>
      </c>
      <c r="K39" s="58"/>
      <c r="L39" s="58"/>
      <c r="M39" s="55"/>
      <c r="N39" s="55"/>
    </row>
    <row r="40" spans="2:17" x14ac:dyDescent="0.2">
      <c r="B40" s="3" t="s">
        <v>308</v>
      </c>
      <c r="C40" s="113">
        <f>C38-C39</f>
        <v>6.2999999999999972</v>
      </c>
      <c r="D40" s="3" t="s">
        <v>2178</v>
      </c>
      <c r="K40" s="58"/>
      <c r="L40" s="58"/>
      <c r="M40" s="55"/>
      <c r="N40" s="55"/>
      <c r="O40" s="55"/>
    </row>
    <row r="41" spans="2:17" x14ac:dyDescent="0.2">
      <c r="B41" s="3" t="s">
        <v>309</v>
      </c>
      <c r="C41" s="36">
        <v>99.92</v>
      </c>
      <c r="D41" s="3" t="s">
        <v>2225</v>
      </c>
      <c r="K41" s="58"/>
      <c r="L41" s="58"/>
      <c r="M41" s="55"/>
      <c r="N41" s="55"/>
      <c r="O41" s="55"/>
    </row>
    <row r="42" spans="2:17" x14ac:dyDescent="0.2">
      <c r="K42" s="55"/>
      <c r="L42" s="58"/>
      <c r="M42" s="55"/>
      <c r="N42" s="55"/>
      <c r="O42" s="55"/>
    </row>
    <row r="43" spans="2:17" x14ac:dyDescent="0.2">
      <c r="B43" s="3" t="s">
        <v>310</v>
      </c>
      <c r="K43" s="55"/>
      <c r="L43" s="55"/>
      <c r="M43" s="55"/>
      <c r="N43" s="55"/>
      <c r="O43" s="55"/>
    </row>
    <row r="44" spans="2:17" x14ac:dyDescent="0.2">
      <c r="B44" s="3" t="s">
        <v>1170</v>
      </c>
      <c r="L44" s="55"/>
      <c r="M44" s="55"/>
      <c r="N44" s="55"/>
      <c r="O44" s="55"/>
    </row>
    <row r="46" spans="2:17" x14ac:dyDescent="0.2">
      <c r="B46" s="3" t="s">
        <v>318</v>
      </c>
    </row>
    <row r="47" spans="2:17" x14ac:dyDescent="0.2">
      <c r="B47" s="3" t="s">
        <v>1170</v>
      </c>
    </row>
    <row r="49" spans="2:9" x14ac:dyDescent="0.2">
      <c r="B49" s="5" t="s">
        <v>2228</v>
      </c>
    </row>
    <row r="50" spans="2:9" x14ac:dyDescent="0.2">
      <c r="B50" s="39" t="s">
        <v>322</v>
      </c>
      <c r="C50" s="3">
        <v>48</v>
      </c>
      <c r="D50" s="3">
        <v>24</v>
      </c>
      <c r="E50" s="3" t="s">
        <v>411</v>
      </c>
      <c r="G50" s="3" t="s">
        <v>412</v>
      </c>
      <c r="I50" s="3" t="s">
        <v>2392</v>
      </c>
    </row>
    <row r="51" spans="2:9" x14ac:dyDescent="0.2">
      <c r="B51" s="40" t="s">
        <v>325</v>
      </c>
      <c r="C51" s="3">
        <v>49</v>
      </c>
      <c r="D51" s="3">
        <v>33</v>
      </c>
      <c r="E51" s="3" t="s">
        <v>334</v>
      </c>
      <c r="G51" s="3" t="s">
        <v>412</v>
      </c>
      <c r="I51" s="3" t="s">
        <v>413</v>
      </c>
    </row>
    <row r="52" spans="2:9" x14ac:dyDescent="0.2">
      <c r="B52" s="40" t="s">
        <v>327</v>
      </c>
      <c r="C52" s="3">
        <v>55</v>
      </c>
      <c r="D52" s="3">
        <v>27</v>
      </c>
      <c r="E52" s="3" t="s">
        <v>414</v>
      </c>
      <c r="G52" s="3" t="s">
        <v>412</v>
      </c>
      <c r="I52" s="3" t="s">
        <v>415</v>
      </c>
    </row>
    <row r="53" spans="2:9" x14ac:dyDescent="0.2">
      <c r="B53" s="40" t="s">
        <v>330</v>
      </c>
      <c r="C53" s="3">
        <v>53</v>
      </c>
      <c r="D53" s="3">
        <v>29</v>
      </c>
      <c r="E53" s="3" t="s">
        <v>337</v>
      </c>
      <c r="G53" s="3" t="s">
        <v>412</v>
      </c>
      <c r="I53" s="3" t="s">
        <v>416</v>
      </c>
    </row>
    <row r="54" spans="2:9" x14ac:dyDescent="0.2">
      <c r="B54" s="40" t="s">
        <v>333</v>
      </c>
      <c r="C54" s="3">
        <v>48</v>
      </c>
      <c r="D54" s="3">
        <v>34</v>
      </c>
      <c r="E54" s="3" t="s">
        <v>331</v>
      </c>
      <c r="G54" s="3" t="s">
        <v>412</v>
      </c>
      <c r="I54" s="3" t="s">
        <v>417</v>
      </c>
    </row>
    <row r="55" spans="2:9" x14ac:dyDescent="0.2">
      <c r="B55" s="40" t="s">
        <v>336</v>
      </c>
      <c r="C55" s="3">
        <v>40</v>
      </c>
      <c r="D55" s="3">
        <v>42</v>
      </c>
      <c r="E55" s="3" t="s">
        <v>418</v>
      </c>
      <c r="G55" s="3" t="s">
        <v>412</v>
      </c>
      <c r="I55" s="3" t="s">
        <v>419</v>
      </c>
    </row>
    <row r="56" spans="2:9" x14ac:dyDescent="0.2">
      <c r="B56" s="40" t="s">
        <v>339</v>
      </c>
      <c r="C56" s="3">
        <v>25</v>
      </c>
      <c r="D56" s="3">
        <v>57</v>
      </c>
      <c r="E56" s="3" t="s">
        <v>326</v>
      </c>
      <c r="G56" s="3" t="s">
        <v>412</v>
      </c>
      <c r="I56" s="3" t="s">
        <v>324</v>
      </c>
    </row>
    <row r="57" spans="2:9" x14ac:dyDescent="0.2">
      <c r="B57" s="40" t="s">
        <v>342</v>
      </c>
      <c r="C57" s="3">
        <v>41</v>
      </c>
      <c r="D57" s="3">
        <v>40</v>
      </c>
      <c r="E57" s="3" t="s">
        <v>418</v>
      </c>
      <c r="G57" s="3" t="s">
        <v>420</v>
      </c>
      <c r="I57" s="3" t="s">
        <v>421</v>
      </c>
    </row>
    <row r="58" spans="2:9" x14ac:dyDescent="0.2">
      <c r="B58" s="40" t="s">
        <v>346</v>
      </c>
      <c r="C58" s="3">
        <v>39</v>
      </c>
      <c r="D58" s="3">
        <v>27</v>
      </c>
      <c r="E58" s="3" t="s">
        <v>334</v>
      </c>
      <c r="G58" s="3" t="s">
        <v>420</v>
      </c>
      <c r="I58" s="3" t="s">
        <v>422</v>
      </c>
    </row>
    <row r="59" spans="2:9" x14ac:dyDescent="0.2">
      <c r="B59" s="40" t="s">
        <v>348</v>
      </c>
      <c r="C59" s="3">
        <v>56</v>
      </c>
      <c r="D59" s="3">
        <v>26</v>
      </c>
      <c r="E59" s="3" t="s">
        <v>411</v>
      </c>
      <c r="G59" s="3" t="s">
        <v>420</v>
      </c>
      <c r="I59" s="3" t="s">
        <v>423</v>
      </c>
    </row>
    <row r="60" spans="2:9" x14ac:dyDescent="0.2">
      <c r="B60" s="3" t="s">
        <v>350</v>
      </c>
      <c r="C60" s="3">
        <f>SUM(C50:C59)</f>
        <v>454</v>
      </c>
      <c r="D60" s="3">
        <f>SUM(D50:D59)</f>
        <v>339</v>
      </c>
      <c r="E60" s="41">
        <f>C60/(D60+C60)</f>
        <v>0.57250945775535944</v>
      </c>
    </row>
    <row r="61" spans="2:9" x14ac:dyDescent="0.2">
      <c r="E61" s="41"/>
    </row>
    <row r="62" spans="2:9" x14ac:dyDescent="0.2">
      <c r="E62" s="41"/>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E7880-37BA-F644-AB25-EF6E9E3ED666}">
  <dimension ref="A1:AR63"/>
  <sheetViews>
    <sheetView zoomScaleNormal="100" workbookViewId="0">
      <selection sqref="A1:AR1"/>
    </sheetView>
  </sheetViews>
  <sheetFormatPr baseColWidth="10" defaultColWidth="11" defaultRowHeight="16" x14ac:dyDescent="0.2"/>
  <cols>
    <col min="1" max="1" width="3.33203125" customWidth="1"/>
    <col min="2" max="2" width="19.1640625" customWidth="1"/>
    <col min="3" max="3" width="13" customWidth="1"/>
    <col min="4" max="4" width="7.1640625" customWidth="1"/>
    <col min="6" max="6" width="8.33203125" customWidth="1"/>
    <col min="7" max="7" width="10.5" customWidth="1"/>
    <col min="8" max="8" width="6.1640625" customWidth="1"/>
    <col min="9" max="9" width="19.83203125" customWidth="1"/>
    <col min="10" max="10" width="10.83203125" customWidth="1"/>
    <col min="11" max="11" width="11.5" customWidth="1"/>
    <col min="12" max="12" width="5" customWidth="1"/>
    <col min="13" max="13" width="26.83203125" customWidth="1"/>
    <col min="14" max="14" width="16.5" customWidth="1"/>
    <col min="15" max="15" width="37.33203125" customWidth="1"/>
    <col min="16" max="16" width="13.1640625" customWidth="1"/>
    <col min="17" max="17" width="12.83203125" customWidth="1"/>
    <col min="18" max="18" width="12.6640625" customWidth="1"/>
    <col min="19" max="19" width="12.1640625" customWidth="1"/>
    <col min="20" max="20" width="12.5" customWidth="1"/>
    <col min="22" max="22" width="71.6640625" customWidth="1"/>
    <col min="23" max="23" width="22" customWidth="1"/>
    <col min="24" max="24" width="10" customWidth="1"/>
    <col min="25" max="25" width="3.6640625" customWidth="1"/>
    <col min="26" max="26" width="7.6640625" customWidth="1"/>
    <col min="27" max="27" width="5.6640625" customWidth="1"/>
    <col min="28" max="28" width="5.83203125" customWidth="1"/>
    <col min="29" max="29" width="7.83203125" customWidth="1"/>
    <col min="30" max="30" width="5.1640625" customWidth="1"/>
    <col min="31" max="31" width="5" customWidth="1"/>
    <col min="32" max="32" width="6.1640625" customWidth="1"/>
    <col min="33" max="33" width="7.5" customWidth="1"/>
    <col min="34" max="34" width="5.5" customWidth="1"/>
    <col min="35" max="35" width="5.6640625" customWidth="1"/>
    <col min="36" max="36" width="7" customWidth="1"/>
    <col min="37" max="38" width="6.5" customWidth="1"/>
    <col min="39" max="39" width="5.83203125" customWidth="1"/>
    <col min="40" max="40" width="4.5" customWidth="1"/>
  </cols>
  <sheetData>
    <row r="1" spans="1:44" x14ac:dyDescent="0.2">
      <c r="A1" s="223" t="s">
        <v>2394</v>
      </c>
      <c r="B1" s="223" t="s">
        <v>2395</v>
      </c>
      <c r="C1" s="223" t="s">
        <v>2396</v>
      </c>
      <c r="D1" s="223" t="s">
        <v>2397</v>
      </c>
      <c r="E1" s="223" t="s">
        <v>2398</v>
      </c>
      <c r="F1" s="223" t="s">
        <v>2399</v>
      </c>
      <c r="G1" s="223" t="s">
        <v>2400</v>
      </c>
      <c r="H1" s="223" t="s">
        <v>2401</v>
      </c>
      <c r="I1" s="223" t="s">
        <v>2402</v>
      </c>
      <c r="J1" s="223" t="s">
        <v>2403</v>
      </c>
      <c r="K1" s="223" t="s">
        <v>2404</v>
      </c>
      <c r="L1" s="223" t="s">
        <v>2405</v>
      </c>
      <c r="M1" s="223" t="s">
        <v>2406</v>
      </c>
      <c r="N1" s="223" t="s">
        <v>2407</v>
      </c>
      <c r="O1" s="223" t="s">
        <v>2408</v>
      </c>
      <c r="P1" s="223" t="s">
        <v>2409</v>
      </c>
      <c r="Q1" s="223" t="s">
        <v>2410</v>
      </c>
      <c r="R1" s="223" t="s">
        <v>2411</v>
      </c>
      <c r="S1" s="223" t="s">
        <v>2412</v>
      </c>
      <c r="T1" s="223" t="s">
        <v>2413</v>
      </c>
      <c r="U1" s="223" t="s">
        <v>2414</v>
      </c>
      <c r="V1" s="223" t="s">
        <v>2415</v>
      </c>
      <c r="W1" s="223" t="s">
        <v>2416</v>
      </c>
      <c r="X1" s="223" t="s">
        <v>2433</v>
      </c>
      <c r="Y1" s="223" t="s">
        <v>2417</v>
      </c>
      <c r="Z1" s="223" t="s">
        <v>2418</v>
      </c>
      <c r="AA1" s="223" t="s">
        <v>2419</v>
      </c>
      <c r="AB1" s="223" t="s">
        <v>2420</v>
      </c>
      <c r="AC1" s="223" t="s">
        <v>2421</v>
      </c>
      <c r="AD1" s="223" t="s">
        <v>2422</v>
      </c>
      <c r="AE1" s="223" t="s">
        <v>2423</v>
      </c>
      <c r="AF1" s="223" t="s">
        <v>2424</v>
      </c>
      <c r="AG1" s="223" t="s">
        <v>2425</v>
      </c>
      <c r="AH1" s="223" t="s">
        <v>2426</v>
      </c>
      <c r="AI1" s="223" t="s">
        <v>2427</v>
      </c>
      <c r="AJ1" s="223" t="s">
        <v>2428</v>
      </c>
      <c r="AK1" s="223" t="s">
        <v>2429</v>
      </c>
      <c r="AL1" s="223" t="s">
        <v>2430</v>
      </c>
      <c r="AM1" s="223" t="s">
        <v>2431</v>
      </c>
      <c r="AN1" s="223" t="s">
        <v>2432</v>
      </c>
      <c r="AO1" s="224"/>
      <c r="AP1" s="225"/>
      <c r="AQ1" s="6"/>
      <c r="AR1" s="6"/>
    </row>
    <row r="2" spans="1:44" x14ac:dyDescent="0.2">
      <c r="A2" s="3">
        <v>30</v>
      </c>
      <c r="B2" s="3" t="s">
        <v>210</v>
      </c>
      <c r="C2" s="3" t="s">
        <v>236</v>
      </c>
      <c r="D2" s="108">
        <v>68</v>
      </c>
      <c r="E2" s="108">
        <v>70</v>
      </c>
      <c r="F2" s="109">
        <v>250</v>
      </c>
      <c r="G2" s="4">
        <v>34667</v>
      </c>
      <c r="H2" s="113">
        <f t="shared" ref="H2:H15" ca="1" si="0">ROUNDDOWN(YEARFRAC($G$25,G2),1)</f>
        <v>25.9</v>
      </c>
      <c r="I2" s="3" t="s">
        <v>270</v>
      </c>
      <c r="J2" s="3">
        <v>7</v>
      </c>
      <c r="K2" s="3">
        <v>2014</v>
      </c>
      <c r="L2" s="60">
        <v>7</v>
      </c>
      <c r="M2" s="3" t="s">
        <v>436</v>
      </c>
      <c r="N2" s="3" t="s">
        <v>285</v>
      </c>
      <c r="O2" s="179" t="s">
        <v>1467</v>
      </c>
      <c r="P2" s="11">
        <v>18900000</v>
      </c>
      <c r="Q2" s="15">
        <v>19800000</v>
      </c>
      <c r="R2" s="14">
        <f>Q2*1.5</f>
        <v>29700000</v>
      </c>
      <c r="S2" s="3"/>
      <c r="V2" t="s">
        <v>1468</v>
      </c>
      <c r="W2" t="s">
        <v>1469</v>
      </c>
      <c r="X2" s="69">
        <v>4</v>
      </c>
      <c r="Y2" s="69">
        <v>64</v>
      </c>
      <c r="Z2" s="65">
        <f>21/64</f>
        <v>0.328125</v>
      </c>
      <c r="AA2" s="122">
        <v>105.7</v>
      </c>
      <c r="AB2" s="122">
        <v>111.6</v>
      </c>
      <c r="AC2" s="122">
        <f t="shared" ref="AC2:AC14" si="1">AA2-AB2</f>
        <v>-5.8999999999999915</v>
      </c>
      <c r="AD2" s="122">
        <v>32.5</v>
      </c>
      <c r="AE2" s="122">
        <v>17.5</v>
      </c>
      <c r="AF2" s="65">
        <v>0.53800000000000003</v>
      </c>
      <c r="AG2" s="122">
        <v>27.6</v>
      </c>
      <c r="AH2" s="122">
        <v>1</v>
      </c>
      <c r="AI2" s="122">
        <v>1.7</v>
      </c>
      <c r="AJ2" s="65">
        <v>6.2E-2</v>
      </c>
      <c r="AK2" s="122">
        <v>0.7</v>
      </c>
      <c r="AL2" s="122">
        <v>-1</v>
      </c>
      <c r="AM2" s="122">
        <v>0.9</v>
      </c>
      <c r="AN2" s="122">
        <v>13.1</v>
      </c>
    </row>
    <row r="3" spans="1:44" x14ac:dyDescent="0.2">
      <c r="A3" s="3">
        <v>1</v>
      </c>
      <c r="B3" s="3" t="s">
        <v>119</v>
      </c>
      <c r="C3" s="3" t="s">
        <v>236</v>
      </c>
      <c r="D3" s="108">
        <v>610</v>
      </c>
      <c r="E3" s="108">
        <v>72</v>
      </c>
      <c r="F3" s="109">
        <v>250</v>
      </c>
      <c r="G3" s="4">
        <v>34740</v>
      </c>
      <c r="H3" s="113">
        <f t="shared" ca="1" si="0"/>
        <v>25.7</v>
      </c>
      <c r="I3" s="3" t="s">
        <v>602</v>
      </c>
      <c r="J3" s="3">
        <v>6</v>
      </c>
      <c r="K3" s="3">
        <v>2015</v>
      </c>
      <c r="L3" s="60">
        <v>22</v>
      </c>
      <c r="M3" s="3" t="s">
        <v>436</v>
      </c>
      <c r="N3" s="3" t="s">
        <v>285</v>
      </c>
      <c r="O3" s="179" t="s">
        <v>1470</v>
      </c>
      <c r="P3" s="49">
        <v>15750000</v>
      </c>
      <c r="Q3" s="14">
        <f>P3*1.3</f>
        <v>20475000</v>
      </c>
      <c r="R3" s="3"/>
      <c r="S3" s="3"/>
      <c r="W3" t="s">
        <v>1471</v>
      </c>
      <c r="X3" s="69">
        <v>5</v>
      </c>
      <c r="Y3" s="69">
        <v>66</v>
      </c>
      <c r="Z3" s="65">
        <f>21/66</f>
        <v>0.31818181818181818</v>
      </c>
      <c r="AA3" s="122">
        <v>102.3</v>
      </c>
      <c r="AB3" s="122">
        <v>110.2</v>
      </c>
      <c r="AC3" s="122">
        <f t="shared" si="1"/>
        <v>-7.9000000000000057</v>
      </c>
      <c r="AD3" s="122">
        <v>21.1</v>
      </c>
      <c r="AE3" s="122">
        <v>14.6</v>
      </c>
      <c r="AF3" s="65">
        <v>0.53</v>
      </c>
      <c r="AG3" s="122">
        <v>21.4</v>
      </c>
      <c r="AH3" s="122">
        <v>0.9</v>
      </c>
      <c r="AI3" s="122">
        <v>1</v>
      </c>
      <c r="AJ3" s="65">
        <v>6.4000000000000001E-2</v>
      </c>
      <c r="AK3" s="122">
        <v>0.1</v>
      </c>
      <c r="AL3" s="122">
        <v>-1.1000000000000001</v>
      </c>
      <c r="AM3" s="122">
        <v>0.3</v>
      </c>
      <c r="AN3" s="122">
        <v>10.8</v>
      </c>
    </row>
    <row r="4" spans="1:44" x14ac:dyDescent="0.2">
      <c r="A4" s="3">
        <v>67</v>
      </c>
      <c r="B4" s="3" t="s">
        <v>121</v>
      </c>
      <c r="C4" s="3" t="s">
        <v>236</v>
      </c>
      <c r="D4" s="108">
        <v>69</v>
      </c>
      <c r="E4" s="108">
        <v>72</v>
      </c>
      <c r="F4" s="109">
        <v>232</v>
      </c>
      <c r="G4" s="4">
        <v>31222</v>
      </c>
      <c r="H4" s="113">
        <f t="shared" ca="1" si="0"/>
        <v>35.299999999999997</v>
      </c>
      <c r="I4" s="3" t="s">
        <v>226</v>
      </c>
      <c r="J4" s="3">
        <v>12</v>
      </c>
      <c r="K4" s="3">
        <v>2009</v>
      </c>
      <c r="L4" s="60">
        <v>26</v>
      </c>
      <c r="M4" s="3" t="s">
        <v>436</v>
      </c>
      <c r="N4" s="3" t="s">
        <v>285</v>
      </c>
      <c r="O4" s="179" t="s">
        <v>1474</v>
      </c>
      <c r="P4" s="15">
        <v>9450000</v>
      </c>
      <c r="Q4" s="14">
        <f>P4*1.3</f>
        <v>12285000</v>
      </c>
      <c r="R4" s="3"/>
      <c r="S4" s="3"/>
      <c r="W4" t="s">
        <v>1475</v>
      </c>
      <c r="X4" s="69">
        <v>5</v>
      </c>
      <c r="Y4" s="69">
        <v>62</v>
      </c>
      <c r="Z4" s="65">
        <f>21/62</f>
        <v>0.33870967741935482</v>
      </c>
      <c r="AA4" s="122">
        <v>101.2</v>
      </c>
      <c r="AB4" s="122">
        <v>113.7</v>
      </c>
      <c r="AC4" s="122">
        <f t="shared" si="1"/>
        <v>-12.5</v>
      </c>
      <c r="AD4" s="122">
        <v>16.5</v>
      </c>
      <c r="AE4" s="122">
        <v>16.100000000000001</v>
      </c>
      <c r="AF4" s="65">
        <v>0.61</v>
      </c>
      <c r="AG4" s="122">
        <v>14.8</v>
      </c>
      <c r="AH4" s="122">
        <v>1.8</v>
      </c>
      <c r="AI4" s="122">
        <v>0.8</v>
      </c>
      <c r="AJ4" s="65">
        <v>0.12</v>
      </c>
      <c r="AK4" s="122">
        <v>-0.7</v>
      </c>
      <c r="AL4" s="122">
        <v>-0.4</v>
      </c>
      <c r="AM4" s="122">
        <v>0.2</v>
      </c>
      <c r="AN4" s="122">
        <v>9.6999999999999993</v>
      </c>
    </row>
    <row r="5" spans="1:44" x14ac:dyDescent="0.2">
      <c r="A5" s="3">
        <v>9</v>
      </c>
      <c r="B5" s="3" t="s">
        <v>1479</v>
      </c>
      <c r="C5" s="3" t="s">
        <v>255</v>
      </c>
      <c r="D5" s="108">
        <v>66</v>
      </c>
      <c r="E5" s="108">
        <v>610</v>
      </c>
      <c r="F5" s="109">
        <v>214</v>
      </c>
      <c r="G5" s="4">
        <v>36691</v>
      </c>
      <c r="H5" s="113">
        <f t="shared" ca="1" si="0"/>
        <v>20.3</v>
      </c>
      <c r="I5" s="3" t="s">
        <v>256</v>
      </c>
      <c r="J5" s="3">
        <v>2</v>
      </c>
      <c r="K5" s="3">
        <v>2019</v>
      </c>
      <c r="L5" s="60">
        <v>3</v>
      </c>
      <c r="M5" s="3" t="s">
        <v>1480</v>
      </c>
      <c r="N5" s="3" t="s">
        <v>247</v>
      </c>
      <c r="O5" s="179" t="s">
        <v>715</v>
      </c>
      <c r="P5" s="11">
        <v>8231760</v>
      </c>
      <c r="Q5" s="51">
        <v>8623920</v>
      </c>
      <c r="R5" s="51">
        <v>10900635</v>
      </c>
      <c r="S5" s="50">
        <v>32701905</v>
      </c>
      <c r="W5" t="s">
        <v>1481</v>
      </c>
      <c r="X5" s="69">
        <v>2</v>
      </c>
      <c r="Y5" s="69">
        <v>56</v>
      </c>
      <c r="Z5" s="65">
        <f>17/56</f>
        <v>0.30357142857142855</v>
      </c>
      <c r="AA5" s="122">
        <v>105.4</v>
      </c>
      <c r="AB5" s="122">
        <v>114.5</v>
      </c>
      <c r="AC5" s="122">
        <f t="shared" si="1"/>
        <v>-9.0999999999999943</v>
      </c>
      <c r="AD5" s="122">
        <v>30.4</v>
      </c>
      <c r="AE5" s="122">
        <v>10.7</v>
      </c>
      <c r="AF5" s="65">
        <v>0.47899999999999998</v>
      </c>
      <c r="AG5" s="122">
        <v>24</v>
      </c>
      <c r="AH5" s="122">
        <v>-1.6</v>
      </c>
      <c r="AI5" s="122">
        <v>1.1000000000000001</v>
      </c>
      <c r="AJ5" s="65">
        <v>-1.4999999999999999E-2</v>
      </c>
      <c r="AK5" s="122">
        <v>-2.8</v>
      </c>
      <c r="AL5" s="122">
        <v>-1.5</v>
      </c>
      <c r="AM5" s="122">
        <v>-1</v>
      </c>
      <c r="AN5" s="122">
        <v>7.2</v>
      </c>
    </row>
    <row r="6" spans="1:44" x14ac:dyDescent="0.2">
      <c r="A6" s="3">
        <v>2</v>
      </c>
      <c r="B6" s="3" t="s">
        <v>123</v>
      </c>
      <c r="C6" s="3" t="s">
        <v>232</v>
      </c>
      <c r="D6" s="108">
        <v>64</v>
      </c>
      <c r="E6" s="108">
        <v>67</v>
      </c>
      <c r="F6" s="109">
        <v>207</v>
      </c>
      <c r="G6" s="4">
        <v>32110</v>
      </c>
      <c r="H6" s="113">
        <f t="shared" ca="1" si="0"/>
        <v>32.9</v>
      </c>
      <c r="I6" s="3" t="s">
        <v>281</v>
      </c>
      <c r="J6" s="3">
        <v>12</v>
      </c>
      <c r="K6" s="3">
        <v>2009</v>
      </c>
      <c r="L6" s="60">
        <v>28</v>
      </c>
      <c r="M6" s="3" t="s">
        <v>436</v>
      </c>
      <c r="N6" s="3" t="s">
        <v>285</v>
      </c>
      <c r="O6" s="179" t="s">
        <v>1476</v>
      </c>
      <c r="P6" s="158">
        <v>8000000</v>
      </c>
      <c r="Q6" s="14">
        <f>P6*1.3</f>
        <v>10400000</v>
      </c>
      <c r="R6" s="3"/>
      <c r="S6" s="3"/>
      <c r="W6" t="s">
        <v>1477</v>
      </c>
      <c r="X6" s="69">
        <v>2</v>
      </c>
      <c r="Y6" s="69">
        <v>36</v>
      </c>
      <c r="Z6" s="65">
        <f>9/36</f>
        <v>0.25</v>
      </c>
      <c r="AA6" s="122">
        <v>102.4</v>
      </c>
      <c r="AB6" s="122">
        <v>105.5</v>
      </c>
      <c r="AC6" s="122">
        <f t="shared" si="1"/>
        <v>-3.0999999999999943</v>
      </c>
      <c r="AD6" s="122">
        <v>15.5</v>
      </c>
      <c r="AE6" s="122">
        <v>8.5</v>
      </c>
      <c r="AF6" s="65">
        <v>0.50900000000000001</v>
      </c>
      <c r="AG6" s="122">
        <v>15</v>
      </c>
      <c r="AH6" s="122">
        <v>0.2</v>
      </c>
      <c r="AI6" s="122">
        <v>0.2</v>
      </c>
      <c r="AJ6" s="65">
        <v>3.5000000000000003E-2</v>
      </c>
      <c r="AK6" s="122">
        <v>-1.9</v>
      </c>
      <c r="AL6" s="122">
        <v>-1</v>
      </c>
      <c r="AM6" s="122">
        <v>-0.1</v>
      </c>
      <c r="AN6" s="122">
        <v>6.8</v>
      </c>
    </row>
    <row r="7" spans="1:44" x14ac:dyDescent="0.2">
      <c r="A7" s="3">
        <v>6</v>
      </c>
      <c r="B7" s="3" t="s">
        <v>122</v>
      </c>
      <c r="C7" s="3" t="s">
        <v>250</v>
      </c>
      <c r="D7" s="108">
        <v>63</v>
      </c>
      <c r="E7" s="108">
        <v>68</v>
      </c>
      <c r="F7" s="109">
        <v>195</v>
      </c>
      <c r="G7" s="4">
        <v>34387</v>
      </c>
      <c r="H7" s="113">
        <f t="shared" ca="1" si="0"/>
        <v>26.6</v>
      </c>
      <c r="I7" s="3" t="s">
        <v>1478</v>
      </c>
      <c r="J7" s="3">
        <v>7</v>
      </c>
      <c r="K7" s="3">
        <v>2014</v>
      </c>
      <c r="L7" s="60">
        <v>10</v>
      </c>
      <c r="M7" s="3" t="s">
        <v>436</v>
      </c>
      <c r="N7" s="3" t="s">
        <v>285</v>
      </c>
      <c r="O7" s="179" t="s">
        <v>1476</v>
      </c>
      <c r="P7" s="15">
        <v>8000000</v>
      </c>
      <c r="Q7" s="14">
        <f>P7*1.3</f>
        <v>10400000</v>
      </c>
      <c r="R7" s="3"/>
      <c r="S7" s="3"/>
      <c r="W7" s="135" t="s">
        <v>291</v>
      </c>
      <c r="X7" s="69">
        <v>1</v>
      </c>
      <c r="Y7" s="69">
        <v>45</v>
      </c>
      <c r="Z7" s="65">
        <f>17/45</f>
        <v>0.37777777777777777</v>
      </c>
      <c r="AA7" s="122">
        <v>109.4</v>
      </c>
      <c r="AB7" s="122">
        <v>112.3</v>
      </c>
      <c r="AC7" s="122">
        <f t="shared" si="1"/>
        <v>-2.8999999999999915</v>
      </c>
      <c r="AD7" s="122">
        <v>27.7</v>
      </c>
      <c r="AE7" s="122">
        <v>16</v>
      </c>
      <c r="AF7" s="65">
        <v>0.47</v>
      </c>
      <c r="AG7" s="122">
        <v>19.5</v>
      </c>
      <c r="AH7" s="122">
        <v>0.5</v>
      </c>
      <c r="AI7" s="122">
        <v>1.2</v>
      </c>
      <c r="AJ7" s="65">
        <v>6.5000000000000002E-2</v>
      </c>
      <c r="AK7" s="122">
        <v>-0.3</v>
      </c>
      <c r="AL7" s="122">
        <v>0.3</v>
      </c>
      <c r="AM7" s="122">
        <v>0.6</v>
      </c>
      <c r="AN7" s="122">
        <v>11.1</v>
      </c>
    </row>
    <row r="8" spans="1:44" x14ac:dyDescent="0.2">
      <c r="A8" s="3">
        <v>11</v>
      </c>
      <c r="B8" s="3" t="s">
        <v>1482</v>
      </c>
      <c r="C8" s="3" t="s">
        <v>250</v>
      </c>
      <c r="D8" s="108">
        <v>64</v>
      </c>
      <c r="E8" s="108">
        <v>71</v>
      </c>
      <c r="F8" s="109">
        <v>200</v>
      </c>
      <c r="G8" s="4">
        <v>36004</v>
      </c>
      <c r="H8" s="113">
        <f t="shared" ca="1" si="0"/>
        <v>22.2</v>
      </c>
      <c r="I8" s="3" t="s">
        <v>1483</v>
      </c>
      <c r="J8" s="3">
        <v>4</v>
      </c>
      <c r="K8" s="3">
        <v>2017</v>
      </c>
      <c r="L8" s="60">
        <v>8</v>
      </c>
      <c r="M8" s="3" t="s">
        <v>1484</v>
      </c>
      <c r="N8" s="3" t="s">
        <v>247</v>
      </c>
      <c r="O8" s="179" t="s">
        <v>1485</v>
      </c>
      <c r="P8" s="11">
        <v>6176578</v>
      </c>
      <c r="Q8" s="50">
        <f>P8*3</f>
        <v>18529734</v>
      </c>
      <c r="R8" s="3"/>
      <c r="S8" s="3"/>
      <c r="W8" t="s">
        <v>1486</v>
      </c>
      <c r="X8" s="69">
        <v>1</v>
      </c>
      <c r="Y8" s="69">
        <v>57</v>
      </c>
      <c r="Z8" s="65">
        <f>19/57</f>
        <v>0.33333333333333331</v>
      </c>
      <c r="AA8" s="122">
        <v>104.8</v>
      </c>
      <c r="AB8" s="122">
        <v>108.7</v>
      </c>
      <c r="AC8" s="122">
        <f t="shared" si="1"/>
        <v>-3.9000000000000057</v>
      </c>
      <c r="AD8" s="122">
        <v>20.8</v>
      </c>
      <c r="AE8" s="122">
        <v>9.8000000000000007</v>
      </c>
      <c r="AF8" s="65">
        <v>0.497</v>
      </c>
      <c r="AG8" s="122">
        <v>15.4</v>
      </c>
      <c r="AH8" s="122">
        <v>0.1</v>
      </c>
      <c r="AI8" s="122">
        <v>0.8</v>
      </c>
      <c r="AJ8" s="65">
        <v>3.6999999999999998E-2</v>
      </c>
      <c r="AK8" s="122">
        <v>-3.6</v>
      </c>
      <c r="AL8" s="122">
        <v>0.4</v>
      </c>
      <c r="AM8" s="122">
        <v>-0.4</v>
      </c>
      <c r="AN8" s="122">
        <v>6.3</v>
      </c>
    </row>
    <row r="9" spans="1:44" x14ac:dyDescent="0.2">
      <c r="A9" s="3">
        <v>5</v>
      </c>
      <c r="B9" s="3" t="s">
        <v>1487</v>
      </c>
      <c r="C9" s="3" t="s">
        <v>250</v>
      </c>
      <c r="D9" s="108">
        <v>62</v>
      </c>
      <c r="E9" s="108">
        <v>63</v>
      </c>
      <c r="F9" s="109">
        <v>205</v>
      </c>
      <c r="G9" s="4">
        <v>35759</v>
      </c>
      <c r="H9" s="113">
        <f t="shared" ca="1" si="0"/>
        <v>22.9</v>
      </c>
      <c r="I9" s="3" t="s">
        <v>1026</v>
      </c>
      <c r="J9" s="3">
        <v>4</v>
      </c>
      <c r="K9" s="3">
        <v>2017</v>
      </c>
      <c r="L9" s="60">
        <v>9</v>
      </c>
      <c r="M9" s="3" t="s">
        <v>1488</v>
      </c>
      <c r="N9" s="3" t="s">
        <v>1489</v>
      </c>
      <c r="O9" s="179" t="s">
        <v>1490</v>
      </c>
      <c r="P9" s="11">
        <v>5686677</v>
      </c>
      <c r="Q9" s="50">
        <v>17060031</v>
      </c>
      <c r="R9" s="3"/>
      <c r="S9" s="3"/>
      <c r="W9" s="135" t="s">
        <v>291</v>
      </c>
      <c r="X9" s="69">
        <v>1</v>
      </c>
      <c r="Y9" s="69">
        <v>34</v>
      </c>
      <c r="Z9" s="65">
        <f>7/34</f>
        <v>0.20588235294117646</v>
      </c>
      <c r="AA9" s="122">
        <v>95.7</v>
      </c>
      <c r="AB9" s="122">
        <v>112.8</v>
      </c>
      <c r="AC9" s="122">
        <f t="shared" si="1"/>
        <v>-17.099999999999994</v>
      </c>
      <c r="AD9" s="122">
        <v>15.8</v>
      </c>
      <c r="AE9" s="122">
        <v>7.5</v>
      </c>
      <c r="AF9" s="65">
        <v>0.39900000000000002</v>
      </c>
      <c r="AG9" s="122">
        <v>23.1</v>
      </c>
      <c r="AH9" s="122">
        <v>-1.3</v>
      </c>
      <c r="AI9" s="122">
        <v>0.5</v>
      </c>
      <c r="AJ9" s="65">
        <v>-7.9000000000000001E-2</v>
      </c>
      <c r="AK9" s="122">
        <v>-5.2</v>
      </c>
      <c r="AL9" s="122">
        <v>-0.9</v>
      </c>
      <c r="AM9" s="122">
        <v>-0.6</v>
      </c>
      <c r="AN9" s="122">
        <v>4.9000000000000004</v>
      </c>
    </row>
    <row r="10" spans="1:44" x14ac:dyDescent="0.2">
      <c r="A10" s="3">
        <v>20</v>
      </c>
      <c r="B10" s="3" t="s">
        <v>1491</v>
      </c>
      <c r="C10" s="3" t="s">
        <v>244</v>
      </c>
      <c r="D10" s="108">
        <v>67</v>
      </c>
      <c r="E10" s="108">
        <v>611</v>
      </c>
      <c r="F10" s="109">
        <v>215</v>
      </c>
      <c r="G10" s="4">
        <v>36383</v>
      </c>
      <c r="H10" s="113">
        <f t="shared" ca="1" si="0"/>
        <v>21.2</v>
      </c>
      <c r="I10" s="3" t="s">
        <v>270</v>
      </c>
      <c r="J10" s="3">
        <v>3</v>
      </c>
      <c r="K10" s="3">
        <v>2018</v>
      </c>
      <c r="L10" s="60">
        <v>9</v>
      </c>
      <c r="M10" s="3" t="s">
        <v>1492</v>
      </c>
      <c r="N10" s="3" t="s">
        <v>247</v>
      </c>
      <c r="O10" s="179" t="s">
        <v>1493</v>
      </c>
      <c r="P10" s="11">
        <v>4588680</v>
      </c>
      <c r="Q10" s="51">
        <v>5845978</v>
      </c>
      <c r="R10" s="50">
        <v>17537934</v>
      </c>
      <c r="S10" s="3"/>
      <c r="W10" t="s">
        <v>1494</v>
      </c>
      <c r="X10" s="69">
        <v>3</v>
      </c>
      <c r="Y10" s="69">
        <v>65</v>
      </c>
      <c r="Z10" s="65">
        <f>21/65</f>
        <v>0.32307692307692309</v>
      </c>
      <c r="AA10" s="122">
        <v>101.3</v>
      </c>
      <c r="AB10" s="122">
        <v>108.6</v>
      </c>
      <c r="AC10" s="122">
        <f t="shared" si="1"/>
        <v>-7.2999999999999972</v>
      </c>
      <c r="AD10" s="122">
        <v>17.899999999999999</v>
      </c>
      <c r="AE10" s="122">
        <v>8.4</v>
      </c>
      <c r="AF10" s="65">
        <v>0.47</v>
      </c>
      <c r="AG10" s="122">
        <v>17.8</v>
      </c>
      <c r="AH10" s="122">
        <v>-0.5</v>
      </c>
      <c r="AI10" s="122">
        <v>0.7</v>
      </c>
      <c r="AJ10" s="65">
        <v>6.0000000000000001E-3</v>
      </c>
      <c r="AK10" s="122">
        <v>-3.1</v>
      </c>
      <c r="AL10" s="122">
        <v>-1.1000000000000001</v>
      </c>
      <c r="AM10" s="122">
        <v>-0.6</v>
      </c>
      <c r="AN10" s="122">
        <v>5.6</v>
      </c>
    </row>
    <row r="11" spans="1:44" x14ac:dyDescent="0.2">
      <c r="A11" s="3">
        <v>25</v>
      </c>
      <c r="B11" s="3" t="s">
        <v>124</v>
      </c>
      <c r="C11" s="3" t="s">
        <v>255</v>
      </c>
      <c r="D11" s="108">
        <v>66</v>
      </c>
      <c r="E11" s="108">
        <v>69</v>
      </c>
      <c r="F11" s="109">
        <v>205</v>
      </c>
      <c r="G11" s="4">
        <v>33313</v>
      </c>
      <c r="H11" s="113">
        <f t="shared" ca="1" si="0"/>
        <v>29.6</v>
      </c>
      <c r="I11" s="3" t="s">
        <v>281</v>
      </c>
      <c r="J11" s="3">
        <v>8</v>
      </c>
      <c r="K11" s="3">
        <v>2013</v>
      </c>
      <c r="L11" s="60">
        <v>25</v>
      </c>
      <c r="M11" s="3" t="s">
        <v>1339</v>
      </c>
      <c r="N11" s="3" t="s">
        <v>299</v>
      </c>
      <c r="O11" s="179" t="s">
        <v>1145</v>
      </c>
      <c r="P11" s="158">
        <v>4200000</v>
      </c>
      <c r="Q11" s="14">
        <f>P11*1.3</f>
        <v>5460000</v>
      </c>
      <c r="R11" s="3"/>
      <c r="S11" s="3"/>
      <c r="W11" t="s">
        <v>1495</v>
      </c>
      <c r="X11" s="69">
        <v>2</v>
      </c>
      <c r="Y11" s="69">
        <v>29</v>
      </c>
      <c r="Z11" s="65">
        <f>9/29</f>
        <v>0.31034482758620691</v>
      </c>
      <c r="AA11" s="122">
        <v>103.8</v>
      </c>
      <c r="AB11" s="122">
        <v>109.6</v>
      </c>
      <c r="AC11" s="122">
        <f t="shared" si="1"/>
        <v>-5.7999999999999972</v>
      </c>
      <c r="AD11" s="122">
        <v>23.6</v>
      </c>
      <c r="AE11" s="122">
        <v>9.3000000000000007</v>
      </c>
      <c r="AF11" s="65">
        <v>0.502</v>
      </c>
      <c r="AG11" s="122">
        <v>15.6</v>
      </c>
      <c r="AH11" s="122">
        <v>0.2</v>
      </c>
      <c r="AI11" s="122">
        <v>0.3</v>
      </c>
      <c r="AJ11" s="65">
        <v>3.5999999999999997E-2</v>
      </c>
      <c r="AK11" s="122">
        <v>-2.7</v>
      </c>
      <c r="AL11" s="122">
        <v>-0.3</v>
      </c>
      <c r="AM11" s="122">
        <v>-0.2</v>
      </c>
      <c r="AN11" s="122">
        <v>5.8</v>
      </c>
    </row>
    <row r="12" spans="1:44" x14ac:dyDescent="0.2">
      <c r="A12" s="3"/>
      <c r="B12" s="3" t="s">
        <v>459</v>
      </c>
      <c r="C12" s="3" t="s">
        <v>232</v>
      </c>
      <c r="D12" s="108">
        <v>65</v>
      </c>
      <c r="E12" s="108">
        <v>611</v>
      </c>
      <c r="F12" s="109">
        <v>212</v>
      </c>
      <c r="G12" s="4">
        <v>35008</v>
      </c>
      <c r="H12" s="113">
        <f t="shared" ca="1" si="0"/>
        <v>24.9</v>
      </c>
      <c r="I12" s="3" t="s">
        <v>281</v>
      </c>
      <c r="J12" s="3">
        <v>3</v>
      </c>
      <c r="K12" s="112">
        <v>2018</v>
      </c>
      <c r="L12" s="112"/>
      <c r="M12" s="3" t="s">
        <v>2068</v>
      </c>
      <c r="N12" s="3" t="s">
        <v>279</v>
      </c>
      <c r="O12" s="163" t="s">
        <v>460</v>
      </c>
      <c r="P12" s="49">
        <v>1701593</v>
      </c>
      <c r="Q12" s="50">
        <v>2126991</v>
      </c>
      <c r="R12" s="12"/>
      <c r="S12" s="12"/>
      <c r="T12" s="54"/>
      <c r="U12" s="3"/>
      <c r="V12" s="3"/>
      <c r="W12" s="3" t="s">
        <v>461</v>
      </c>
      <c r="X12" s="110">
        <v>2</v>
      </c>
      <c r="Y12" s="110">
        <v>33</v>
      </c>
      <c r="Z12" s="41">
        <f>15/33</f>
        <v>0.45454545454545453</v>
      </c>
      <c r="AA12" s="113">
        <v>95.1</v>
      </c>
      <c r="AB12" s="113">
        <v>99.67</v>
      </c>
      <c r="AC12" s="113">
        <f t="shared" si="1"/>
        <v>-4.5700000000000074</v>
      </c>
      <c r="AD12" s="113">
        <v>11.1</v>
      </c>
      <c r="AE12" s="113">
        <v>5.2</v>
      </c>
      <c r="AF12" s="41">
        <v>0.37</v>
      </c>
      <c r="AG12" s="113">
        <v>22.4</v>
      </c>
      <c r="AH12" s="113">
        <v>-1</v>
      </c>
      <c r="AI12" s="113">
        <v>0.5</v>
      </c>
      <c r="AJ12" s="41">
        <v>-7.3999999999999996E-2</v>
      </c>
      <c r="AK12" s="113">
        <v>-6.9</v>
      </c>
      <c r="AL12" s="113">
        <v>-0.2</v>
      </c>
      <c r="AM12" s="113">
        <v>-0.5</v>
      </c>
      <c r="AN12" s="113">
        <v>5.0999999999999996</v>
      </c>
      <c r="AO12" s="3"/>
      <c r="AP12" s="3"/>
    </row>
    <row r="13" spans="1:44" x14ac:dyDescent="0.2">
      <c r="A13" s="3">
        <v>23</v>
      </c>
      <c r="B13" s="3" t="s">
        <v>126</v>
      </c>
      <c r="C13" s="3" t="s">
        <v>236</v>
      </c>
      <c r="D13" s="108">
        <v>70</v>
      </c>
      <c r="E13" s="108">
        <v>74</v>
      </c>
      <c r="F13" s="109">
        <v>240</v>
      </c>
      <c r="G13" s="4">
        <v>35886</v>
      </c>
      <c r="H13" s="113">
        <f t="shared" ca="1" si="0"/>
        <v>22.5</v>
      </c>
      <c r="I13" s="3" t="s">
        <v>704</v>
      </c>
      <c r="J13" s="3">
        <v>3</v>
      </c>
      <c r="K13" s="3">
        <v>2018</v>
      </c>
      <c r="L13" s="60">
        <v>36</v>
      </c>
      <c r="M13" s="3" t="s">
        <v>1499</v>
      </c>
      <c r="N13" s="3" t="s">
        <v>521</v>
      </c>
      <c r="O13" s="179" t="s">
        <v>455</v>
      </c>
      <c r="P13" s="15">
        <v>1663861</v>
      </c>
      <c r="Q13" s="49">
        <v>1802057</v>
      </c>
      <c r="R13" s="14">
        <v>1931714</v>
      </c>
      <c r="S13" s="3"/>
      <c r="W13" s="135" t="s">
        <v>240</v>
      </c>
      <c r="X13" s="69">
        <v>5</v>
      </c>
      <c r="Y13" s="69">
        <v>61</v>
      </c>
      <c r="Z13" s="65">
        <f>20/61</f>
        <v>0.32786885245901637</v>
      </c>
      <c r="AA13" s="122">
        <v>106.1</v>
      </c>
      <c r="AB13" s="122">
        <v>109.1</v>
      </c>
      <c r="AC13" s="122">
        <f t="shared" si="1"/>
        <v>-3</v>
      </c>
      <c r="AD13" s="122">
        <v>23.2</v>
      </c>
      <c r="AE13" s="122">
        <v>23.5</v>
      </c>
      <c r="AF13" s="65">
        <v>0.72599999999999998</v>
      </c>
      <c r="AG13" s="122">
        <v>13.3</v>
      </c>
      <c r="AH13" s="122">
        <v>4.8</v>
      </c>
      <c r="AI13" s="122">
        <v>2</v>
      </c>
      <c r="AJ13" s="65">
        <v>0.23</v>
      </c>
      <c r="AK13" s="122">
        <v>1.6</v>
      </c>
      <c r="AL13" s="122">
        <v>1.3</v>
      </c>
      <c r="AM13" s="122">
        <v>1.8</v>
      </c>
      <c r="AN13" s="122">
        <v>12.9</v>
      </c>
    </row>
    <row r="14" spans="1:44" x14ac:dyDescent="0.2">
      <c r="A14" s="3">
        <v>17</v>
      </c>
      <c r="B14" s="3" t="s">
        <v>1500</v>
      </c>
      <c r="C14" s="3" t="s">
        <v>244</v>
      </c>
      <c r="D14" s="108">
        <v>66</v>
      </c>
      <c r="E14" s="108">
        <v>69</v>
      </c>
      <c r="F14" s="109">
        <v>221</v>
      </c>
      <c r="G14" s="4">
        <v>36168</v>
      </c>
      <c r="H14" s="113">
        <f t="shared" ca="1" si="0"/>
        <v>21.7</v>
      </c>
      <c r="I14" s="3" t="s">
        <v>443</v>
      </c>
      <c r="J14" s="3">
        <v>2</v>
      </c>
      <c r="K14" s="3">
        <v>2019</v>
      </c>
      <c r="L14" s="60">
        <v>47</v>
      </c>
      <c r="M14" s="3" t="s">
        <v>1501</v>
      </c>
      <c r="N14" s="3" t="s">
        <v>285</v>
      </c>
      <c r="O14" s="179" t="s">
        <v>464</v>
      </c>
      <c r="P14" s="11">
        <v>1517981</v>
      </c>
      <c r="Q14" s="49">
        <v>1782621</v>
      </c>
      <c r="R14" s="50">
        <v>2228276</v>
      </c>
      <c r="S14" s="3"/>
      <c r="W14" t="s">
        <v>1502</v>
      </c>
      <c r="X14" s="69">
        <v>3</v>
      </c>
      <c r="Y14" s="69">
        <v>9</v>
      </c>
      <c r="Z14" s="65">
        <f>1/9</f>
        <v>0.1111111111111111</v>
      </c>
      <c r="AA14" s="122">
        <v>109.7</v>
      </c>
      <c r="AB14" s="122">
        <v>116.8</v>
      </c>
      <c r="AC14" s="122">
        <f t="shared" si="1"/>
        <v>-7.0999999999999943</v>
      </c>
      <c r="AD14" s="122">
        <v>5.9</v>
      </c>
      <c r="AE14" s="122">
        <v>3.3</v>
      </c>
      <c r="AF14" s="65">
        <v>0.35099999999999998</v>
      </c>
      <c r="AG14" s="122">
        <v>21</v>
      </c>
      <c r="AH14" s="122">
        <v>-0.1</v>
      </c>
      <c r="AI14" s="122">
        <v>0</v>
      </c>
      <c r="AJ14" s="65">
        <v>-0.109</v>
      </c>
      <c r="AK14" s="122">
        <v>-5</v>
      </c>
      <c r="AL14" s="122">
        <v>-3.9</v>
      </c>
      <c r="AM14" s="122">
        <v>-0.1</v>
      </c>
      <c r="AN14" s="122">
        <v>1.8</v>
      </c>
    </row>
    <row r="15" spans="1:44" x14ac:dyDescent="0.2">
      <c r="A15" s="3">
        <v>45</v>
      </c>
      <c r="B15" s="3" t="s">
        <v>1503</v>
      </c>
      <c r="C15" s="3" t="s">
        <v>236</v>
      </c>
      <c r="D15" s="108">
        <v>68</v>
      </c>
      <c r="E15" s="108">
        <v>72</v>
      </c>
      <c r="F15" s="109">
        <v>235</v>
      </c>
      <c r="G15" s="4">
        <v>35902</v>
      </c>
      <c r="H15" s="113">
        <f t="shared" ca="1" si="0"/>
        <v>22.5</v>
      </c>
      <c r="I15" s="3" t="s">
        <v>812</v>
      </c>
      <c r="J15" s="3">
        <v>2</v>
      </c>
      <c r="K15" s="3">
        <v>2019</v>
      </c>
      <c r="M15" s="3" t="s">
        <v>1504</v>
      </c>
      <c r="N15" s="3" t="s">
        <v>295</v>
      </c>
      <c r="O15" s="163" t="s">
        <v>1166</v>
      </c>
      <c r="P15" s="3" t="s">
        <v>295</v>
      </c>
      <c r="Q15" s="34"/>
      <c r="R15" s="3"/>
      <c r="S15" s="3"/>
      <c r="X15" s="69"/>
      <c r="Y15" s="69"/>
      <c r="Z15" s="65"/>
      <c r="AA15" s="122"/>
      <c r="AB15" s="122"/>
      <c r="AC15" s="122"/>
      <c r="AD15" s="122"/>
      <c r="AE15" s="122"/>
      <c r="AF15" s="65"/>
      <c r="AG15" s="122"/>
      <c r="AH15" s="122"/>
      <c r="AI15" s="122"/>
      <c r="AJ15" s="65"/>
      <c r="AK15" s="122"/>
      <c r="AL15" s="122"/>
      <c r="AM15" s="122"/>
      <c r="AN15" s="122"/>
    </row>
    <row r="16" spans="1:44" x14ac:dyDescent="0.2">
      <c r="A16" s="3"/>
      <c r="B16" s="3" t="s">
        <v>297</v>
      </c>
      <c r="C16" s="3"/>
      <c r="D16" s="3"/>
      <c r="E16" s="3"/>
      <c r="F16" s="3"/>
      <c r="G16" s="3"/>
      <c r="H16" s="3"/>
      <c r="I16" s="3"/>
      <c r="J16" s="3"/>
      <c r="K16" s="3"/>
      <c r="M16" s="3"/>
      <c r="N16" s="3"/>
      <c r="O16" s="3"/>
      <c r="P16" s="11">
        <v>6431667</v>
      </c>
      <c r="Q16" s="11">
        <v>6431666</v>
      </c>
      <c r="R16" s="11"/>
      <c r="S16" s="11"/>
      <c r="X16" s="69"/>
      <c r="Y16" s="69"/>
      <c r="Z16" s="65"/>
      <c r="AA16" s="122"/>
      <c r="AB16" s="122"/>
      <c r="AC16" s="122"/>
      <c r="AD16" s="122"/>
      <c r="AE16" s="122"/>
      <c r="AF16" s="65"/>
      <c r="AG16" s="122"/>
      <c r="AH16" s="122"/>
      <c r="AI16" s="122"/>
      <c r="AJ16" s="65"/>
      <c r="AK16" s="122"/>
      <c r="AL16" s="122"/>
      <c r="AM16" s="122"/>
      <c r="AN16" s="122"/>
    </row>
    <row r="17" spans="1:40" x14ac:dyDescent="0.2">
      <c r="A17" s="3"/>
      <c r="B17" s="3" t="s">
        <v>540</v>
      </c>
      <c r="C17" s="3"/>
      <c r="M17" s="3"/>
      <c r="N17" s="3"/>
      <c r="O17" s="3"/>
      <c r="P17" s="11">
        <v>4862040</v>
      </c>
      <c r="Q17" s="11">
        <v>5105160</v>
      </c>
      <c r="R17" s="51">
        <v>5348280</v>
      </c>
      <c r="S17" s="51">
        <f>R17*1.272</f>
        <v>6803012.1600000001</v>
      </c>
      <c r="T17" s="50">
        <f>S17*3</f>
        <v>20409036.48</v>
      </c>
      <c r="X17" s="69"/>
      <c r="Y17" s="69"/>
      <c r="Z17" s="65"/>
      <c r="AA17" s="122"/>
      <c r="AB17" s="122"/>
      <c r="AC17" s="122"/>
      <c r="AD17" s="122"/>
      <c r="AE17" s="122"/>
      <c r="AF17" s="65"/>
      <c r="AG17" s="122"/>
      <c r="AH17" s="122"/>
      <c r="AI17" s="122"/>
      <c r="AJ17" s="65"/>
      <c r="AK17" s="122"/>
      <c r="AL17" s="122"/>
      <c r="AM17" s="122"/>
      <c r="AN17" s="122"/>
    </row>
    <row r="18" spans="1:40" x14ac:dyDescent="0.2">
      <c r="A18" s="3"/>
      <c r="B18" s="3" t="s">
        <v>1506</v>
      </c>
      <c r="C18" s="3"/>
      <c r="J18" s="60"/>
      <c r="M18" s="3"/>
      <c r="N18" s="3"/>
      <c r="O18" s="3"/>
      <c r="P18" s="11">
        <v>1977000</v>
      </c>
      <c r="Q18" s="11">
        <v>2075880</v>
      </c>
      <c r="R18" s="51">
        <v>2174800</v>
      </c>
      <c r="S18" s="51">
        <v>3923484</v>
      </c>
      <c r="T18" s="50">
        <f>S18*3</f>
        <v>11770452</v>
      </c>
      <c r="X18" s="69"/>
      <c r="Y18" s="69"/>
      <c r="Z18" s="65"/>
      <c r="AA18" s="122"/>
      <c r="AB18" s="122"/>
      <c r="AC18" s="122"/>
      <c r="AD18" s="122"/>
      <c r="AE18" s="122"/>
      <c r="AF18" s="65"/>
      <c r="AG18" s="122"/>
      <c r="AH18" s="122"/>
      <c r="AI18" s="122"/>
      <c r="AJ18" s="65"/>
      <c r="AK18" s="122"/>
      <c r="AL18" s="122"/>
      <c r="AM18" s="122"/>
      <c r="AN18" s="122"/>
    </row>
    <row r="19" spans="1:40" x14ac:dyDescent="0.2">
      <c r="A19" s="3"/>
      <c r="B19" s="3" t="s">
        <v>1507</v>
      </c>
      <c r="C19" s="3"/>
      <c r="J19" s="60"/>
      <c r="M19" s="3"/>
      <c r="N19" s="3"/>
      <c r="O19" s="3"/>
      <c r="P19" s="179">
        <v>898310</v>
      </c>
      <c r="Q19" s="3"/>
      <c r="R19" s="3"/>
      <c r="X19" s="69"/>
      <c r="Y19" s="69"/>
      <c r="Z19" s="65"/>
      <c r="AA19" s="122"/>
      <c r="AB19" s="122"/>
      <c r="AC19" s="122"/>
      <c r="AD19" s="122"/>
      <c r="AE19" s="122"/>
      <c r="AF19" s="65"/>
      <c r="AG19" s="122"/>
      <c r="AH19" s="122"/>
      <c r="AI19" s="122"/>
      <c r="AJ19" s="65"/>
      <c r="AK19" s="122"/>
      <c r="AL19" s="122"/>
      <c r="AM19" s="122"/>
      <c r="AN19" s="122"/>
    </row>
    <row r="20" spans="1:40" x14ac:dyDescent="0.2">
      <c r="A20" s="3"/>
      <c r="B20" s="3"/>
      <c r="C20" s="3"/>
      <c r="J20" s="60"/>
      <c r="M20" s="3"/>
      <c r="N20" s="3"/>
      <c r="O20" s="3"/>
      <c r="P20" s="179"/>
      <c r="Q20" s="3"/>
      <c r="R20" s="3"/>
      <c r="X20" s="69"/>
      <c r="Y20" s="69"/>
      <c r="Z20" s="65"/>
      <c r="AA20" s="122"/>
      <c r="AB20" s="122"/>
      <c r="AC20" s="122"/>
      <c r="AD20" s="122"/>
      <c r="AE20" s="122"/>
      <c r="AF20" s="65"/>
      <c r="AG20" s="122"/>
      <c r="AH20" s="122"/>
      <c r="AI20" s="122"/>
      <c r="AJ20" s="65"/>
      <c r="AK20" s="122"/>
      <c r="AL20" s="122"/>
      <c r="AM20" s="122"/>
      <c r="AN20" s="122"/>
    </row>
    <row r="21" spans="1:40" x14ac:dyDescent="0.2">
      <c r="A21" s="3">
        <v>3</v>
      </c>
      <c r="B21" s="3" t="s">
        <v>120</v>
      </c>
      <c r="C21" s="3" t="s">
        <v>255</v>
      </c>
      <c r="D21" s="108">
        <v>67</v>
      </c>
      <c r="E21" s="108">
        <v>72</v>
      </c>
      <c r="F21" s="109">
        <v>220</v>
      </c>
      <c r="G21" s="4">
        <v>34100</v>
      </c>
      <c r="H21" s="113">
        <f t="shared" ref="H21:H23" ca="1" si="2">ROUNDDOWN(YEARFRAC($G$25,G21),1)</f>
        <v>27.4</v>
      </c>
      <c r="I21" s="3" t="s">
        <v>1053</v>
      </c>
      <c r="J21" s="3">
        <v>9</v>
      </c>
      <c r="K21" s="3">
        <v>2012</v>
      </c>
      <c r="L21" s="60">
        <v>15</v>
      </c>
      <c r="M21" s="3" t="s">
        <v>1472</v>
      </c>
      <c r="N21" s="3"/>
      <c r="O21" s="11"/>
      <c r="P21" s="14">
        <v>16516851</v>
      </c>
      <c r="Q21" s="3"/>
      <c r="R21" s="3"/>
      <c r="S21" s="26"/>
      <c r="W21" t="s">
        <v>1473</v>
      </c>
      <c r="X21" s="69">
        <v>3</v>
      </c>
      <c r="Y21" s="69">
        <v>12</v>
      </c>
      <c r="Z21" s="65">
        <f>4/12</f>
        <v>0.33333333333333331</v>
      </c>
      <c r="AA21" s="122">
        <v>111.1</v>
      </c>
      <c r="AB21" s="122">
        <v>117.2</v>
      </c>
      <c r="AC21" s="122">
        <f t="shared" ref="AC21:AC23" si="3">AA21-AB21</f>
        <v>-6.1000000000000085</v>
      </c>
      <c r="AD21" s="122">
        <v>23.8</v>
      </c>
      <c r="AE21" s="122">
        <v>10.1</v>
      </c>
      <c r="AF21" s="65">
        <v>0.53600000000000003</v>
      </c>
      <c r="AG21" s="122">
        <v>12.4</v>
      </c>
      <c r="AH21" s="122">
        <v>0.3</v>
      </c>
      <c r="AI21" s="122">
        <v>0.2</v>
      </c>
      <c r="AJ21" s="65">
        <v>6.9000000000000006E-2</v>
      </c>
      <c r="AK21" s="122">
        <v>-3.1</v>
      </c>
      <c r="AL21" s="122">
        <v>-0.3</v>
      </c>
      <c r="AM21" s="122">
        <v>-0.1</v>
      </c>
      <c r="AN21" s="122">
        <v>5.4</v>
      </c>
    </row>
    <row r="22" spans="1:40" x14ac:dyDescent="0.2">
      <c r="A22" s="3">
        <v>21</v>
      </c>
      <c r="B22" s="3" t="s">
        <v>125</v>
      </c>
      <c r="C22" s="3" t="s">
        <v>255</v>
      </c>
      <c r="D22" s="108">
        <v>65</v>
      </c>
      <c r="E22" s="108">
        <v>69</v>
      </c>
      <c r="F22" s="109">
        <v>210</v>
      </c>
      <c r="G22" s="4">
        <v>34460</v>
      </c>
      <c r="H22" s="113">
        <f t="shared" ca="1" si="2"/>
        <v>26.4</v>
      </c>
      <c r="I22" s="3" t="s">
        <v>1496</v>
      </c>
      <c r="J22" s="3">
        <v>4</v>
      </c>
      <c r="K22" s="3">
        <v>2017</v>
      </c>
      <c r="L22" s="60">
        <v>44</v>
      </c>
      <c r="M22" s="3" t="s">
        <v>1497</v>
      </c>
      <c r="N22" s="3"/>
      <c r="O22" s="11"/>
      <c r="P22" s="50">
        <v>2023150</v>
      </c>
      <c r="Q22" s="3"/>
      <c r="R22" s="3"/>
      <c r="S22" s="3"/>
      <c r="W22" t="s">
        <v>1498</v>
      </c>
      <c r="X22" s="69">
        <v>2</v>
      </c>
      <c r="Y22" s="69">
        <v>48</v>
      </c>
      <c r="Z22" s="65">
        <f>14/48</f>
        <v>0.29166666666666669</v>
      </c>
      <c r="AA22" s="122">
        <v>102.5</v>
      </c>
      <c r="AB22" s="122">
        <v>107.8</v>
      </c>
      <c r="AC22" s="122">
        <f t="shared" si="3"/>
        <v>-5.2999999999999972</v>
      </c>
      <c r="AD22" s="122">
        <v>17.399999999999999</v>
      </c>
      <c r="AE22" s="122">
        <v>10.9</v>
      </c>
      <c r="AF22" s="65">
        <v>0.52700000000000002</v>
      </c>
      <c r="AG22" s="122">
        <v>16.5</v>
      </c>
      <c r="AH22" s="122">
        <v>0.6</v>
      </c>
      <c r="AI22" s="122">
        <v>0.3</v>
      </c>
      <c r="AJ22" s="65">
        <v>5.2999999999999999E-2</v>
      </c>
      <c r="AK22" s="122">
        <v>-0.9</v>
      </c>
      <c r="AL22" s="122">
        <v>-0.5</v>
      </c>
      <c r="AM22" s="122">
        <v>0.1</v>
      </c>
      <c r="AN22" s="122">
        <v>7.9</v>
      </c>
    </row>
    <row r="23" spans="1:40" x14ac:dyDescent="0.2">
      <c r="A23" s="3">
        <v>12</v>
      </c>
      <c r="B23" s="3" t="s">
        <v>2056</v>
      </c>
      <c r="C23" s="3" t="s">
        <v>250</v>
      </c>
      <c r="D23" s="108">
        <v>510</v>
      </c>
      <c r="E23" s="108">
        <v>69</v>
      </c>
      <c r="F23" s="109">
        <v>175</v>
      </c>
      <c r="G23" s="4">
        <v>35687</v>
      </c>
      <c r="H23" s="113">
        <f t="shared" ca="1" si="2"/>
        <v>23.1</v>
      </c>
      <c r="I23" s="3" t="s">
        <v>229</v>
      </c>
      <c r="J23" s="3">
        <v>2</v>
      </c>
      <c r="K23" s="3">
        <v>2019</v>
      </c>
      <c r="L23" s="60"/>
      <c r="M23" s="3" t="s">
        <v>2352</v>
      </c>
      <c r="N23" s="3"/>
      <c r="O23" s="3"/>
      <c r="P23" s="34"/>
      <c r="Q23" s="3"/>
      <c r="R23" s="3"/>
      <c r="S23" s="3"/>
      <c r="W23" s="135" t="s">
        <v>291</v>
      </c>
      <c r="X23" s="69">
        <v>1</v>
      </c>
      <c r="Y23" s="69">
        <v>3</v>
      </c>
      <c r="Z23" s="65">
        <f>1/3</f>
        <v>0.33333333333333331</v>
      </c>
      <c r="AA23" s="122">
        <v>83.3</v>
      </c>
      <c r="AB23" s="122">
        <v>144.4</v>
      </c>
      <c r="AC23" s="122">
        <f t="shared" si="3"/>
        <v>-61.100000000000009</v>
      </c>
      <c r="AD23" s="122">
        <v>2.6</v>
      </c>
      <c r="AE23" s="122">
        <v>-5.3</v>
      </c>
      <c r="AF23" s="65">
        <v>0.25</v>
      </c>
      <c r="AG23" s="122">
        <v>21.3</v>
      </c>
      <c r="AH23" s="122">
        <v>0</v>
      </c>
      <c r="AI23" s="122">
        <v>0</v>
      </c>
      <c r="AJ23" s="65">
        <v>-0.253</v>
      </c>
      <c r="AK23" s="122">
        <v>-10.199999999999999</v>
      </c>
      <c r="AL23" s="122">
        <v>-5.7</v>
      </c>
      <c r="AM23" s="122">
        <v>0</v>
      </c>
      <c r="AN23" s="122">
        <v>-2.6</v>
      </c>
    </row>
    <row r="24" spans="1:40" x14ac:dyDescent="0.2">
      <c r="A24" s="3"/>
      <c r="B24" s="3"/>
      <c r="C24" s="3"/>
      <c r="J24" s="60"/>
      <c r="M24" s="3"/>
      <c r="N24" s="3"/>
      <c r="O24" s="3"/>
      <c r="P24" s="179"/>
      <c r="Q24" s="3"/>
      <c r="R24" s="3"/>
      <c r="X24" s="69"/>
      <c r="Y24" s="69"/>
      <c r="Z24" s="65"/>
      <c r="AA24" s="122"/>
      <c r="AB24" s="122"/>
      <c r="AC24" s="122"/>
      <c r="AD24" s="122"/>
      <c r="AE24" s="122"/>
      <c r="AF24" s="65"/>
      <c r="AG24" s="122"/>
      <c r="AH24" s="122"/>
      <c r="AI24" s="122"/>
      <c r="AJ24" s="65"/>
      <c r="AK24" s="122"/>
      <c r="AL24" s="122"/>
      <c r="AM24" s="122"/>
      <c r="AN24" s="122"/>
    </row>
    <row r="25" spans="1:40" x14ac:dyDescent="0.2">
      <c r="G25" s="62">
        <f ca="1">TODAY()</f>
        <v>44128</v>
      </c>
      <c r="H25" s="63">
        <f ca="1">AVERAGE(H2:H14)</f>
        <v>25.515384615384612</v>
      </c>
      <c r="J25" s="63">
        <f>AVERAGE(J2:J14)</f>
        <v>5.615384615384615</v>
      </c>
      <c r="M25" s="3"/>
      <c r="N25" s="3"/>
      <c r="O25" s="3"/>
      <c r="P25" s="3"/>
      <c r="Q25" s="3"/>
      <c r="R25" s="3"/>
      <c r="X25" s="69"/>
      <c r="Y25" s="69"/>
      <c r="Z25" s="65"/>
      <c r="AA25" s="122"/>
      <c r="AB25" s="122"/>
      <c r="AC25" s="122"/>
      <c r="AD25" s="122"/>
      <c r="AE25" s="122"/>
      <c r="AF25" s="65"/>
      <c r="AG25" s="122"/>
      <c r="AH25" s="122"/>
      <c r="AI25" s="122"/>
      <c r="AJ25" s="65"/>
      <c r="AK25" s="122"/>
      <c r="AL25" s="122"/>
      <c r="AM25" s="122"/>
      <c r="AN25" s="122"/>
    </row>
    <row r="26" spans="1:40" x14ac:dyDescent="0.2">
      <c r="H26" s="63">
        <f ca="1">MEDIAN(H2:H14)</f>
        <v>24.9</v>
      </c>
      <c r="J26" s="69">
        <f>MEDIAN(J2:J14)</f>
        <v>4</v>
      </c>
      <c r="P26" s="64"/>
      <c r="X26" s="69"/>
      <c r="Y26" s="69"/>
      <c r="Z26" s="65"/>
      <c r="AA26" s="122"/>
      <c r="AB26" s="122"/>
      <c r="AC26" s="122"/>
      <c r="AD26" s="122"/>
      <c r="AE26" s="122"/>
      <c r="AF26" s="122"/>
      <c r="AG26" s="122"/>
      <c r="AH26" s="122"/>
      <c r="AI26" s="122"/>
      <c r="AJ26" s="65"/>
      <c r="AK26" s="122"/>
      <c r="AL26" s="122"/>
      <c r="AM26" s="122"/>
      <c r="AN26" s="122"/>
    </row>
    <row r="27" spans="1:40" x14ac:dyDescent="0.2">
      <c r="B27" s="209" t="s">
        <v>2224</v>
      </c>
      <c r="C27" s="60"/>
      <c r="H27" s="60"/>
      <c r="J27" s="60"/>
      <c r="P27" s="64">
        <f>P2+1000000+P5+1000000+1000000+P8+P9+P10+1000000+P14+P16+P17+P18</f>
        <v>62372383</v>
      </c>
      <c r="Q27" s="61"/>
      <c r="X27" s="69"/>
      <c r="Y27" s="69"/>
      <c r="Z27" s="65"/>
      <c r="AA27" s="122"/>
      <c r="AB27" s="122"/>
      <c r="AC27" s="122"/>
      <c r="AD27" s="122"/>
      <c r="AE27" s="122"/>
      <c r="AF27" s="122"/>
      <c r="AG27" s="122"/>
      <c r="AH27" s="122"/>
      <c r="AI27" s="122"/>
      <c r="AJ27" s="65"/>
      <c r="AK27" s="122"/>
      <c r="AL27" s="122"/>
      <c r="AM27" s="122"/>
      <c r="AN27" s="122"/>
    </row>
    <row r="28" spans="1:40" x14ac:dyDescent="0.2">
      <c r="B28" s="3" t="s">
        <v>2085</v>
      </c>
      <c r="C28" s="60">
        <v>6</v>
      </c>
      <c r="H28" s="209"/>
      <c r="I28" s="209"/>
      <c r="J28" s="60"/>
      <c r="P28" s="160">
        <f>P2+P3+P4+P5+P6+P7+P8+P9+P10+P11+P12+P14+P13+P16+P17+P18</f>
        <v>107137837</v>
      </c>
      <c r="Q28" s="61"/>
      <c r="X28" s="69"/>
      <c r="Y28" s="69"/>
      <c r="Z28" s="122"/>
      <c r="AA28" s="122"/>
      <c r="AB28" s="122"/>
      <c r="AC28" s="122"/>
      <c r="AD28" s="122"/>
      <c r="AE28" s="122"/>
      <c r="AF28" s="122"/>
      <c r="AG28" s="122"/>
      <c r="AH28" s="122"/>
      <c r="AI28" s="122"/>
      <c r="AJ28" s="65"/>
      <c r="AK28" s="122"/>
      <c r="AL28" s="122"/>
      <c r="AM28" s="122"/>
      <c r="AN28" s="122"/>
    </row>
    <row r="29" spans="1:40" x14ac:dyDescent="0.2">
      <c r="B29" s="3" t="s">
        <v>2088</v>
      </c>
      <c r="C29" s="60">
        <v>8</v>
      </c>
      <c r="H29" s="3"/>
      <c r="I29" s="3"/>
      <c r="J29" s="60"/>
      <c r="O29" s="3"/>
      <c r="P29" s="124">
        <f>P2+1000000+P5+1000000+1000000+P8+P9+P10+P11+P13+P12+P14+P16+P17+P18</f>
        <v>68937837</v>
      </c>
      <c r="X29" s="122"/>
      <c r="Y29" s="122"/>
      <c r="Z29" s="122"/>
      <c r="AA29" s="122"/>
      <c r="AB29" s="122"/>
      <c r="AC29" s="122"/>
      <c r="AD29" s="122"/>
      <c r="AE29" s="122"/>
      <c r="AF29" s="122"/>
      <c r="AG29" s="122"/>
      <c r="AH29" s="122"/>
      <c r="AI29" s="122"/>
      <c r="AJ29" s="65"/>
      <c r="AK29" s="122"/>
      <c r="AL29" s="122"/>
      <c r="AM29" s="122"/>
      <c r="AN29" s="122"/>
    </row>
    <row r="30" spans="1:40" x14ac:dyDescent="0.2">
      <c r="B30" s="3" t="s">
        <v>2086</v>
      </c>
      <c r="C30" s="60">
        <v>3</v>
      </c>
      <c r="D30" s="62"/>
      <c r="H30" s="3"/>
      <c r="I30" s="3"/>
      <c r="O30" s="3"/>
      <c r="X30" s="122"/>
      <c r="Y30" s="122"/>
      <c r="Z30" s="122"/>
      <c r="AA30" s="122"/>
      <c r="AB30" s="122"/>
      <c r="AC30" s="122"/>
      <c r="AD30" s="122"/>
      <c r="AE30" s="122"/>
      <c r="AF30" s="122"/>
      <c r="AG30" s="122"/>
      <c r="AH30" s="122"/>
      <c r="AI30" s="122"/>
      <c r="AJ30" s="65"/>
      <c r="AK30" s="122"/>
      <c r="AL30" s="122"/>
      <c r="AM30" s="122"/>
      <c r="AN30" s="122"/>
    </row>
    <row r="31" spans="1:40" x14ac:dyDescent="0.2">
      <c r="B31" s="3" t="s">
        <v>2219</v>
      </c>
      <c r="C31" t="s">
        <v>2353</v>
      </c>
      <c r="H31" s="3"/>
      <c r="I31" s="3"/>
      <c r="O31" s="3" t="s">
        <v>300</v>
      </c>
      <c r="P31" s="11">
        <v>109140000</v>
      </c>
      <c r="AJ31" s="127"/>
    </row>
    <row r="32" spans="1:40" x14ac:dyDescent="0.2">
      <c r="B32" s="3" t="s">
        <v>301</v>
      </c>
      <c r="C32" s="61">
        <v>0</v>
      </c>
      <c r="H32" s="3"/>
      <c r="I32" s="3"/>
      <c r="O32" s="22" t="s">
        <v>302</v>
      </c>
      <c r="P32" s="11">
        <v>132627000</v>
      </c>
    </row>
    <row r="33" spans="2:10" x14ac:dyDescent="0.2">
      <c r="B33" s="3" t="s">
        <v>303</v>
      </c>
      <c r="C33" s="61">
        <v>0</v>
      </c>
      <c r="H33" s="3"/>
      <c r="I33" s="3"/>
      <c r="J33" s="61"/>
    </row>
    <row r="34" spans="2:10" x14ac:dyDescent="0.2">
      <c r="B34" s="3"/>
      <c r="H34" s="3"/>
      <c r="I34" s="3"/>
      <c r="J34" s="61"/>
    </row>
    <row r="35" spans="2:10" x14ac:dyDescent="0.2">
      <c r="B35" s="5" t="s">
        <v>2084</v>
      </c>
      <c r="H35" s="3"/>
      <c r="I35" s="3"/>
    </row>
    <row r="36" spans="2:10" x14ac:dyDescent="0.2">
      <c r="B36" s="3" t="s">
        <v>304</v>
      </c>
      <c r="C36" s="65">
        <f>21/(21+45)</f>
        <v>0.31818181818181818</v>
      </c>
      <c r="D36" t="s">
        <v>326</v>
      </c>
      <c r="H36" s="5"/>
      <c r="I36" s="5"/>
    </row>
    <row r="37" spans="2:10" x14ac:dyDescent="0.2">
      <c r="B37" s="3" t="s">
        <v>306</v>
      </c>
      <c r="C37" s="60">
        <v>105.9</v>
      </c>
      <c r="D37" t="s">
        <v>2179</v>
      </c>
      <c r="H37" s="3"/>
      <c r="I37" s="3"/>
    </row>
    <row r="38" spans="2:10" x14ac:dyDescent="0.2">
      <c r="B38" s="3" t="s">
        <v>307</v>
      </c>
      <c r="C38" s="60">
        <v>112.4</v>
      </c>
      <c r="D38" t="s">
        <v>2245</v>
      </c>
      <c r="H38" s="3"/>
      <c r="I38" s="3"/>
    </row>
    <row r="39" spans="2:10" x14ac:dyDescent="0.2">
      <c r="B39" s="3" t="s">
        <v>308</v>
      </c>
      <c r="C39" s="60">
        <f>C37-C38</f>
        <v>-6.5</v>
      </c>
      <c r="D39" t="s">
        <v>2244</v>
      </c>
      <c r="H39" s="3"/>
      <c r="I39" s="3"/>
    </row>
    <row r="40" spans="2:10" x14ac:dyDescent="0.2">
      <c r="B40" s="3" t="s">
        <v>309</v>
      </c>
      <c r="C40" s="60">
        <v>99.11</v>
      </c>
      <c r="D40" t="s">
        <v>1881</v>
      </c>
      <c r="H40" s="3"/>
      <c r="I40" s="3"/>
    </row>
    <row r="41" spans="2:10" x14ac:dyDescent="0.2">
      <c r="H41" s="3"/>
      <c r="I41" s="3"/>
    </row>
    <row r="42" spans="2:10" x14ac:dyDescent="0.2">
      <c r="B42" s="2" t="s">
        <v>310</v>
      </c>
    </row>
    <row r="43" spans="2:10" x14ac:dyDescent="0.2">
      <c r="B43" s="2" t="s">
        <v>1508</v>
      </c>
    </row>
    <row r="44" spans="2:10" x14ac:dyDescent="0.2">
      <c r="B44" s="2" t="s">
        <v>1509</v>
      </c>
    </row>
    <row r="45" spans="2:10" x14ac:dyDescent="0.2">
      <c r="B45" s="2" t="s">
        <v>1510</v>
      </c>
    </row>
    <row r="46" spans="2:10" x14ac:dyDescent="0.2">
      <c r="B46" s="2" t="s">
        <v>1511</v>
      </c>
    </row>
    <row r="47" spans="2:10" x14ac:dyDescent="0.2">
      <c r="B47" s="2" t="s">
        <v>1512</v>
      </c>
    </row>
    <row r="48" spans="2:10" x14ac:dyDescent="0.2">
      <c r="B48" s="10"/>
    </row>
    <row r="49" spans="2:10" x14ac:dyDescent="0.2">
      <c r="B49" s="2" t="s">
        <v>318</v>
      </c>
    </row>
    <row r="50" spans="2:10" x14ac:dyDescent="0.2">
      <c r="B50" s="2" t="s">
        <v>816</v>
      </c>
    </row>
    <row r="51" spans="2:10" x14ac:dyDescent="0.2">
      <c r="B51" s="2"/>
    </row>
    <row r="52" spans="2:10" x14ac:dyDescent="0.2">
      <c r="B52" s="205" t="s">
        <v>2228</v>
      </c>
    </row>
    <row r="53" spans="2:10" x14ac:dyDescent="0.2">
      <c r="B53" s="37" t="s">
        <v>322</v>
      </c>
      <c r="C53" s="60">
        <v>21</v>
      </c>
      <c r="D53" s="60">
        <v>45</v>
      </c>
      <c r="E53" t="s">
        <v>326</v>
      </c>
      <c r="G53" t="s">
        <v>1513</v>
      </c>
      <c r="J53" s="144" t="s">
        <v>324</v>
      </c>
    </row>
    <row r="54" spans="2:10" x14ac:dyDescent="0.2">
      <c r="B54" s="37" t="s">
        <v>325</v>
      </c>
      <c r="C54" s="60">
        <v>17</v>
      </c>
      <c r="D54" s="60">
        <v>65</v>
      </c>
      <c r="E54" t="s">
        <v>328</v>
      </c>
      <c r="G54" t="s">
        <v>1241</v>
      </c>
      <c r="J54" s="144" t="s">
        <v>324</v>
      </c>
    </row>
    <row r="55" spans="2:10" x14ac:dyDescent="0.2">
      <c r="B55" s="37" t="s">
        <v>327</v>
      </c>
      <c r="C55" s="60">
        <v>29</v>
      </c>
      <c r="D55" s="60">
        <v>53</v>
      </c>
      <c r="E55" s="60" t="s">
        <v>552</v>
      </c>
      <c r="G55" t="s">
        <v>1514</v>
      </c>
      <c r="J55" s="144" t="s">
        <v>324</v>
      </c>
    </row>
    <row r="56" spans="2:10" x14ac:dyDescent="0.2">
      <c r="B56" s="37" t="s">
        <v>330</v>
      </c>
      <c r="C56" s="60">
        <v>31</v>
      </c>
      <c r="D56" s="60">
        <v>51</v>
      </c>
      <c r="E56" t="s">
        <v>326</v>
      </c>
      <c r="G56" t="s">
        <v>1514</v>
      </c>
      <c r="J56" s="144" t="s">
        <v>324</v>
      </c>
    </row>
    <row r="57" spans="2:10" x14ac:dyDescent="0.2">
      <c r="B57" s="37" t="s">
        <v>333</v>
      </c>
      <c r="C57" s="60">
        <v>32</v>
      </c>
      <c r="D57" s="60">
        <v>50</v>
      </c>
      <c r="E57" t="s">
        <v>617</v>
      </c>
      <c r="G57" t="s">
        <v>1515</v>
      </c>
      <c r="J57" s="144" t="s">
        <v>324</v>
      </c>
    </row>
    <row r="58" spans="2:10" x14ac:dyDescent="0.2">
      <c r="B58" s="37" t="s">
        <v>336</v>
      </c>
      <c r="C58" s="60">
        <v>17</v>
      </c>
      <c r="D58" s="60">
        <v>65</v>
      </c>
      <c r="E58" t="s">
        <v>328</v>
      </c>
      <c r="G58" t="s">
        <v>1516</v>
      </c>
      <c r="J58" s="144" t="s">
        <v>324</v>
      </c>
    </row>
    <row r="59" spans="2:10" x14ac:dyDescent="0.2">
      <c r="B59" s="37" t="s">
        <v>339</v>
      </c>
      <c r="C59" s="60">
        <v>37</v>
      </c>
      <c r="D59" s="60">
        <v>45</v>
      </c>
      <c r="E59" t="s">
        <v>550</v>
      </c>
      <c r="G59" t="s">
        <v>1517</v>
      </c>
      <c r="J59" s="144" t="s">
        <v>324</v>
      </c>
    </row>
    <row r="60" spans="2:10" x14ac:dyDescent="0.2">
      <c r="B60" s="37" t="s">
        <v>342</v>
      </c>
      <c r="C60" s="60">
        <v>54</v>
      </c>
      <c r="D60" s="60">
        <v>28</v>
      </c>
      <c r="E60" t="s">
        <v>414</v>
      </c>
      <c r="G60" t="s">
        <v>1517</v>
      </c>
      <c r="J60" t="s">
        <v>1518</v>
      </c>
    </row>
    <row r="61" spans="2:10" x14ac:dyDescent="0.2">
      <c r="B61" s="37" t="s">
        <v>346</v>
      </c>
      <c r="C61" s="60">
        <v>36</v>
      </c>
      <c r="D61" s="60">
        <v>30</v>
      </c>
      <c r="E61" t="s">
        <v>418</v>
      </c>
      <c r="G61" t="s">
        <v>1519</v>
      </c>
      <c r="J61" t="s">
        <v>1520</v>
      </c>
    </row>
    <row r="62" spans="2:10" x14ac:dyDescent="0.2">
      <c r="B62" s="37" t="s">
        <v>348</v>
      </c>
      <c r="C62" s="60">
        <v>42</v>
      </c>
      <c r="D62" s="60">
        <v>40</v>
      </c>
      <c r="E62" t="s">
        <v>343</v>
      </c>
      <c r="G62" t="s">
        <v>997</v>
      </c>
      <c r="J62" t="s">
        <v>1065</v>
      </c>
    </row>
    <row r="63" spans="2:10" x14ac:dyDescent="0.2">
      <c r="B63" t="s">
        <v>350</v>
      </c>
      <c r="C63" s="60">
        <f>SUM(C53:C62)</f>
        <v>316</v>
      </c>
      <c r="D63" s="60">
        <f>SUM(D53:D62)</f>
        <v>472</v>
      </c>
      <c r="E63" s="65">
        <f>C63/(C63+D63)</f>
        <v>0.40101522842639592</v>
      </c>
    </row>
  </sheetData>
  <hyperlinks>
    <hyperlink ref="B53" r:id="rId1" xr:uid="{8DB47AD0-E010-2D4A-98AA-0CE1D5576C1C}"/>
    <hyperlink ref="B54" r:id="rId2" xr:uid="{64342AD0-307D-6844-9731-DF881AB105F3}"/>
    <hyperlink ref="B55" r:id="rId3" xr:uid="{7035BB0C-63FA-8841-AEB8-2B803856D0B9}"/>
    <hyperlink ref="B56" r:id="rId4" xr:uid="{BCFC1EE2-9DB6-BB4A-9D06-3C40F8122D43}"/>
    <hyperlink ref="B57" r:id="rId5" xr:uid="{13453439-51E9-C348-B753-5232D46C1F2F}"/>
    <hyperlink ref="B58" r:id="rId6" xr:uid="{8EAF0856-A1FF-494A-BA80-9C34BFD4B47A}"/>
    <hyperlink ref="B59" r:id="rId7" xr:uid="{8A641AA0-7EB2-3840-80F1-74D4A45F4749}"/>
    <hyperlink ref="B60" r:id="rId8" xr:uid="{C0E08A23-05DE-EF45-81C8-9423A2FB7CCF}"/>
    <hyperlink ref="B61" r:id="rId9" xr:uid="{5549FF67-612D-974A-947B-DC1F41AC6314}"/>
    <hyperlink ref="B62" r:id="rId10" xr:uid="{D62E69D1-1A6C-7741-A948-C67E244A2A04}"/>
  </hyperlinks>
  <pageMargins left="0.7" right="0.7" top="0.75" bottom="0.75" header="0.3" footer="0.3"/>
  <ignoredErrors>
    <ignoredError sqref="J25:J26" formulaRange="1"/>
  </ignoredErrors>
  <legacyDrawing r:id="rId1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284B1-98DC-0546-BCE6-65C5488349AA}">
  <dimension ref="A1:AR67"/>
  <sheetViews>
    <sheetView zoomScaleNormal="100" workbookViewId="0">
      <selection sqref="A1:AR1"/>
    </sheetView>
  </sheetViews>
  <sheetFormatPr baseColWidth="10" defaultColWidth="11" defaultRowHeight="16" x14ac:dyDescent="0.2"/>
  <cols>
    <col min="1" max="1" width="3.33203125" customWidth="1"/>
    <col min="2" max="2" width="21.1640625" customWidth="1"/>
    <col min="3" max="3" width="11.6640625" customWidth="1"/>
    <col min="4" max="4" width="9" bestFit="1" customWidth="1"/>
    <col min="5" max="5" width="11.33203125" customWidth="1"/>
    <col min="6" max="6" width="7.6640625" customWidth="1"/>
    <col min="7" max="7" width="8" customWidth="1"/>
    <col min="8" max="8" width="5.83203125" customWidth="1"/>
    <col min="9" max="9" width="30.33203125" customWidth="1"/>
    <col min="10" max="10" width="10.83203125" customWidth="1"/>
    <col min="11" max="11" width="11.83203125" customWidth="1"/>
    <col min="12" max="12" width="5.1640625" customWidth="1"/>
    <col min="13" max="13" width="25.5" customWidth="1"/>
    <col min="14" max="14" width="18" customWidth="1"/>
    <col min="15" max="15" width="46.83203125" customWidth="1"/>
    <col min="16" max="16" width="13.5" customWidth="1"/>
    <col min="17" max="17" width="12.6640625" customWidth="1"/>
    <col min="18" max="18" width="12.5" customWidth="1"/>
    <col min="19" max="19" width="12.5" bestFit="1" customWidth="1"/>
    <col min="20" max="20" width="12.33203125" bestFit="1" customWidth="1"/>
    <col min="21" max="21" width="10.1640625" customWidth="1"/>
    <col min="22" max="22" width="88" customWidth="1"/>
    <col min="23" max="23" width="28.1640625" customWidth="1"/>
    <col min="24" max="24" width="10.6640625" bestFit="1" customWidth="1"/>
    <col min="25" max="25" width="3.83203125" customWidth="1"/>
    <col min="26" max="26" width="8" customWidth="1"/>
    <col min="27" max="27" width="6" customWidth="1"/>
    <col min="28" max="28" width="6.33203125" customWidth="1"/>
    <col min="29" max="29" width="7.5" customWidth="1"/>
    <col min="30" max="31" width="5.1640625" customWidth="1"/>
    <col min="32" max="32" width="5.83203125" customWidth="1"/>
    <col min="33" max="33" width="7.6640625" customWidth="1"/>
    <col min="34" max="34" width="5.5" customWidth="1"/>
    <col min="35" max="35" width="5.1640625" customWidth="1"/>
    <col min="36" max="36" width="6.6640625" customWidth="1"/>
    <col min="37" max="37" width="6.33203125" customWidth="1"/>
    <col min="38" max="39" width="6" customWidth="1"/>
    <col min="40" max="40" width="5" customWidth="1"/>
  </cols>
  <sheetData>
    <row r="1" spans="1:44" x14ac:dyDescent="0.2">
      <c r="A1" s="223" t="s">
        <v>2394</v>
      </c>
      <c r="B1" s="223" t="s">
        <v>2395</v>
      </c>
      <c r="C1" s="223" t="s">
        <v>2396</v>
      </c>
      <c r="D1" s="223" t="s">
        <v>2397</v>
      </c>
      <c r="E1" s="223" t="s">
        <v>2398</v>
      </c>
      <c r="F1" s="223" t="s">
        <v>2399</v>
      </c>
      <c r="G1" s="223" t="s">
        <v>2400</v>
      </c>
      <c r="H1" s="223" t="s">
        <v>2401</v>
      </c>
      <c r="I1" s="223" t="s">
        <v>2402</v>
      </c>
      <c r="J1" s="223" t="s">
        <v>2403</v>
      </c>
      <c r="K1" s="223" t="s">
        <v>2404</v>
      </c>
      <c r="L1" s="223" t="s">
        <v>2405</v>
      </c>
      <c r="M1" s="223" t="s">
        <v>2406</v>
      </c>
      <c r="N1" s="223" t="s">
        <v>2407</v>
      </c>
      <c r="O1" s="223" t="s">
        <v>2408</v>
      </c>
      <c r="P1" s="223" t="s">
        <v>2409</v>
      </c>
      <c r="Q1" s="223" t="s">
        <v>2410</v>
      </c>
      <c r="R1" s="223" t="s">
        <v>2411</v>
      </c>
      <c r="S1" s="223" t="s">
        <v>2412</v>
      </c>
      <c r="T1" s="223" t="s">
        <v>2413</v>
      </c>
      <c r="U1" s="223" t="s">
        <v>2414</v>
      </c>
      <c r="V1" s="223" t="s">
        <v>2415</v>
      </c>
      <c r="W1" s="223" t="s">
        <v>2416</v>
      </c>
      <c r="X1" s="223" t="s">
        <v>2433</v>
      </c>
      <c r="Y1" s="223" t="s">
        <v>2417</v>
      </c>
      <c r="Z1" s="223" t="s">
        <v>2418</v>
      </c>
      <c r="AA1" s="223" t="s">
        <v>2419</v>
      </c>
      <c r="AB1" s="223" t="s">
        <v>2420</v>
      </c>
      <c r="AC1" s="223" t="s">
        <v>2421</v>
      </c>
      <c r="AD1" s="223" t="s">
        <v>2422</v>
      </c>
      <c r="AE1" s="223" t="s">
        <v>2423</v>
      </c>
      <c r="AF1" s="223" t="s">
        <v>2424</v>
      </c>
      <c r="AG1" s="223" t="s">
        <v>2425</v>
      </c>
      <c r="AH1" s="223" t="s">
        <v>2426</v>
      </c>
      <c r="AI1" s="223" t="s">
        <v>2427</v>
      </c>
      <c r="AJ1" s="223" t="s">
        <v>2428</v>
      </c>
      <c r="AK1" s="223" t="s">
        <v>2429</v>
      </c>
      <c r="AL1" s="223" t="s">
        <v>2430</v>
      </c>
      <c r="AM1" s="223" t="s">
        <v>2431</v>
      </c>
      <c r="AN1" s="223" t="s">
        <v>2432</v>
      </c>
      <c r="AO1" s="224"/>
      <c r="AP1" s="225"/>
      <c r="AQ1" s="6"/>
      <c r="AR1" s="6"/>
    </row>
    <row r="2" spans="1:44" x14ac:dyDescent="0.2">
      <c r="A2" s="110">
        <v>3</v>
      </c>
      <c r="B2" s="3" t="s">
        <v>1521</v>
      </c>
      <c r="C2" s="3" t="s">
        <v>250</v>
      </c>
      <c r="D2" s="108">
        <v>61</v>
      </c>
      <c r="E2" s="108">
        <v>64</v>
      </c>
      <c r="F2" s="109">
        <v>175</v>
      </c>
      <c r="G2" s="4">
        <v>31173</v>
      </c>
      <c r="H2" s="122">
        <f t="shared" ref="H2:H13" ca="1" si="0">ROUNDDOWN(YEARFRAC($G$24,G2),1)</f>
        <v>35.4</v>
      </c>
      <c r="I2" t="s">
        <v>233</v>
      </c>
      <c r="J2" s="3">
        <v>16</v>
      </c>
      <c r="K2" s="110">
        <v>2005</v>
      </c>
      <c r="L2" s="110">
        <v>4</v>
      </c>
      <c r="M2" s="2" t="s">
        <v>1522</v>
      </c>
      <c r="N2" s="2" t="s">
        <v>239</v>
      </c>
      <c r="O2" s="2" t="s">
        <v>2095</v>
      </c>
      <c r="P2" s="11">
        <v>41358814</v>
      </c>
      <c r="Q2" s="48">
        <v>44211146</v>
      </c>
      <c r="R2" s="14">
        <v>46421703</v>
      </c>
      <c r="W2" t="s">
        <v>1523</v>
      </c>
      <c r="X2" s="69">
        <v>1</v>
      </c>
      <c r="Y2" s="69">
        <v>63</v>
      </c>
      <c r="Z2" s="65">
        <f>40/63</f>
        <v>0.63492063492063489</v>
      </c>
      <c r="AA2" s="122">
        <v>114.4</v>
      </c>
      <c r="AB2" s="122">
        <v>107.6</v>
      </c>
      <c r="AC2" s="122">
        <f t="shared" ref="AC2:AC13" si="1">AA2-AB2</f>
        <v>6.8000000000000114</v>
      </c>
      <c r="AD2" s="122">
        <v>31.8</v>
      </c>
      <c r="AE2" s="122">
        <v>21.7</v>
      </c>
      <c r="AF2" s="65">
        <v>0.60899999999999999</v>
      </c>
      <c r="AG2" s="122">
        <v>23.2</v>
      </c>
      <c r="AH2" s="122">
        <v>5.5</v>
      </c>
      <c r="AI2" s="122">
        <v>2.5</v>
      </c>
      <c r="AJ2" s="65">
        <v>0.19400000000000001</v>
      </c>
      <c r="AK2" s="122">
        <v>3.1</v>
      </c>
      <c r="AL2" s="122">
        <v>1.2</v>
      </c>
      <c r="AM2" s="122">
        <v>3.2</v>
      </c>
      <c r="AN2" s="122">
        <v>15.1</v>
      </c>
    </row>
    <row r="3" spans="1:44" x14ac:dyDescent="0.2">
      <c r="A3" s="110">
        <v>12</v>
      </c>
      <c r="B3" s="3" t="s">
        <v>1524</v>
      </c>
      <c r="C3" s="3" t="s">
        <v>236</v>
      </c>
      <c r="D3" s="108">
        <v>611</v>
      </c>
      <c r="E3" s="108">
        <v>75</v>
      </c>
      <c r="F3" s="109">
        <v>265</v>
      </c>
      <c r="G3" s="4">
        <v>34170</v>
      </c>
      <c r="H3" s="122">
        <f t="shared" ca="1" si="0"/>
        <v>27.2</v>
      </c>
      <c r="I3" t="s">
        <v>1525</v>
      </c>
      <c r="J3" s="3">
        <v>8</v>
      </c>
      <c r="K3" s="110">
        <v>2013</v>
      </c>
      <c r="L3" s="110">
        <v>12</v>
      </c>
      <c r="M3" s="2" t="s">
        <v>1526</v>
      </c>
      <c r="N3" s="2" t="s">
        <v>1</v>
      </c>
      <c r="O3" s="2" t="s">
        <v>2096</v>
      </c>
      <c r="P3" s="11">
        <v>27528088</v>
      </c>
      <c r="Q3" s="14">
        <v>37500000</v>
      </c>
      <c r="V3" t="s">
        <v>1527</v>
      </c>
      <c r="W3" s="135" t="s">
        <v>240</v>
      </c>
      <c r="X3" s="69">
        <v>5</v>
      </c>
      <c r="Y3" s="69">
        <v>58</v>
      </c>
      <c r="Z3" s="65">
        <f>37/58</f>
        <v>0.63793103448275867</v>
      </c>
      <c r="AA3" s="122">
        <v>111.5</v>
      </c>
      <c r="AB3" s="122">
        <v>107.1</v>
      </c>
      <c r="AC3" s="122">
        <f t="shared" si="1"/>
        <v>4.4000000000000057</v>
      </c>
      <c r="AD3" s="122">
        <v>27</v>
      </c>
      <c r="AE3" s="122">
        <v>20.8</v>
      </c>
      <c r="AF3" s="65">
        <v>0.60499999999999998</v>
      </c>
      <c r="AG3" s="122">
        <v>17.2</v>
      </c>
      <c r="AH3" s="122">
        <v>3.7</v>
      </c>
      <c r="AI3" s="122">
        <v>2.5</v>
      </c>
      <c r="AJ3" s="65">
        <v>0.19</v>
      </c>
      <c r="AK3" s="122">
        <v>2.1</v>
      </c>
      <c r="AL3" s="122">
        <v>1.1000000000000001</v>
      </c>
      <c r="AM3" s="122">
        <v>2</v>
      </c>
      <c r="AN3" s="122">
        <v>13.7</v>
      </c>
    </row>
    <row r="4" spans="1:44" x14ac:dyDescent="0.2">
      <c r="A4" s="110">
        <v>17</v>
      </c>
      <c r="B4" s="3" t="s">
        <v>211</v>
      </c>
      <c r="C4" s="3" t="s">
        <v>232</v>
      </c>
      <c r="D4" s="108">
        <v>61</v>
      </c>
      <c r="E4" s="108">
        <v>68</v>
      </c>
      <c r="F4" s="109">
        <v>172</v>
      </c>
      <c r="G4" s="4">
        <v>34227</v>
      </c>
      <c r="H4" s="122">
        <f t="shared" ca="1" si="0"/>
        <v>27.1</v>
      </c>
      <c r="I4" t="s">
        <v>1532</v>
      </c>
      <c r="J4" s="3">
        <v>8</v>
      </c>
      <c r="K4" s="110">
        <v>2013</v>
      </c>
      <c r="L4" s="110">
        <v>17</v>
      </c>
      <c r="M4" s="3" t="s">
        <v>1533</v>
      </c>
      <c r="N4" s="2" t="s">
        <v>1534</v>
      </c>
      <c r="O4" s="2" t="s">
        <v>2097</v>
      </c>
      <c r="P4" s="11">
        <v>15500000</v>
      </c>
      <c r="Q4" s="14">
        <f>P4*1.5</f>
        <v>23250000</v>
      </c>
      <c r="R4" s="12"/>
      <c r="S4" s="12"/>
      <c r="T4" s="12"/>
      <c r="V4" t="s">
        <v>1535</v>
      </c>
      <c r="W4" s="135" t="s">
        <v>291</v>
      </c>
      <c r="X4" s="69">
        <v>1</v>
      </c>
      <c r="Y4" s="69">
        <v>63</v>
      </c>
      <c r="Z4" s="65">
        <f>39/63</f>
        <v>0.61904761904761907</v>
      </c>
      <c r="AA4" s="122">
        <v>109</v>
      </c>
      <c r="AB4" s="122">
        <v>103.1</v>
      </c>
      <c r="AC4" s="122">
        <f t="shared" si="1"/>
        <v>5.9000000000000057</v>
      </c>
      <c r="AD4" s="122">
        <v>31</v>
      </c>
      <c r="AE4" s="122">
        <v>16.8</v>
      </c>
      <c r="AF4" s="65">
        <v>0.57299999999999995</v>
      </c>
      <c r="AG4" s="122">
        <v>27.2</v>
      </c>
      <c r="AH4" s="122">
        <v>1.9</v>
      </c>
      <c r="AI4" s="122">
        <v>1.6</v>
      </c>
      <c r="AJ4" s="65">
        <v>8.5999999999999993E-2</v>
      </c>
      <c r="AK4" s="122">
        <v>1.1000000000000001</v>
      </c>
      <c r="AL4" s="122">
        <v>-1.2</v>
      </c>
      <c r="AM4" s="122">
        <v>1</v>
      </c>
      <c r="AN4" s="122">
        <v>12.2</v>
      </c>
    </row>
    <row r="5" spans="1:44" x14ac:dyDescent="0.2">
      <c r="A5" s="110">
        <v>2</v>
      </c>
      <c r="B5" s="3" t="s">
        <v>1538</v>
      </c>
      <c r="C5" s="3" t="s">
        <v>255</v>
      </c>
      <c r="D5" s="108">
        <v>65</v>
      </c>
      <c r="E5" s="108">
        <v>70</v>
      </c>
      <c r="F5" s="109">
        <v>180</v>
      </c>
      <c r="G5" s="4">
        <v>35988</v>
      </c>
      <c r="H5" s="122">
        <f t="shared" ca="1" si="0"/>
        <v>22.2</v>
      </c>
      <c r="I5" t="s">
        <v>270</v>
      </c>
      <c r="J5" s="3">
        <v>3</v>
      </c>
      <c r="K5" s="110">
        <v>2018</v>
      </c>
      <c r="L5" s="110">
        <v>11</v>
      </c>
      <c r="M5" s="2" t="s">
        <v>1529</v>
      </c>
      <c r="N5" s="2" t="s">
        <v>1539</v>
      </c>
      <c r="O5" s="2" t="s">
        <v>2098</v>
      </c>
      <c r="P5" s="11">
        <v>4141320</v>
      </c>
      <c r="Q5" s="51">
        <v>5495532</v>
      </c>
      <c r="R5" s="50">
        <f>Q5*3</f>
        <v>16486596</v>
      </c>
      <c r="S5" s="12"/>
      <c r="T5" s="12"/>
      <c r="W5" s="135" t="s">
        <v>1540</v>
      </c>
      <c r="X5" s="69">
        <v>2</v>
      </c>
      <c r="Y5" s="69">
        <v>63</v>
      </c>
      <c r="Z5" s="65">
        <f>39/63</f>
        <v>0.61904761904761907</v>
      </c>
      <c r="AA5" s="122">
        <v>113</v>
      </c>
      <c r="AB5" s="122">
        <v>109.4</v>
      </c>
      <c r="AC5" s="122">
        <f t="shared" si="1"/>
        <v>3.5999999999999943</v>
      </c>
      <c r="AD5" s="122">
        <v>35.1</v>
      </c>
      <c r="AE5" s="122">
        <v>17.8</v>
      </c>
      <c r="AF5" s="65">
        <v>0.56599999999999995</v>
      </c>
      <c r="AG5" s="122">
        <v>23.7</v>
      </c>
      <c r="AH5" s="122">
        <v>2.9</v>
      </c>
      <c r="AI5" s="122">
        <v>2.6</v>
      </c>
      <c r="AJ5" s="65">
        <v>0.12</v>
      </c>
      <c r="AK5" s="122">
        <v>1.4</v>
      </c>
      <c r="AL5" s="122">
        <v>0.2</v>
      </c>
      <c r="AM5" s="122">
        <v>2</v>
      </c>
      <c r="AN5" s="122">
        <v>12.3</v>
      </c>
    </row>
    <row r="6" spans="1:44" x14ac:dyDescent="0.2">
      <c r="A6" s="110">
        <v>23</v>
      </c>
      <c r="B6" s="3" t="s">
        <v>1541</v>
      </c>
      <c r="C6" s="3" t="s">
        <v>255</v>
      </c>
      <c r="D6" s="108">
        <v>66</v>
      </c>
      <c r="E6" s="108">
        <v>69</v>
      </c>
      <c r="F6" s="109">
        <v>190</v>
      </c>
      <c r="G6" s="4">
        <v>35932</v>
      </c>
      <c r="H6" s="122">
        <f t="shared" ca="1" si="0"/>
        <v>22.4</v>
      </c>
      <c r="I6" t="s">
        <v>1542</v>
      </c>
      <c r="J6" s="3">
        <v>4</v>
      </c>
      <c r="K6" s="110">
        <v>2017</v>
      </c>
      <c r="L6" s="110">
        <v>21</v>
      </c>
      <c r="M6" s="2" t="s">
        <v>1543</v>
      </c>
      <c r="N6" s="2" t="s">
        <v>247</v>
      </c>
      <c r="O6" s="2" t="s">
        <v>2099</v>
      </c>
      <c r="P6" s="11">
        <v>3944013</v>
      </c>
      <c r="Q6" s="50">
        <f>P6*3</f>
        <v>11832039</v>
      </c>
      <c r="R6" s="12"/>
      <c r="S6" s="12"/>
      <c r="T6" s="12"/>
      <c r="W6" t="s">
        <v>1544</v>
      </c>
      <c r="X6" s="69">
        <v>3</v>
      </c>
      <c r="Y6" s="69">
        <v>50</v>
      </c>
      <c r="Z6" s="65">
        <f>30/50</f>
        <v>0.6</v>
      </c>
      <c r="AA6" s="122">
        <v>107.9</v>
      </c>
      <c r="AB6" s="122">
        <v>110.8</v>
      </c>
      <c r="AC6" s="122">
        <f t="shared" si="1"/>
        <v>-2.8999999999999915</v>
      </c>
      <c r="AD6" s="122">
        <v>23.4</v>
      </c>
      <c r="AE6" s="122">
        <v>4.0999999999999996</v>
      </c>
      <c r="AF6" s="65">
        <v>0.504</v>
      </c>
      <c r="AG6" s="122">
        <v>9</v>
      </c>
      <c r="AH6" s="122">
        <v>-0.1</v>
      </c>
      <c r="AI6" s="122">
        <v>0.8</v>
      </c>
      <c r="AJ6" s="65">
        <v>2.7E-2</v>
      </c>
      <c r="AK6" s="122">
        <v>-4.5</v>
      </c>
      <c r="AL6" s="122">
        <v>0.3</v>
      </c>
      <c r="AM6" s="122">
        <v>-0.6</v>
      </c>
      <c r="AN6" s="122">
        <v>1</v>
      </c>
    </row>
    <row r="7" spans="1:44" x14ac:dyDescent="0.2">
      <c r="A7" s="110">
        <v>7</v>
      </c>
      <c r="B7" s="3" t="s">
        <v>1545</v>
      </c>
      <c r="C7" s="3" t="s">
        <v>236</v>
      </c>
      <c r="D7" s="108">
        <v>68</v>
      </c>
      <c r="E7" s="108">
        <v>70</v>
      </c>
      <c r="F7" s="109">
        <v>208</v>
      </c>
      <c r="G7" s="4">
        <v>36689</v>
      </c>
      <c r="H7" s="122">
        <f t="shared" ca="1" si="0"/>
        <v>20.3</v>
      </c>
      <c r="I7" t="s">
        <v>1546</v>
      </c>
      <c r="J7" s="3">
        <v>2</v>
      </c>
      <c r="K7" s="110">
        <v>2019</v>
      </c>
      <c r="L7" s="110">
        <v>23</v>
      </c>
      <c r="M7" s="2" t="s">
        <v>1547</v>
      </c>
      <c r="N7" s="2" t="s">
        <v>247</v>
      </c>
      <c r="O7" s="9" t="s">
        <v>2100</v>
      </c>
      <c r="P7" s="11">
        <v>2399160</v>
      </c>
      <c r="Q7" s="51">
        <v>2513040</v>
      </c>
      <c r="R7" s="51">
        <v>4264629</v>
      </c>
      <c r="S7" s="50">
        <f>R7*3</f>
        <v>12793887</v>
      </c>
      <c r="T7" s="3"/>
      <c r="W7" s="135" t="s">
        <v>1548</v>
      </c>
      <c r="X7" s="69">
        <v>4</v>
      </c>
      <c r="Y7" s="69">
        <v>53</v>
      </c>
      <c r="Z7" s="65">
        <f>32/53</f>
        <v>0.60377358490566035</v>
      </c>
      <c r="AA7" s="122">
        <v>98.3</v>
      </c>
      <c r="AB7" s="122">
        <v>101.6</v>
      </c>
      <c r="AC7" s="122">
        <f t="shared" si="1"/>
        <v>-3.2999999999999972</v>
      </c>
      <c r="AD7" s="122">
        <v>17.2</v>
      </c>
      <c r="AE7" s="122">
        <v>8.1</v>
      </c>
      <c r="AF7" s="65">
        <v>0.47499999999999998</v>
      </c>
      <c r="AG7" s="122">
        <v>14.1</v>
      </c>
      <c r="AH7" s="122">
        <v>-0.8</v>
      </c>
      <c r="AI7" s="122">
        <v>1.2</v>
      </c>
      <c r="AJ7" s="65">
        <v>1.9E-2</v>
      </c>
      <c r="AK7" s="122">
        <v>-3.1</v>
      </c>
      <c r="AL7" s="122">
        <v>0.6</v>
      </c>
      <c r="AM7" s="122">
        <v>-0.1</v>
      </c>
      <c r="AN7" s="122">
        <v>7.7</v>
      </c>
    </row>
    <row r="8" spans="1:44" x14ac:dyDescent="0.2">
      <c r="A8" s="110">
        <v>33</v>
      </c>
      <c r="B8" s="3" t="s">
        <v>129</v>
      </c>
      <c r="C8" s="3" t="s">
        <v>236</v>
      </c>
      <c r="D8" s="108">
        <v>610</v>
      </c>
      <c r="E8" s="108">
        <v>71</v>
      </c>
      <c r="F8" s="109">
        <v>240</v>
      </c>
      <c r="G8" s="4">
        <v>33420</v>
      </c>
      <c r="H8" s="122">
        <f t="shared" ca="1" si="0"/>
        <v>29.3</v>
      </c>
      <c r="I8" t="s">
        <v>1549</v>
      </c>
      <c r="J8" s="3">
        <v>8</v>
      </c>
      <c r="K8" s="110">
        <v>2013</v>
      </c>
      <c r="L8" s="110">
        <v>44</v>
      </c>
      <c r="M8" s="2" t="s">
        <v>721</v>
      </c>
      <c r="N8" s="2" t="s">
        <v>282</v>
      </c>
      <c r="O8" s="201" t="s">
        <v>735</v>
      </c>
      <c r="P8" s="48">
        <v>2283034</v>
      </c>
      <c r="Q8" s="14">
        <v>1856061</v>
      </c>
      <c r="R8" s="12"/>
      <c r="S8" s="12"/>
      <c r="T8" s="12"/>
      <c r="W8" t="s">
        <v>575</v>
      </c>
      <c r="X8" s="69">
        <v>5</v>
      </c>
      <c r="Y8" s="69">
        <v>41</v>
      </c>
      <c r="Z8" s="65">
        <f>23/41</f>
        <v>0.56097560975609762</v>
      </c>
      <c r="AA8" s="122">
        <v>102.3</v>
      </c>
      <c r="AB8" s="122">
        <v>104.9</v>
      </c>
      <c r="AC8" s="122">
        <f t="shared" si="1"/>
        <v>-2.6000000000000085</v>
      </c>
      <c r="AD8" s="122">
        <v>12</v>
      </c>
      <c r="AE8" s="122">
        <v>12.2</v>
      </c>
      <c r="AF8" s="65">
        <v>0.56000000000000005</v>
      </c>
      <c r="AG8" s="122">
        <v>16.399999999999999</v>
      </c>
      <c r="AH8" s="122">
        <v>0.5</v>
      </c>
      <c r="AI8" s="122">
        <v>0.5</v>
      </c>
      <c r="AJ8" s="65">
        <v>0.10199999999999999</v>
      </c>
      <c r="AK8" s="122">
        <v>-0.1</v>
      </c>
      <c r="AL8" s="122">
        <v>-0.1</v>
      </c>
      <c r="AM8" s="122">
        <v>0.2</v>
      </c>
      <c r="AN8" s="122">
        <v>8.1999999999999993</v>
      </c>
    </row>
    <row r="9" spans="1:44" x14ac:dyDescent="0.2">
      <c r="A9" s="110">
        <v>11</v>
      </c>
      <c r="B9" s="3" t="s">
        <v>131</v>
      </c>
      <c r="C9" s="3" t="s">
        <v>244</v>
      </c>
      <c r="D9" s="108">
        <v>65</v>
      </c>
      <c r="E9" s="108">
        <v>71</v>
      </c>
      <c r="F9" s="109">
        <v>225</v>
      </c>
      <c r="G9" s="4">
        <v>34237</v>
      </c>
      <c r="H9" s="122">
        <f t="shared" ca="1" si="0"/>
        <v>27</v>
      </c>
      <c r="I9" t="s">
        <v>230</v>
      </c>
      <c r="J9" s="3">
        <v>4</v>
      </c>
      <c r="K9" s="110">
        <v>2016</v>
      </c>
      <c r="L9" s="110">
        <v>58</v>
      </c>
      <c r="M9" s="2" t="s">
        <v>1551</v>
      </c>
      <c r="N9" s="2" t="s">
        <v>1552</v>
      </c>
      <c r="O9" s="201" t="s">
        <v>391</v>
      </c>
      <c r="P9" s="49">
        <v>1752950</v>
      </c>
      <c r="Q9" s="14">
        <v>1856061</v>
      </c>
      <c r="R9" s="12"/>
      <c r="S9" s="12"/>
      <c r="T9" s="12"/>
      <c r="W9" t="s">
        <v>1553</v>
      </c>
      <c r="X9" s="69">
        <v>3</v>
      </c>
      <c r="Y9" s="69">
        <v>48</v>
      </c>
      <c r="Z9" s="65">
        <f>33/48</f>
        <v>0.6875</v>
      </c>
      <c r="AA9" s="122">
        <v>100.6</v>
      </c>
      <c r="AB9" s="122">
        <v>103.9</v>
      </c>
      <c r="AC9" s="122">
        <f t="shared" si="1"/>
        <v>-3.3000000000000114</v>
      </c>
      <c r="AD9" s="122">
        <v>15.8</v>
      </c>
      <c r="AE9" s="122">
        <v>11.2</v>
      </c>
      <c r="AF9" s="65">
        <v>0.57999999999999996</v>
      </c>
      <c r="AG9" s="122">
        <v>16.5</v>
      </c>
      <c r="AH9" s="122">
        <v>0.4</v>
      </c>
      <c r="AI9" s="122">
        <v>0.7</v>
      </c>
      <c r="AJ9" s="65">
        <v>7.1999999999999995E-2</v>
      </c>
      <c r="AK9" s="122">
        <v>-1.1000000000000001</v>
      </c>
      <c r="AL9" s="122">
        <v>0.2</v>
      </c>
      <c r="AM9" s="122">
        <v>0.2</v>
      </c>
      <c r="AN9" s="122">
        <v>7.1</v>
      </c>
    </row>
    <row r="10" spans="1:44" x14ac:dyDescent="0.2">
      <c r="A10" s="110">
        <v>6</v>
      </c>
      <c r="B10" s="3" t="s">
        <v>132</v>
      </c>
      <c r="C10" s="3" t="s">
        <v>255</v>
      </c>
      <c r="D10" s="108">
        <v>65</v>
      </c>
      <c r="E10" s="108">
        <v>611</v>
      </c>
      <c r="F10" s="109">
        <v>202</v>
      </c>
      <c r="G10" s="4">
        <v>36007</v>
      </c>
      <c r="H10" s="122">
        <f t="shared" ca="1" si="0"/>
        <v>22.2</v>
      </c>
      <c r="I10" t="s">
        <v>270</v>
      </c>
      <c r="J10" s="3">
        <v>3</v>
      </c>
      <c r="K10" s="110">
        <v>2018</v>
      </c>
      <c r="L10" s="110">
        <v>45</v>
      </c>
      <c r="M10" s="2" t="s">
        <v>1559</v>
      </c>
      <c r="N10" s="2" t="s">
        <v>521</v>
      </c>
      <c r="O10" s="201" t="s">
        <v>526</v>
      </c>
      <c r="P10" s="43">
        <v>1663861</v>
      </c>
      <c r="Q10" s="50">
        <v>2122822</v>
      </c>
      <c r="R10" s="12"/>
      <c r="S10" s="12"/>
      <c r="T10" s="12"/>
      <c r="W10" t="s">
        <v>1560</v>
      </c>
      <c r="X10" s="69">
        <v>3</v>
      </c>
      <c r="Y10" s="69">
        <v>38</v>
      </c>
      <c r="Z10" s="65">
        <f>21/38</f>
        <v>0.55263157894736847</v>
      </c>
      <c r="AA10" s="122">
        <v>104.3</v>
      </c>
      <c r="AB10" s="122">
        <v>102.4</v>
      </c>
      <c r="AC10" s="122">
        <f t="shared" si="1"/>
        <v>1.8999999999999915</v>
      </c>
      <c r="AD10" s="122">
        <v>18.399999999999999</v>
      </c>
      <c r="AE10" s="122">
        <v>8.4</v>
      </c>
      <c r="AF10" s="65">
        <v>0.48799999999999999</v>
      </c>
      <c r="AG10" s="122">
        <v>17.399999999999999</v>
      </c>
      <c r="AH10" s="122">
        <v>-0.6</v>
      </c>
      <c r="AI10" s="122">
        <v>0.8</v>
      </c>
      <c r="AJ10" s="65">
        <v>1.4E-2</v>
      </c>
      <c r="AK10" s="122">
        <v>-5</v>
      </c>
      <c r="AL10" s="122">
        <v>0.3</v>
      </c>
      <c r="AM10" s="122">
        <v>-0.5</v>
      </c>
      <c r="AN10" s="122">
        <v>5.3</v>
      </c>
    </row>
    <row r="11" spans="1:44" x14ac:dyDescent="0.2">
      <c r="A11" s="110">
        <v>30</v>
      </c>
      <c r="B11" s="3" t="s">
        <v>133</v>
      </c>
      <c r="C11" s="3" t="s">
        <v>244</v>
      </c>
      <c r="D11" s="108">
        <v>64</v>
      </c>
      <c r="E11" s="108">
        <v>70</v>
      </c>
      <c r="F11" s="109">
        <v>240</v>
      </c>
      <c r="G11" s="4">
        <v>34365</v>
      </c>
      <c r="H11" s="122">
        <f t="shared" ca="1" si="0"/>
        <v>26.7</v>
      </c>
      <c r="I11" t="s">
        <v>1561</v>
      </c>
      <c r="J11" s="3">
        <v>3</v>
      </c>
      <c r="K11" s="110">
        <v>2017</v>
      </c>
      <c r="L11" s="141"/>
      <c r="M11" s="2" t="s">
        <v>1562</v>
      </c>
      <c r="N11" s="2" t="s">
        <v>282</v>
      </c>
      <c r="O11" s="201" t="s">
        <v>1273</v>
      </c>
      <c r="P11" s="49">
        <v>1663861</v>
      </c>
      <c r="Q11" s="50">
        <v>2122822</v>
      </c>
      <c r="R11" s="12"/>
      <c r="S11" s="12"/>
      <c r="T11" s="12"/>
      <c r="W11" s="159" t="s">
        <v>1563</v>
      </c>
      <c r="X11" s="69">
        <v>3</v>
      </c>
      <c r="Y11" s="69">
        <v>34</v>
      </c>
      <c r="Z11" s="65">
        <f>20/34</f>
        <v>0.58823529411764708</v>
      </c>
      <c r="AA11" s="122">
        <v>93.2</v>
      </c>
      <c r="AB11" s="122">
        <v>105.2</v>
      </c>
      <c r="AC11" s="122">
        <f t="shared" si="1"/>
        <v>-12</v>
      </c>
      <c r="AD11" s="122">
        <v>8.4</v>
      </c>
      <c r="AE11" s="122">
        <v>5.9</v>
      </c>
      <c r="AF11" s="65">
        <v>0.42599999999999999</v>
      </c>
      <c r="AG11" s="122">
        <v>19.3</v>
      </c>
      <c r="AH11" s="122">
        <v>-0.6</v>
      </c>
      <c r="AI11" s="122">
        <v>0.3</v>
      </c>
      <c r="AJ11" s="65">
        <v>-4.5999999999999999E-2</v>
      </c>
      <c r="AK11" s="122">
        <v>-5.5</v>
      </c>
      <c r="AL11" s="122">
        <v>-0.4</v>
      </c>
      <c r="AM11" s="122">
        <v>-0.3</v>
      </c>
      <c r="AN11" s="122">
        <v>4.3</v>
      </c>
    </row>
    <row r="12" spans="1:44" x14ac:dyDescent="0.2">
      <c r="A12" s="110">
        <v>5</v>
      </c>
      <c r="B12" s="3" t="s">
        <v>1564</v>
      </c>
      <c r="C12" s="3" t="s">
        <v>255</v>
      </c>
      <c r="D12" s="108">
        <v>63</v>
      </c>
      <c r="E12" s="108">
        <v>69</v>
      </c>
      <c r="F12" s="109">
        <v>215</v>
      </c>
      <c r="G12" s="4">
        <v>36269</v>
      </c>
      <c r="H12" s="122">
        <f t="shared" ca="1" si="0"/>
        <v>21.5</v>
      </c>
      <c r="I12" t="s">
        <v>959</v>
      </c>
      <c r="J12" s="3">
        <v>2</v>
      </c>
      <c r="K12" s="110">
        <v>2019</v>
      </c>
      <c r="L12" s="110"/>
      <c r="M12" s="2" t="s">
        <v>433</v>
      </c>
      <c r="N12" s="2" t="s">
        <v>521</v>
      </c>
      <c r="O12" s="2" t="s">
        <v>2101</v>
      </c>
      <c r="P12" s="58">
        <v>1517981</v>
      </c>
      <c r="Q12" s="57">
        <v>1782621</v>
      </c>
      <c r="R12" s="59">
        <v>1930861</v>
      </c>
      <c r="S12" s="52">
        <v>2046307</v>
      </c>
      <c r="T12" s="12"/>
      <c r="W12" s="159" t="s">
        <v>1565</v>
      </c>
      <c r="X12" s="69">
        <v>3</v>
      </c>
      <c r="Y12" s="69">
        <v>29</v>
      </c>
      <c r="Z12" s="65">
        <f>22/29</f>
        <v>0.75862068965517238</v>
      </c>
      <c r="AA12" s="122">
        <v>112.5</v>
      </c>
      <c r="AB12" s="122">
        <v>107.8</v>
      </c>
      <c r="AC12" s="122">
        <f t="shared" si="1"/>
        <v>4.7000000000000028</v>
      </c>
      <c r="AD12" s="122">
        <v>22</v>
      </c>
      <c r="AE12" s="122">
        <v>7.3</v>
      </c>
      <c r="AF12" s="65">
        <v>0.52100000000000002</v>
      </c>
      <c r="AG12" s="122">
        <v>13</v>
      </c>
      <c r="AH12" s="122">
        <v>0.2</v>
      </c>
      <c r="AI12" s="122">
        <v>0.5</v>
      </c>
      <c r="AJ12" s="65">
        <v>5.1999999999999998E-2</v>
      </c>
      <c r="AK12" s="122">
        <v>-4.3</v>
      </c>
      <c r="AL12" s="122">
        <v>0.4</v>
      </c>
      <c r="AM12" s="122">
        <v>-0.3</v>
      </c>
      <c r="AN12" s="122">
        <v>3.1</v>
      </c>
    </row>
    <row r="13" spans="1:44" x14ac:dyDescent="0.2">
      <c r="A13" s="110">
        <v>9</v>
      </c>
      <c r="B13" s="3" t="s">
        <v>1554</v>
      </c>
      <c r="C13" s="3" t="s">
        <v>236</v>
      </c>
      <c r="D13" s="108">
        <v>68</v>
      </c>
      <c r="E13" s="108">
        <v>71</v>
      </c>
      <c r="F13" s="109">
        <v>230</v>
      </c>
      <c r="G13" s="4">
        <v>35829</v>
      </c>
      <c r="H13" s="122">
        <f t="shared" ca="1" si="0"/>
        <v>22.7</v>
      </c>
      <c r="I13" t="s">
        <v>1555</v>
      </c>
      <c r="J13" s="3">
        <v>2</v>
      </c>
      <c r="K13" s="110">
        <v>2019</v>
      </c>
      <c r="L13" s="110">
        <v>45</v>
      </c>
      <c r="M13" s="2" t="s">
        <v>1556</v>
      </c>
      <c r="N13" s="2" t="s">
        <v>1557</v>
      </c>
      <c r="O13" s="2" t="s">
        <v>2102</v>
      </c>
      <c r="P13" s="11">
        <v>1517981</v>
      </c>
      <c r="Q13" s="15">
        <v>1782621</v>
      </c>
      <c r="R13" s="49">
        <v>1930681</v>
      </c>
      <c r="S13" s="14">
        <v>2046307</v>
      </c>
      <c r="T13" s="12"/>
      <c r="W13" s="135" t="s">
        <v>1558</v>
      </c>
      <c r="X13" s="69">
        <v>4</v>
      </c>
      <c r="Y13" s="69">
        <v>3</v>
      </c>
      <c r="Z13" s="65">
        <f>2/3</f>
        <v>0.66666666666666663</v>
      </c>
      <c r="AA13" s="122">
        <v>88.5</v>
      </c>
      <c r="AB13" s="122">
        <v>100</v>
      </c>
      <c r="AC13" s="122">
        <f t="shared" si="1"/>
        <v>-11.5</v>
      </c>
      <c r="AD13" s="122">
        <v>3.8</v>
      </c>
      <c r="AE13" s="122"/>
      <c r="AF13" s="65"/>
      <c r="AG13" s="122"/>
      <c r="AH13" s="122"/>
      <c r="AI13" s="122"/>
      <c r="AJ13" s="65"/>
      <c r="AK13" s="122"/>
      <c r="AL13" s="122"/>
      <c r="AM13" s="122"/>
      <c r="AN13" s="122"/>
    </row>
    <row r="14" spans="1:44" x14ac:dyDescent="0.2">
      <c r="B14" s="3" t="s">
        <v>297</v>
      </c>
      <c r="C14" s="60"/>
      <c r="D14" s="60"/>
      <c r="E14" s="60"/>
      <c r="F14" s="60"/>
      <c r="G14" s="60"/>
      <c r="J14" s="2"/>
      <c r="K14" s="2"/>
      <c r="L14" s="2"/>
      <c r="M14" s="2"/>
      <c r="N14" s="2"/>
      <c r="O14" s="2"/>
      <c r="P14" s="61">
        <f>999200+737067</f>
        <v>1736267</v>
      </c>
      <c r="Q14" s="61">
        <f>999200+737067</f>
        <v>1736267</v>
      </c>
      <c r="R14" s="61">
        <f>999200</f>
        <v>999200</v>
      </c>
      <c r="X14" s="69"/>
      <c r="Y14" s="69"/>
      <c r="Z14" s="65"/>
      <c r="AA14" s="122"/>
      <c r="AB14" s="122"/>
      <c r="AC14" s="122"/>
      <c r="AD14" s="122"/>
      <c r="AE14" s="122"/>
      <c r="AF14" s="65"/>
      <c r="AG14" s="122"/>
      <c r="AH14" s="122"/>
      <c r="AI14" s="122"/>
      <c r="AJ14" s="65"/>
      <c r="AK14" s="122"/>
      <c r="AL14" s="122"/>
      <c r="AM14" s="122"/>
    </row>
    <row r="15" spans="1:44" x14ac:dyDescent="0.2">
      <c r="B15" s="2" t="s">
        <v>1570</v>
      </c>
      <c r="J15" s="2"/>
      <c r="K15" s="2"/>
      <c r="L15" s="2"/>
      <c r="M15" s="2"/>
      <c r="N15" s="2"/>
      <c r="O15" s="197"/>
      <c r="P15" s="11">
        <v>2105520</v>
      </c>
      <c r="Q15" s="11">
        <v>2210640</v>
      </c>
      <c r="R15" s="51">
        <v>2316240</v>
      </c>
      <c r="S15" s="51">
        <v>4171548</v>
      </c>
      <c r="T15" s="50">
        <f>S15*3</f>
        <v>12514644</v>
      </c>
      <c r="U15" t="s">
        <v>2164</v>
      </c>
      <c r="X15" s="69"/>
      <c r="Y15" s="69"/>
      <c r="Z15" s="65"/>
      <c r="AA15" s="122"/>
      <c r="AB15" s="122"/>
      <c r="AC15" s="122"/>
      <c r="AD15" s="122"/>
      <c r="AE15" s="122"/>
      <c r="AF15" s="65"/>
      <c r="AG15" s="122"/>
      <c r="AH15" s="122"/>
      <c r="AI15" s="122"/>
      <c r="AJ15" s="65"/>
      <c r="AK15" s="122"/>
      <c r="AL15" s="122"/>
      <c r="AM15" s="122"/>
    </row>
    <row r="16" spans="1:44" x14ac:dyDescent="0.2">
      <c r="B16" s="2" t="s">
        <v>2200</v>
      </c>
      <c r="G16" s="62"/>
      <c r="J16" s="2"/>
      <c r="K16" s="2"/>
      <c r="L16" s="2"/>
      <c r="M16" s="2"/>
      <c r="N16" s="9"/>
      <c r="O16" s="197"/>
      <c r="P16" s="189">
        <v>898310</v>
      </c>
      <c r="X16" s="137"/>
      <c r="Y16" s="137"/>
      <c r="Z16" s="127"/>
      <c r="AF16" s="127"/>
      <c r="AJ16" s="127"/>
    </row>
    <row r="17" spans="1:40" x14ac:dyDescent="0.2">
      <c r="B17" s="2"/>
      <c r="G17" s="62"/>
      <c r="J17" s="2"/>
      <c r="K17" s="2"/>
      <c r="L17" s="2"/>
      <c r="M17" s="2"/>
      <c r="N17" s="9"/>
      <c r="O17" s="197"/>
      <c r="P17" s="189"/>
      <c r="X17" s="137"/>
      <c r="Y17" s="137"/>
      <c r="Z17" s="127"/>
      <c r="AF17" s="127"/>
      <c r="AJ17" s="127"/>
    </row>
    <row r="18" spans="1:40" x14ac:dyDescent="0.2">
      <c r="A18" s="110">
        <v>8</v>
      </c>
      <c r="B18" s="3" t="s">
        <v>127</v>
      </c>
      <c r="C18" s="3" t="s">
        <v>236</v>
      </c>
      <c r="D18" s="108">
        <v>610</v>
      </c>
      <c r="E18" s="108">
        <v>71</v>
      </c>
      <c r="F18" s="109">
        <v>233</v>
      </c>
      <c r="G18" s="4">
        <v>32363</v>
      </c>
      <c r="H18" s="122">
        <f t="shared" ref="H18:H22" ca="1" si="2">ROUNDDOWN(YEARFRAC($G$24,G18),1)</f>
        <v>32.200000000000003</v>
      </c>
      <c r="I18" t="s">
        <v>1528</v>
      </c>
      <c r="J18" s="3">
        <v>13</v>
      </c>
      <c r="K18" s="110">
        <v>2008</v>
      </c>
      <c r="L18" s="110">
        <v>6</v>
      </c>
      <c r="M18" s="2" t="s">
        <v>1529</v>
      </c>
      <c r="N18" s="2" t="s">
        <v>1530</v>
      </c>
      <c r="O18" s="2"/>
      <c r="P18" s="14">
        <v>33923339</v>
      </c>
      <c r="Q18" s="12"/>
      <c r="R18" s="12"/>
      <c r="S18" s="12"/>
      <c r="T18" s="12"/>
      <c r="W18" t="s">
        <v>1531</v>
      </c>
      <c r="X18" s="69">
        <v>4</v>
      </c>
      <c r="Y18" s="69">
        <v>55</v>
      </c>
      <c r="Z18" s="65">
        <f>33/55</f>
        <v>0.6</v>
      </c>
      <c r="AA18" s="122">
        <v>116.8</v>
      </c>
      <c r="AB18" s="122">
        <v>111.8</v>
      </c>
      <c r="AC18" s="122">
        <f t="shared" ref="AC18:AC22" si="3">AA18-AB18</f>
        <v>5</v>
      </c>
      <c r="AD18" s="122">
        <v>30.7</v>
      </c>
      <c r="AE18" s="122">
        <v>19.399999999999999</v>
      </c>
      <c r="AF18" s="65">
        <v>0.61099999999999999</v>
      </c>
      <c r="AG18" s="122">
        <v>24.4</v>
      </c>
      <c r="AH18" s="122">
        <v>4.0999999999999996</v>
      </c>
      <c r="AI18" s="122">
        <v>1.6</v>
      </c>
      <c r="AJ18" s="65">
        <v>0.16300000000000001</v>
      </c>
      <c r="AK18" s="122">
        <v>4.0999999999999996</v>
      </c>
      <c r="AL18" s="122">
        <v>-0.9</v>
      </c>
      <c r="AM18" s="122">
        <v>2.2000000000000002</v>
      </c>
      <c r="AN18" s="122">
        <v>13</v>
      </c>
    </row>
    <row r="19" spans="1:40" x14ac:dyDescent="0.2">
      <c r="A19" s="110">
        <v>21</v>
      </c>
      <c r="B19" s="3" t="s">
        <v>128</v>
      </c>
      <c r="C19" s="3" t="s">
        <v>255</v>
      </c>
      <c r="D19" s="108">
        <v>67</v>
      </c>
      <c r="E19" s="108">
        <v>611</v>
      </c>
      <c r="F19" s="109">
        <v>210</v>
      </c>
      <c r="G19" s="4">
        <v>33576</v>
      </c>
      <c r="H19" s="122">
        <f t="shared" ca="1" si="2"/>
        <v>28.8</v>
      </c>
      <c r="I19" t="s">
        <v>429</v>
      </c>
      <c r="J19" s="3">
        <v>8</v>
      </c>
      <c r="K19" s="110">
        <v>2013</v>
      </c>
      <c r="L19" s="110">
        <v>26</v>
      </c>
      <c r="M19" s="2" t="s">
        <v>1536</v>
      </c>
      <c r="N19" s="2" t="s">
        <v>1</v>
      </c>
      <c r="O19" s="2"/>
      <c r="P19" s="14">
        <v>16111110</v>
      </c>
      <c r="Q19" s="12"/>
      <c r="R19" s="12"/>
      <c r="S19" s="12"/>
      <c r="T19" s="12"/>
      <c r="W19" t="s">
        <v>1537</v>
      </c>
      <c r="X19" s="69">
        <v>2</v>
      </c>
      <c r="Y19" s="69">
        <v>39</v>
      </c>
      <c r="Z19" s="65">
        <f>24/39</f>
        <v>0.61538461538461542</v>
      </c>
      <c r="AA19" s="122">
        <v>106.7</v>
      </c>
      <c r="AB19" s="122">
        <v>97.3</v>
      </c>
      <c r="AC19" s="122">
        <f t="shared" si="3"/>
        <v>9.4000000000000057</v>
      </c>
      <c r="AD19" s="122">
        <v>26.6</v>
      </c>
      <c r="AE19" s="122">
        <v>10.9</v>
      </c>
      <c r="AF19" s="65">
        <v>0.54300000000000004</v>
      </c>
      <c r="AG19" s="122">
        <v>8.6</v>
      </c>
      <c r="AH19" s="122">
        <v>0.8</v>
      </c>
      <c r="AI19" s="122">
        <v>1.3</v>
      </c>
      <c r="AJ19" s="65">
        <v>0.1</v>
      </c>
      <c r="AK19" s="122">
        <v>-1.9</v>
      </c>
      <c r="AL19" s="122">
        <v>1.8</v>
      </c>
      <c r="AM19" s="122">
        <v>0.5</v>
      </c>
      <c r="AN19" s="122">
        <v>6.5</v>
      </c>
    </row>
    <row r="20" spans="1:40" x14ac:dyDescent="0.2">
      <c r="A20" s="110">
        <v>9</v>
      </c>
      <c r="B20" s="3" t="s">
        <v>130</v>
      </c>
      <c r="C20" s="3" t="s">
        <v>236</v>
      </c>
      <c r="D20" s="108">
        <v>610</v>
      </c>
      <c r="E20" s="108">
        <v>74</v>
      </c>
      <c r="F20" s="109">
        <v>220</v>
      </c>
      <c r="G20" s="4">
        <v>34434</v>
      </c>
      <c r="H20" s="122">
        <f t="shared" ca="1" si="2"/>
        <v>26.5</v>
      </c>
      <c r="I20" t="s">
        <v>270</v>
      </c>
      <c r="J20" s="3">
        <v>8</v>
      </c>
      <c r="K20" s="110">
        <v>2013</v>
      </c>
      <c r="L20" s="110">
        <v>6</v>
      </c>
      <c r="M20" s="2" t="s">
        <v>1032</v>
      </c>
      <c r="N20" s="2" t="s">
        <v>282</v>
      </c>
      <c r="O20" s="2"/>
      <c r="P20" s="14">
        <v>1707576</v>
      </c>
      <c r="Q20" s="12"/>
      <c r="R20" s="12"/>
      <c r="S20" s="12"/>
      <c r="T20" s="12"/>
      <c r="W20" s="135" t="s">
        <v>1550</v>
      </c>
      <c r="X20" s="69">
        <v>5</v>
      </c>
      <c r="Y20" s="69">
        <v>55</v>
      </c>
      <c r="Z20" s="65">
        <f>35/55</f>
        <v>0.63636363636363635</v>
      </c>
      <c r="AA20" s="122">
        <v>107.5</v>
      </c>
      <c r="AB20" s="122">
        <v>105.7</v>
      </c>
      <c r="AC20" s="122">
        <f t="shared" si="3"/>
        <v>1.7999999999999972</v>
      </c>
      <c r="AD20" s="122">
        <v>18.399999999999999</v>
      </c>
      <c r="AE20" s="122">
        <v>21.7</v>
      </c>
      <c r="AF20" s="65">
        <v>0.71399999999999997</v>
      </c>
      <c r="AG20" s="122">
        <v>15.3</v>
      </c>
      <c r="AH20" s="122">
        <v>2.7</v>
      </c>
      <c r="AI20" s="122">
        <v>2.1</v>
      </c>
      <c r="AJ20" s="65">
        <v>0.22500000000000001</v>
      </c>
      <c r="AK20" s="122">
        <v>0.5</v>
      </c>
      <c r="AL20" s="122">
        <v>3.4</v>
      </c>
      <c r="AM20" s="122">
        <v>1.5</v>
      </c>
      <c r="AN20" s="122">
        <v>13.2</v>
      </c>
    </row>
    <row r="21" spans="1:40" x14ac:dyDescent="0.2">
      <c r="A21" s="110">
        <v>15</v>
      </c>
      <c r="B21" s="3" t="s">
        <v>1566</v>
      </c>
      <c r="C21" s="3" t="s">
        <v>236</v>
      </c>
      <c r="D21" s="108">
        <v>69</v>
      </c>
      <c r="E21" s="108">
        <v>74</v>
      </c>
      <c r="F21" s="109">
        <v>230</v>
      </c>
      <c r="G21" s="4">
        <v>35255</v>
      </c>
      <c r="H21" s="122">
        <f t="shared" ca="1" si="2"/>
        <v>24.2</v>
      </c>
      <c r="I21" t="s">
        <v>1567</v>
      </c>
      <c r="J21" s="3">
        <v>2</v>
      </c>
      <c r="K21" s="110">
        <v>2018</v>
      </c>
      <c r="L21" s="110">
        <v>57</v>
      </c>
      <c r="M21" s="3" t="s">
        <v>1568</v>
      </c>
      <c r="N21" s="2" t="s">
        <v>295</v>
      </c>
      <c r="O21" s="2"/>
      <c r="P21" s="68">
        <v>1445697</v>
      </c>
      <c r="Q21" s="12"/>
      <c r="R21" s="12"/>
      <c r="S21" s="12"/>
      <c r="T21" s="12"/>
      <c r="W21" s="159" t="s">
        <v>1569</v>
      </c>
      <c r="X21" s="69">
        <v>5</v>
      </c>
      <c r="Y21" s="69">
        <v>7</v>
      </c>
      <c r="Z21" s="65">
        <f>3/7</f>
        <v>0.42857142857142855</v>
      </c>
      <c r="AA21" s="122">
        <v>73.3</v>
      </c>
      <c r="AB21" s="122">
        <v>86.7</v>
      </c>
      <c r="AC21" s="122">
        <f t="shared" si="3"/>
        <v>-13.400000000000006</v>
      </c>
      <c r="AD21" s="122">
        <v>2.8</v>
      </c>
      <c r="AE21" s="122"/>
      <c r="AF21" s="65"/>
      <c r="AG21" s="122"/>
      <c r="AH21" s="122"/>
      <c r="AI21" s="122"/>
      <c r="AJ21" s="65"/>
      <c r="AK21" s="122"/>
      <c r="AL21" s="122"/>
      <c r="AM21" s="122"/>
      <c r="AN21" s="122"/>
    </row>
    <row r="22" spans="1:40" x14ac:dyDescent="0.2">
      <c r="A22" s="110">
        <v>14</v>
      </c>
      <c r="B22" s="3" t="s">
        <v>2058</v>
      </c>
      <c r="C22" s="3" t="s">
        <v>255</v>
      </c>
      <c r="D22" s="108">
        <v>65</v>
      </c>
      <c r="E22" s="108">
        <v>68</v>
      </c>
      <c r="F22" s="109">
        <v>215</v>
      </c>
      <c r="G22" s="4">
        <v>34887</v>
      </c>
      <c r="H22" s="122">
        <f t="shared" ca="1" si="2"/>
        <v>25.2</v>
      </c>
      <c r="I22" t="s">
        <v>2059</v>
      </c>
      <c r="J22" s="3">
        <v>2</v>
      </c>
      <c r="K22" s="110">
        <v>2018</v>
      </c>
      <c r="L22" s="110">
        <v>53</v>
      </c>
      <c r="M22" s="3" t="s">
        <v>2060</v>
      </c>
      <c r="N22" s="2" t="s">
        <v>295</v>
      </c>
      <c r="O22" s="2"/>
      <c r="P22" s="68">
        <v>1445697</v>
      </c>
      <c r="Q22" s="12"/>
      <c r="R22" s="12"/>
      <c r="S22" s="12"/>
      <c r="T22" s="12"/>
      <c r="W22" s="159"/>
      <c r="X22" s="69"/>
      <c r="Y22" s="69">
        <v>5</v>
      </c>
      <c r="Z22" s="65">
        <f>3/5</f>
        <v>0.6</v>
      </c>
      <c r="AA22" s="122">
        <v>134.9</v>
      </c>
      <c r="AB22" s="122">
        <v>88.4</v>
      </c>
      <c r="AC22" s="122">
        <f t="shared" si="3"/>
        <v>46.5</v>
      </c>
      <c r="AD22" s="122">
        <v>3.9</v>
      </c>
      <c r="AE22" s="122"/>
      <c r="AF22" s="65"/>
      <c r="AG22" s="122"/>
      <c r="AH22" s="122"/>
      <c r="AI22" s="122"/>
      <c r="AJ22" s="65"/>
      <c r="AK22" s="122"/>
      <c r="AL22" s="122"/>
      <c r="AM22" s="122"/>
      <c r="AN22" s="122"/>
    </row>
    <row r="23" spans="1:40" x14ac:dyDescent="0.2">
      <c r="A23" s="110"/>
      <c r="B23" s="3"/>
      <c r="C23" s="3"/>
      <c r="D23" s="108"/>
      <c r="E23" s="108"/>
      <c r="F23" s="109"/>
      <c r="G23" s="4"/>
      <c r="H23" s="122"/>
      <c r="J23" s="3"/>
      <c r="K23" s="110"/>
      <c r="L23" s="110"/>
      <c r="M23" s="2"/>
      <c r="N23" s="2"/>
      <c r="O23" s="2"/>
      <c r="P23" s="16"/>
      <c r="Q23" s="12"/>
      <c r="R23" s="12"/>
      <c r="S23" s="12"/>
      <c r="T23" s="12"/>
      <c r="W23" s="135"/>
      <c r="X23" s="69"/>
      <c r="Y23" s="69"/>
      <c r="Z23" s="65"/>
      <c r="AA23" s="122"/>
      <c r="AB23" s="122"/>
      <c r="AC23" s="122"/>
      <c r="AD23" s="122"/>
      <c r="AE23" s="122"/>
      <c r="AF23" s="65"/>
      <c r="AG23" s="122"/>
      <c r="AH23" s="122"/>
      <c r="AI23" s="122"/>
      <c r="AJ23" s="65"/>
      <c r="AK23" s="122"/>
      <c r="AL23" s="122"/>
      <c r="AM23" s="122"/>
      <c r="AN23" s="122"/>
    </row>
    <row r="24" spans="1:40" x14ac:dyDescent="0.2">
      <c r="G24" s="62">
        <f ca="1">TODAY()</f>
        <v>44128</v>
      </c>
      <c r="H24" s="63">
        <f ca="1">AVERAGE(H2:H13)</f>
        <v>25.333333333333332</v>
      </c>
      <c r="J24" s="36">
        <f>AVERAGE(J2:J13)</f>
        <v>5.25</v>
      </c>
      <c r="K24" s="2"/>
      <c r="L24" s="2"/>
      <c r="M24" s="2"/>
      <c r="N24" s="9"/>
      <c r="O24" s="9"/>
      <c r="X24" s="137"/>
      <c r="Y24" s="137"/>
      <c r="Z24" s="127"/>
      <c r="AF24" s="127"/>
    </row>
    <row r="25" spans="1:40" x14ac:dyDescent="0.2">
      <c r="H25" s="63">
        <f ca="1">MEDIAN(H2:H13)</f>
        <v>24.7</v>
      </c>
      <c r="J25" s="69">
        <f>MEDIAN(J2:J13)</f>
        <v>3.5</v>
      </c>
      <c r="P25" s="64">
        <f>P2+P3+P4+P5+P6+P7+P12+P13+P14+P15</f>
        <v>101749144</v>
      </c>
      <c r="X25" s="137"/>
      <c r="Y25" s="137"/>
      <c r="Z25" s="127"/>
      <c r="AF25" s="127"/>
    </row>
    <row r="26" spans="1:40" x14ac:dyDescent="0.2">
      <c r="B26" s="209" t="s">
        <v>2224</v>
      </c>
      <c r="C26" s="4"/>
      <c r="O26" s="7"/>
      <c r="P26" s="64">
        <f>P2+P3+P4+P5+P6+P7+P8+P12+P13+P14+P15</f>
        <v>104032178</v>
      </c>
      <c r="X26" s="137"/>
      <c r="Y26" s="137"/>
      <c r="Z26" s="127"/>
    </row>
    <row r="27" spans="1:40" x14ac:dyDescent="0.2">
      <c r="B27" s="3" t="s">
        <v>2085</v>
      </c>
      <c r="C27" s="219">
        <v>8</v>
      </c>
      <c r="J27" s="4"/>
      <c r="K27" s="3"/>
      <c r="P27" s="124">
        <f>P2+P3+P4+P5+P6+P7+P8+P9+P10+P12+P13+P14+P15</f>
        <v>107448989</v>
      </c>
      <c r="X27" s="137"/>
      <c r="Y27" s="137"/>
      <c r="Z27" s="127"/>
    </row>
    <row r="28" spans="1:40" x14ac:dyDescent="0.2">
      <c r="B28" s="3" t="s">
        <v>2088</v>
      </c>
      <c r="C28" s="219">
        <v>4</v>
      </c>
      <c r="D28" s="62"/>
      <c r="I28" s="209"/>
      <c r="J28" s="4"/>
      <c r="K28" s="186"/>
      <c r="N28" s="192"/>
      <c r="P28" s="124"/>
      <c r="X28" s="137"/>
      <c r="Y28" s="137"/>
      <c r="Z28" s="127"/>
    </row>
    <row r="29" spans="1:40" x14ac:dyDescent="0.2">
      <c r="B29" s="3" t="s">
        <v>2086</v>
      </c>
      <c r="C29" s="220">
        <v>2</v>
      </c>
      <c r="D29" s="62"/>
      <c r="I29" s="3"/>
      <c r="J29" s="219"/>
      <c r="K29" s="186"/>
      <c r="O29" s="3" t="s">
        <v>300</v>
      </c>
      <c r="P29" s="58">
        <v>109140000</v>
      </c>
      <c r="Z29" s="127"/>
    </row>
    <row r="30" spans="1:40" x14ac:dyDescent="0.2">
      <c r="B30" s="3" t="s">
        <v>2219</v>
      </c>
      <c r="C30" t="s">
        <v>2354</v>
      </c>
      <c r="D30" s="62"/>
      <c r="I30" s="3"/>
      <c r="J30" s="219"/>
      <c r="K30" s="186"/>
      <c r="O30" s="22" t="s">
        <v>302</v>
      </c>
      <c r="P30" s="11">
        <v>132627000</v>
      </c>
      <c r="Z30" s="127"/>
    </row>
    <row r="31" spans="1:40" x14ac:dyDescent="0.2">
      <c r="B31" s="3" t="s">
        <v>301</v>
      </c>
      <c r="C31" s="61">
        <v>0</v>
      </c>
      <c r="D31" s="62"/>
      <c r="I31" s="3"/>
      <c r="J31" s="220"/>
      <c r="O31" s="22"/>
      <c r="Z31" s="127"/>
    </row>
    <row r="32" spans="1:40" x14ac:dyDescent="0.2">
      <c r="B32" s="3" t="s">
        <v>303</v>
      </c>
      <c r="C32" s="61">
        <v>0</v>
      </c>
      <c r="D32" s="62"/>
      <c r="I32" s="3"/>
      <c r="O32" s="22"/>
      <c r="Z32" s="127"/>
    </row>
    <row r="33" spans="2:26" x14ac:dyDescent="0.2">
      <c r="B33" s="3"/>
      <c r="D33" s="62"/>
      <c r="I33" s="3"/>
      <c r="J33" s="61"/>
      <c r="O33" s="22"/>
      <c r="Z33" s="127"/>
    </row>
    <row r="34" spans="2:26" x14ac:dyDescent="0.2">
      <c r="B34" s="5" t="s">
        <v>2084</v>
      </c>
      <c r="C34" s="60"/>
      <c r="I34" s="3"/>
      <c r="J34" s="61"/>
    </row>
    <row r="35" spans="2:26" x14ac:dyDescent="0.2">
      <c r="B35" s="3" t="s">
        <v>304</v>
      </c>
      <c r="C35" s="65">
        <f>44/(44+28)</f>
        <v>0.61111111111111116</v>
      </c>
      <c r="D35" t="s">
        <v>826</v>
      </c>
      <c r="I35" s="3"/>
    </row>
    <row r="36" spans="2:26" x14ac:dyDescent="0.2">
      <c r="B36" s="3" t="s">
        <v>306</v>
      </c>
      <c r="C36" s="122">
        <v>110.1</v>
      </c>
      <c r="D36" t="s">
        <v>2225</v>
      </c>
      <c r="I36" s="5"/>
    </row>
    <row r="37" spans="2:26" x14ac:dyDescent="0.2">
      <c r="B37" s="3" t="s">
        <v>307</v>
      </c>
      <c r="C37" s="122">
        <v>108.1</v>
      </c>
      <c r="D37" t="s">
        <v>2218</v>
      </c>
      <c r="I37" s="3"/>
    </row>
    <row r="38" spans="2:26" x14ac:dyDescent="0.2">
      <c r="B38" s="3" t="s">
        <v>308</v>
      </c>
      <c r="C38" s="122">
        <f>C36-C37</f>
        <v>2</v>
      </c>
      <c r="D38" s="60" t="s">
        <v>2315</v>
      </c>
      <c r="I38" s="3"/>
    </row>
    <row r="39" spans="2:26" x14ac:dyDescent="0.2">
      <c r="B39" s="3" t="s">
        <v>309</v>
      </c>
      <c r="C39" s="60">
        <v>99.42</v>
      </c>
      <c r="D39" s="60" t="s">
        <v>2306</v>
      </c>
      <c r="I39" s="3"/>
    </row>
    <row r="40" spans="2:26" x14ac:dyDescent="0.2">
      <c r="C40" s="60"/>
    </row>
    <row r="41" spans="2:26" x14ac:dyDescent="0.2">
      <c r="B41" s="2" t="s">
        <v>310</v>
      </c>
    </row>
    <row r="42" spans="2:26" x14ac:dyDescent="0.2">
      <c r="B42" s="2" t="s">
        <v>1572</v>
      </c>
    </row>
    <row r="43" spans="2:26" x14ac:dyDescent="0.2">
      <c r="B43" s="2" t="s">
        <v>1573</v>
      </c>
    </row>
    <row r="44" spans="2:26" x14ac:dyDescent="0.2">
      <c r="B44" s="2" t="s">
        <v>1574</v>
      </c>
    </row>
    <row r="45" spans="2:26" x14ac:dyDescent="0.2">
      <c r="B45" s="2" t="s">
        <v>1575</v>
      </c>
    </row>
    <row r="46" spans="2:26" x14ac:dyDescent="0.2">
      <c r="B46" s="2" t="s">
        <v>1576</v>
      </c>
    </row>
    <row r="47" spans="2:26" x14ac:dyDescent="0.2">
      <c r="B47" s="2" t="s">
        <v>1577</v>
      </c>
    </row>
    <row r="48" spans="2:26" x14ac:dyDescent="0.2">
      <c r="B48" s="2" t="s">
        <v>1578</v>
      </c>
    </row>
    <row r="49" spans="2:9" x14ac:dyDescent="0.2">
      <c r="B49" s="2" t="s">
        <v>1579</v>
      </c>
    </row>
    <row r="50" spans="2:9" x14ac:dyDescent="0.2">
      <c r="B50" s="2" t="s">
        <v>1580</v>
      </c>
    </row>
    <row r="51" spans="2:9" x14ac:dyDescent="0.2">
      <c r="B51" s="2" t="s">
        <v>1581</v>
      </c>
    </row>
    <row r="52" spans="2:9" x14ac:dyDescent="0.2">
      <c r="B52" s="10"/>
    </row>
    <row r="53" spans="2:9" x14ac:dyDescent="0.2">
      <c r="B53" s="2" t="s">
        <v>318</v>
      </c>
    </row>
    <row r="54" spans="2:9" x14ac:dyDescent="0.2">
      <c r="B54" s="2" t="s">
        <v>1582</v>
      </c>
    </row>
    <row r="55" spans="2:9" x14ac:dyDescent="0.2">
      <c r="B55" s="2"/>
    </row>
    <row r="56" spans="2:9" x14ac:dyDescent="0.2">
      <c r="B56" s="152" t="s">
        <v>2339</v>
      </c>
    </row>
    <row r="57" spans="2:9" x14ac:dyDescent="0.2">
      <c r="B57" s="37" t="s">
        <v>322</v>
      </c>
      <c r="C57" s="60">
        <v>44</v>
      </c>
      <c r="D57" s="60">
        <v>28</v>
      </c>
      <c r="E57" t="s">
        <v>826</v>
      </c>
      <c r="G57" t="s">
        <v>1571</v>
      </c>
      <c r="I57" t="s">
        <v>2391</v>
      </c>
    </row>
    <row r="58" spans="2:9" x14ac:dyDescent="0.2">
      <c r="B58" s="37" t="s">
        <v>325</v>
      </c>
      <c r="C58" s="60">
        <v>49</v>
      </c>
      <c r="D58" s="60">
        <v>33</v>
      </c>
      <c r="E58" t="s">
        <v>760</v>
      </c>
      <c r="G58" t="s">
        <v>1571</v>
      </c>
      <c r="I58" t="s">
        <v>1583</v>
      </c>
    </row>
    <row r="59" spans="2:9" x14ac:dyDescent="0.2">
      <c r="B59" s="37" t="s">
        <v>327</v>
      </c>
      <c r="C59" s="60">
        <v>48</v>
      </c>
      <c r="D59" s="60">
        <v>34</v>
      </c>
      <c r="E59" t="s">
        <v>1006</v>
      </c>
      <c r="G59" t="s">
        <v>1571</v>
      </c>
      <c r="I59" t="s">
        <v>1584</v>
      </c>
    </row>
    <row r="60" spans="2:9" x14ac:dyDescent="0.2">
      <c r="B60" s="37" t="s">
        <v>330</v>
      </c>
      <c r="C60" s="60">
        <v>47</v>
      </c>
      <c r="D60" s="60">
        <v>35</v>
      </c>
      <c r="E60" t="s">
        <v>760</v>
      </c>
      <c r="G60" t="s">
        <v>1571</v>
      </c>
      <c r="I60" t="s">
        <v>762</v>
      </c>
    </row>
    <row r="61" spans="2:9" x14ac:dyDescent="0.2">
      <c r="B61" s="37" t="s">
        <v>333</v>
      </c>
      <c r="C61" s="60">
        <v>55</v>
      </c>
      <c r="D61" s="60">
        <v>27</v>
      </c>
      <c r="E61" t="s">
        <v>767</v>
      </c>
      <c r="G61" t="s">
        <v>1571</v>
      </c>
      <c r="I61" t="s">
        <v>1585</v>
      </c>
    </row>
    <row r="62" spans="2:9" x14ac:dyDescent="0.2">
      <c r="B62" s="37" t="s">
        <v>336</v>
      </c>
      <c r="C62" s="60">
        <v>45</v>
      </c>
      <c r="D62" s="60">
        <v>37</v>
      </c>
      <c r="E62" t="s">
        <v>819</v>
      </c>
      <c r="G62" t="s">
        <v>1586</v>
      </c>
      <c r="I62" s="144" t="s">
        <v>324</v>
      </c>
    </row>
    <row r="63" spans="2:9" x14ac:dyDescent="0.2">
      <c r="B63" s="37" t="s">
        <v>339</v>
      </c>
      <c r="C63" s="60">
        <v>59</v>
      </c>
      <c r="D63" s="60">
        <v>23</v>
      </c>
      <c r="E63" t="s">
        <v>817</v>
      </c>
      <c r="G63" t="s">
        <v>1586</v>
      </c>
      <c r="I63" t="s">
        <v>1587</v>
      </c>
    </row>
    <row r="64" spans="2:9" x14ac:dyDescent="0.2">
      <c r="B64" s="37" t="s">
        <v>342</v>
      </c>
      <c r="C64" s="60">
        <v>60</v>
      </c>
      <c r="D64" s="60">
        <v>22</v>
      </c>
      <c r="E64" t="s">
        <v>943</v>
      </c>
      <c r="G64" t="s">
        <v>1586</v>
      </c>
      <c r="I64" t="s">
        <v>1588</v>
      </c>
    </row>
    <row r="65" spans="2:9" x14ac:dyDescent="0.2">
      <c r="B65" s="37" t="s">
        <v>346</v>
      </c>
      <c r="C65" s="60">
        <v>49</v>
      </c>
      <c r="D65" s="60">
        <v>17</v>
      </c>
      <c r="E65" t="s">
        <v>817</v>
      </c>
      <c r="G65" t="s">
        <v>1586</v>
      </c>
      <c r="I65" t="s">
        <v>1589</v>
      </c>
    </row>
    <row r="66" spans="2:9" x14ac:dyDescent="0.2">
      <c r="B66" s="37" t="s">
        <v>348</v>
      </c>
      <c r="C66" s="60">
        <v>55</v>
      </c>
      <c r="D66" s="60">
        <v>27</v>
      </c>
      <c r="E66" t="s">
        <v>1006</v>
      </c>
      <c r="G66" t="s">
        <v>1586</v>
      </c>
      <c r="I66" t="s">
        <v>1590</v>
      </c>
    </row>
    <row r="67" spans="2:9" x14ac:dyDescent="0.2">
      <c r="B67" t="s">
        <v>350</v>
      </c>
      <c r="C67" s="69">
        <f>SUM(C57:C66)</f>
        <v>511</v>
      </c>
      <c r="D67" s="69">
        <f>SUM(D57:D66)</f>
        <v>283</v>
      </c>
      <c r="E67" s="65">
        <f>C67/(C67+D67)</f>
        <v>0.64357682619647361</v>
      </c>
    </row>
  </sheetData>
  <hyperlinks>
    <hyperlink ref="B57" r:id="rId1" xr:uid="{8B2E9F20-46CB-D644-874F-AAB4E42E0F29}"/>
    <hyperlink ref="B58" r:id="rId2" xr:uid="{7E8AED1C-E854-8D4E-821A-D15AA34998CF}"/>
    <hyperlink ref="B59" r:id="rId3" xr:uid="{2269C6E3-9654-C847-9268-ECF7F3DC5572}"/>
    <hyperlink ref="B60" r:id="rId4" xr:uid="{6D4D9A2F-2A19-C646-9CD7-43D7D02ACED2}"/>
    <hyperlink ref="B61" r:id="rId5" xr:uid="{ACC2CE53-2BB0-1E43-8483-CF83AE644F85}"/>
    <hyperlink ref="B62" r:id="rId6" xr:uid="{37A5B86E-C6FE-E549-82DC-32C2B0D2355F}"/>
    <hyperlink ref="B63" r:id="rId7" xr:uid="{63F3FABC-F978-0249-A2F1-7AE1B0BC02FF}"/>
    <hyperlink ref="B64" r:id="rId8" xr:uid="{31D33A1D-0D11-3B45-9408-5E63A4F8045B}"/>
    <hyperlink ref="B65" r:id="rId9" xr:uid="{84246D61-184C-0E48-857F-5A0604EF8ECE}"/>
    <hyperlink ref="B66" r:id="rId10" xr:uid="{B4B223F5-CB45-6949-9310-8CCE7850B952}"/>
  </hyperlinks>
  <pageMargins left="0.7" right="0.7" top="0.75" bottom="0.75" header="0.3" footer="0.3"/>
  <legacyDrawing r:id="rId1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1BD01-E261-B843-A6FD-B13904D217E4}">
  <dimension ref="A1:AR59"/>
  <sheetViews>
    <sheetView zoomScaleNormal="100" workbookViewId="0">
      <selection sqref="A1:AR1"/>
    </sheetView>
  </sheetViews>
  <sheetFormatPr baseColWidth="10" defaultColWidth="11" defaultRowHeight="16" x14ac:dyDescent="0.2"/>
  <cols>
    <col min="1" max="1" width="3" customWidth="1"/>
    <col min="2" max="2" width="19.83203125" customWidth="1"/>
    <col min="3" max="3" width="12.5" customWidth="1"/>
    <col min="4" max="4" width="8" customWidth="1"/>
    <col min="6" max="6" width="7.83203125" customWidth="1"/>
    <col min="7" max="7" width="9.33203125" customWidth="1"/>
    <col min="8" max="8" width="5.83203125" customWidth="1"/>
    <col min="9" max="9" width="22.5" customWidth="1"/>
    <col min="10" max="10" width="11.1640625" customWidth="1"/>
    <col min="11" max="11" width="11.33203125" customWidth="1"/>
    <col min="12" max="12" width="4.83203125" customWidth="1"/>
    <col min="13" max="13" width="24.5" customWidth="1"/>
    <col min="14" max="14" width="15.1640625" customWidth="1"/>
    <col min="15" max="15" width="37.83203125" customWidth="1"/>
    <col min="16" max="16" width="13.33203125" bestFit="1" customWidth="1"/>
    <col min="17" max="18" width="12.1640625" customWidth="1"/>
    <col min="19" max="19" width="12" customWidth="1"/>
    <col min="20" max="20" width="12.1640625" customWidth="1"/>
    <col min="21" max="21" width="10" customWidth="1"/>
    <col min="22" max="22" width="109.1640625" customWidth="1"/>
    <col min="23" max="23" width="25.33203125" customWidth="1"/>
    <col min="24" max="24" width="9.83203125" customWidth="1"/>
    <col min="25" max="25" width="3.83203125" customWidth="1"/>
    <col min="26" max="26" width="7.83203125" customWidth="1"/>
    <col min="27" max="27" width="6.1640625" customWidth="1"/>
    <col min="28" max="28" width="5.83203125" customWidth="1"/>
    <col min="29" max="29" width="7.1640625" customWidth="1"/>
    <col min="30" max="30" width="5.1640625" customWidth="1"/>
    <col min="31" max="31" width="5.5" customWidth="1"/>
    <col min="32" max="32" width="6.1640625" customWidth="1"/>
    <col min="33" max="33" width="7.6640625" customWidth="1"/>
    <col min="34" max="34" width="5.33203125" customWidth="1"/>
    <col min="35" max="35" width="5.1640625" customWidth="1"/>
    <col min="36" max="37" width="6.6640625" customWidth="1"/>
    <col min="38" max="38" width="6.1640625" customWidth="1"/>
    <col min="39" max="39" width="5.83203125" customWidth="1"/>
    <col min="40" max="40" width="5.1640625" customWidth="1"/>
  </cols>
  <sheetData>
    <row r="1" spans="1:44" x14ac:dyDescent="0.2">
      <c r="A1" s="223" t="s">
        <v>2394</v>
      </c>
      <c r="B1" s="223" t="s">
        <v>2395</v>
      </c>
      <c r="C1" s="223" t="s">
        <v>2396</v>
      </c>
      <c r="D1" s="223" t="s">
        <v>2397</v>
      </c>
      <c r="E1" s="223" t="s">
        <v>2398</v>
      </c>
      <c r="F1" s="223" t="s">
        <v>2399</v>
      </c>
      <c r="G1" s="223" t="s">
        <v>2400</v>
      </c>
      <c r="H1" s="223" t="s">
        <v>2401</v>
      </c>
      <c r="I1" s="223" t="s">
        <v>2402</v>
      </c>
      <c r="J1" s="223" t="s">
        <v>2403</v>
      </c>
      <c r="K1" s="223" t="s">
        <v>2404</v>
      </c>
      <c r="L1" s="223" t="s">
        <v>2405</v>
      </c>
      <c r="M1" s="223" t="s">
        <v>2406</v>
      </c>
      <c r="N1" s="223" t="s">
        <v>2407</v>
      </c>
      <c r="O1" s="223" t="s">
        <v>2408</v>
      </c>
      <c r="P1" s="223" t="s">
        <v>2409</v>
      </c>
      <c r="Q1" s="223" t="s">
        <v>2410</v>
      </c>
      <c r="R1" s="223" t="s">
        <v>2411</v>
      </c>
      <c r="S1" s="223" t="s">
        <v>2412</v>
      </c>
      <c r="T1" s="223" t="s">
        <v>2413</v>
      </c>
      <c r="U1" s="223" t="s">
        <v>2414</v>
      </c>
      <c r="V1" s="223" t="s">
        <v>2415</v>
      </c>
      <c r="W1" s="223" t="s">
        <v>2416</v>
      </c>
      <c r="X1" s="223" t="s">
        <v>2433</v>
      </c>
      <c r="Y1" s="223" t="s">
        <v>2417</v>
      </c>
      <c r="Z1" s="223" t="s">
        <v>2418</v>
      </c>
      <c r="AA1" s="223" t="s">
        <v>2419</v>
      </c>
      <c r="AB1" s="223" t="s">
        <v>2420</v>
      </c>
      <c r="AC1" s="223" t="s">
        <v>2421</v>
      </c>
      <c r="AD1" s="223" t="s">
        <v>2422</v>
      </c>
      <c r="AE1" s="223" t="s">
        <v>2423</v>
      </c>
      <c r="AF1" s="223" t="s">
        <v>2424</v>
      </c>
      <c r="AG1" s="223" t="s">
        <v>2425</v>
      </c>
      <c r="AH1" s="223" t="s">
        <v>2426</v>
      </c>
      <c r="AI1" s="223" t="s">
        <v>2427</v>
      </c>
      <c r="AJ1" s="223" t="s">
        <v>2428</v>
      </c>
      <c r="AK1" s="223" t="s">
        <v>2429</v>
      </c>
      <c r="AL1" s="223" t="s">
        <v>2430</v>
      </c>
      <c r="AM1" s="223" t="s">
        <v>2431</v>
      </c>
      <c r="AN1" s="223" t="s">
        <v>2432</v>
      </c>
      <c r="AO1" s="224"/>
      <c r="AP1" s="225"/>
      <c r="AQ1" s="6"/>
      <c r="AR1" s="6"/>
    </row>
    <row r="2" spans="1:44" x14ac:dyDescent="0.2">
      <c r="A2" s="3">
        <v>9</v>
      </c>
      <c r="B2" s="3" t="s">
        <v>1591</v>
      </c>
      <c r="C2" s="2" t="s">
        <v>236</v>
      </c>
      <c r="D2" s="145">
        <v>611</v>
      </c>
      <c r="E2" s="145">
        <v>75</v>
      </c>
      <c r="F2" s="146">
        <v>260</v>
      </c>
      <c r="G2" s="4">
        <v>33174</v>
      </c>
      <c r="H2" s="113">
        <f t="shared" ref="H2:H12" ca="1" si="0">ROUNDDOWN(YEARFRAC($G$25,G2),1)</f>
        <v>29.9</v>
      </c>
      <c r="I2" s="3" t="s">
        <v>226</v>
      </c>
      <c r="J2" s="3">
        <v>10</v>
      </c>
      <c r="K2" s="3">
        <v>2011</v>
      </c>
      <c r="L2" s="3">
        <v>16</v>
      </c>
      <c r="M2" s="3" t="s">
        <v>1592</v>
      </c>
      <c r="N2" s="3" t="s">
        <v>1</v>
      </c>
      <c r="O2" s="3" t="s">
        <v>2331</v>
      </c>
      <c r="P2" s="11">
        <v>26000000</v>
      </c>
      <c r="Q2" s="11">
        <v>24000000</v>
      </c>
      <c r="R2" s="11">
        <v>22000000</v>
      </c>
      <c r="S2" s="14">
        <f>R2*1.5</f>
        <v>33000000</v>
      </c>
      <c r="T2" s="3"/>
      <c r="U2" s="3"/>
      <c r="V2" s="3"/>
      <c r="W2" s="5" t="s">
        <v>240</v>
      </c>
      <c r="X2" s="110">
        <v>5</v>
      </c>
      <c r="Y2" s="69">
        <v>54</v>
      </c>
      <c r="Z2" s="65">
        <f>25/54</f>
        <v>0.46296296296296297</v>
      </c>
      <c r="AA2" s="122">
        <v>109.4</v>
      </c>
      <c r="AB2" s="122">
        <v>109.8</v>
      </c>
      <c r="AC2" s="122">
        <f t="shared" ref="AC2:AC12" si="1">AA2-AB2</f>
        <v>-0.39999999999999147</v>
      </c>
      <c r="AD2" s="122">
        <v>32.6</v>
      </c>
      <c r="AE2" s="122">
        <v>21.6</v>
      </c>
      <c r="AF2" s="65">
        <v>0.54</v>
      </c>
      <c r="AG2" s="122">
        <v>25.8</v>
      </c>
      <c r="AH2" s="122">
        <v>2.9</v>
      </c>
      <c r="AI2" s="122">
        <v>2.6</v>
      </c>
      <c r="AJ2" s="65">
        <v>0.15</v>
      </c>
      <c r="AK2" s="122">
        <v>3.4</v>
      </c>
      <c r="AL2" s="122">
        <v>0.6</v>
      </c>
      <c r="AM2" s="122">
        <v>2.7</v>
      </c>
      <c r="AN2" s="122">
        <v>14.9</v>
      </c>
    </row>
    <row r="3" spans="1:44" x14ac:dyDescent="0.2">
      <c r="A3" s="3">
        <v>0</v>
      </c>
      <c r="B3" s="3" t="s">
        <v>212</v>
      </c>
      <c r="C3" s="2" t="s">
        <v>244</v>
      </c>
      <c r="D3" s="145">
        <v>68</v>
      </c>
      <c r="E3" s="145">
        <v>70</v>
      </c>
      <c r="F3" s="146">
        <v>235</v>
      </c>
      <c r="G3" s="4">
        <v>34958</v>
      </c>
      <c r="H3" s="113">
        <f t="shared" ca="1" si="0"/>
        <v>25.1</v>
      </c>
      <c r="I3" s="3" t="s">
        <v>537</v>
      </c>
      <c r="J3" s="3">
        <v>7</v>
      </c>
      <c r="K3" s="3">
        <v>2014</v>
      </c>
      <c r="L3" s="3">
        <v>4</v>
      </c>
      <c r="M3" s="3" t="s">
        <v>1593</v>
      </c>
      <c r="N3" s="3" t="s">
        <v>1</v>
      </c>
      <c r="O3" s="3" t="s">
        <v>2332</v>
      </c>
      <c r="P3" s="11">
        <v>18136364</v>
      </c>
      <c r="Q3" s="11">
        <v>16409091</v>
      </c>
      <c r="R3" s="14">
        <f>Q3*1.5</f>
        <v>24613636.5</v>
      </c>
      <c r="S3" s="3"/>
      <c r="T3" s="3"/>
      <c r="U3" s="3"/>
      <c r="V3" s="3" t="s">
        <v>1594</v>
      </c>
      <c r="W3" s="3" t="s">
        <v>1595</v>
      </c>
      <c r="X3" s="110">
        <v>4</v>
      </c>
      <c r="Y3" s="69">
        <v>58</v>
      </c>
      <c r="Z3" s="65">
        <f>28/58</f>
        <v>0.48275862068965519</v>
      </c>
      <c r="AA3" s="122">
        <v>108.2</v>
      </c>
      <c r="AB3" s="122">
        <v>110.1</v>
      </c>
      <c r="AC3" s="122">
        <f t="shared" si="1"/>
        <v>-1.8999999999999915</v>
      </c>
      <c r="AD3" s="122">
        <v>33</v>
      </c>
      <c r="AE3" s="122">
        <v>14.8</v>
      </c>
      <c r="AF3" s="65">
        <v>0.51100000000000001</v>
      </c>
      <c r="AG3" s="122">
        <v>20.6</v>
      </c>
      <c r="AH3" s="122">
        <v>1.2</v>
      </c>
      <c r="AI3" s="122">
        <v>2.2000000000000002</v>
      </c>
      <c r="AJ3" s="65">
        <v>8.4000000000000005E-2</v>
      </c>
      <c r="AK3" s="122">
        <v>-0.3</v>
      </c>
      <c r="AL3" s="122">
        <v>0.1</v>
      </c>
      <c r="AM3" s="122">
        <v>0.8</v>
      </c>
      <c r="AN3" s="122">
        <v>10.1</v>
      </c>
    </row>
    <row r="4" spans="1:44" x14ac:dyDescent="0.2">
      <c r="A4" s="3">
        <v>10</v>
      </c>
      <c r="B4" s="3" t="s">
        <v>134</v>
      </c>
      <c r="C4" s="2" t="s">
        <v>255</v>
      </c>
      <c r="D4" s="145">
        <v>67</v>
      </c>
      <c r="E4" s="145">
        <v>68</v>
      </c>
      <c r="F4" s="146">
        <v>205</v>
      </c>
      <c r="G4" s="4">
        <v>33906</v>
      </c>
      <c r="H4" s="113">
        <f t="shared" ca="1" si="0"/>
        <v>27.9</v>
      </c>
      <c r="I4" s="3" t="s">
        <v>1596</v>
      </c>
      <c r="J4" s="3">
        <v>9</v>
      </c>
      <c r="K4" s="3">
        <v>2012</v>
      </c>
      <c r="L4" s="3">
        <v>20</v>
      </c>
      <c r="M4" s="3" t="s">
        <v>1597</v>
      </c>
      <c r="N4" s="3" t="s">
        <v>1</v>
      </c>
      <c r="O4" s="163" t="s">
        <v>1598</v>
      </c>
      <c r="P4" s="48">
        <v>17150000</v>
      </c>
      <c r="Q4" s="14">
        <f>P4*1.5</f>
        <v>25725000</v>
      </c>
      <c r="R4" s="3"/>
      <c r="S4" s="3"/>
      <c r="T4" s="3"/>
      <c r="U4" s="3"/>
      <c r="V4" s="3" t="s">
        <v>1599</v>
      </c>
      <c r="W4" s="3" t="s">
        <v>1600</v>
      </c>
      <c r="X4" s="110">
        <v>2</v>
      </c>
      <c r="Y4" s="69">
        <v>61</v>
      </c>
      <c r="Z4" s="65">
        <f>26/61</f>
        <v>0.42622950819672129</v>
      </c>
      <c r="AA4" s="122">
        <v>107</v>
      </c>
      <c r="AB4" s="122">
        <v>110</v>
      </c>
      <c r="AC4" s="122">
        <f t="shared" si="1"/>
        <v>-3</v>
      </c>
      <c r="AD4" s="122">
        <v>31.7</v>
      </c>
      <c r="AE4" s="122">
        <v>16.7</v>
      </c>
      <c r="AF4" s="65">
        <v>0.59899999999999998</v>
      </c>
      <c r="AG4" s="122">
        <v>24.2</v>
      </c>
      <c r="AH4" s="122">
        <v>2.7</v>
      </c>
      <c r="AI4" s="122">
        <v>1.7</v>
      </c>
      <c r="AJ4" s="65">
        <v>0.11</v>
      </c>
      <c r="AK4" s="122">
        <v>1.5</v>
      </c>
      <c r="AL4" s="122">
        <v>-0.3</v>
      </c>
      <c r="AM4" s="122">
        <v>1.6</v>
      </c>
      <c r="AN4" s="122">
        <v>9.9</v>
      </c>
    </row>
    <row r="5" spans="1:44" x14ac:dyDescent="0.2">
      <c r="A5" s="3">
        <v>31</v>
      </c>
      <c r="B5" s="3" t="s">
        <v>213</v>
      </c>
      <c r="C5" s="2" t="s">
        <v>255</v>
      </c>
      <c r="D5" s="145">
        <v>66</v>
      </c>
      <c r="E5" s="145">
        <v>67</v>
      </c>
      <c r="F5" s="146">
        <v>206</v>
      </c>
      <c r="G5" s="4">
        <v>33274</v>
      </c>
      <c r="H5" s="113">
        <f t="shared" ca="1" si="0"/>
        <v>29.7</v>
      </c>
      <c r="I5" s="3" t="s">
        <v>1389</v>
      </c>
      <c r="J5" s="3">
        <v>9</v>
      </c>
      <c r="K5" s="3">
        <v>2012</v>
      </c>
      <c r="L5" s="3">
        <v>8</v>
      </c>
      <c r="M5" s="3" t="s">
        <v>1601</v>
      </c>
      <c r="N5" s="3" t="s">
        <v>1</v>
      </c>
      <c r="O5" s="3" t="s">
        <v>2333</v>
      </c>
      <c r="P5" s="11">
        <v>13500000</v>
      </c>
      <c r="Q5" s="11">
        <v>12500000</v>
      </c>
      <c r="R5" s="11">
        <v>11500000</v>
      </c>
      <c r="S5" s="14">
        <f>R5*1.5</f>
        <v>17250000</v>
      </c>
      <c r="T5" s="3"/>
      <c r="U5" s="3"/>
      <c r="V5" s="3" t="s">
        <v>1594</v>
      </c>
      <c r="W5" s="3" t="s">
        <v>1602</v>
      </c>
      <c r="X5" s="110">
        <v>2</v>
      </c>
      <c r="Y5" s="69">
        <v>63</v>
      </c>
      <c r="Z5" s="65">
        <f>29/63</f>
        <v>0.46031746031746029</v>
      </c>
      <c r="AA5" s="122">
        <v>104.7</v>
      </c>
      <c r="AB5" s="122">
        <v>107.5</v>
      </c>
      <c r="AC5" s="122">
        <f t="shared" si="1"/>
        <v>-2.7999999999999972</v>
      </c>
      <c r="AD5" s="122">
        <v>27.3</v>
      </c>
      <c r="AE5" s="122">
        <v>14.2</v>
      </c>
      <c r="AF5" s="65">
        <v>0.54800000000000004</v>
      </c>
      <c r="AG5" s="122">
        <v>22.8</v>
      </c>
      <c r="AH5" s="122">
        <v>1</v>
      </c>
      <c r="AI5" s="122">
        <v>1.8</v>
      </c>
      <c r="AJ5" s="65">
        <v>0.08</v>
      </c>
      <c r="AK5" s="122">
        <v>0</v>
      </c>
      <c r="AL5" s="122">
        <v>-0.3</v>
      </c>
      <c r="AM5" s="122">
        <v>0.7</v>
      </c>
      <c r="AN5" s="122">
        <v>9.6999999999999993</v>
      </c>
    </row>
    <row r="6" spans="1:44" x14ac:dyDescent="0.2">
      <c r="A6" s="3">
        <v>20</v>
      </c>
      <c r="B6" s="3" t="s">
        <v>1603</v>
      </c>
      <c r="C6" s="2" t="s">
        <v>232</v>
      </c>
      <c r="D6" s="145">
        <v>63</v>
      </c>
      <c r="E6" s="145">
        <v>610</v>
      </c>
      <c r="F6" s="146">
        <v>209</v>
      </c>
      <c r="G6" s="4">
        <v>35944</v>
      </c>
      <c r="H6" s="113">
        <f t="shared" ca="1" si="0"/>
        <v>22.4</v>
      </c>
      <c r="I6" s="3" t="s">
        <v>1389</v>
      </c>
      <c r="J6" s="3">
        <v>4</v>
      </c>
      <c r="K6" s="3">
        <v>2017</v>
      </c>
      <c r="L6" s="3">
        <v>1</v>
      </c>
      <c r="M6" s="3" t="s">
        <v>1604</v>
      </c>
      <c r="N6" s="3" t="s">
        <v>1101</v>
      </c>
      <c r="O6" s="3" t="s">
        <v>2334</v>
      </c>
      <c r="P6" s="11">
        <v>12288697</v>
      </c>
      <c r="Q6" s="50">
        <f>P6*2.5</f>
        <v>30721742.5</v>
      </c>
      <c r="R6" s="3"/>
      <c r="S6" s="3"/>
      <c r="T6" s="3"/>
      <c r="U6" s="3"/>
      <c r="V6" s="3"/>
      <c r="W6" s="3" t="s">
        <v>1605</v>
      </c>
      <c r="X6" s="110">
        <v>1</v>
      </c>
      <c r="Y6" s="69">
        <v>64</v>
      </c>
      <c r="Z6" s="65">
        <f>30/64</f>
        <v>0.46875</v>
      </c>
      <c r="AA6" s="122">
        <v>108.5</v>
      </c>
      <c r="AB6" s="122">
        <v>110</v>
      </c>
      <c r="AC6" s="122">
        <f t="shared" si="1"/>
        <v>-1.5</v>
      </c>
      <c r="AD6" s="122">
        <v>28.3</v>
      </c>
      <c r="AE6" s="122">
        <v>14.4</v>
      </c>
      <c r="AF6" s="65">
        <v>0.52300000000000002</v>
      </c>
      <c r="AG6" s="122">
        <v>20.7</v>
      </c>
      <c r="AH6" s="122">
        <v>0.8</v>
      </c>
      <c r="AI6" s="122">
        <v>1.9</v>
      </c>
      <c r="AJ6" s="65">
        <v>7.0999999999999994E-2</v>
      </c>
      <c r="AK6" s="122">
        <v>-1.9</v>
      </c>
      <c r="AL6" s="122">
        <v>0.2</v>
      </c>
      <c r="AM6" s="122">
        <v>0.1</v>
      </c>
      <c r="AN6" s="122">
        <v>9.5</v>
      </c>
    </row>
    <row r="7" spans="1:44" x14ac:dyDescent="0.2">
      <c r="A7" s="3">
        <v>2</v>
      </c>
      <c r="B7" s="3" t="s">
        <v>1606</v>
      </c>
      <c r="C7" s="2" t="s">
        <v>244</v>
      </c>
      <c r="D7" s="145">
        <v>68</v>
      </c>
      <c r="E7" s="145">
        <v>73</v>
      </c>
      <c r="F7" s="146">
        <v>220</v>
      </c>
      <c r="G7" s="4">
        <v>33137</v>
      </c>
      <c r="H7" s="113">
        <f t="shared" ca="1" si="0"/>
        <v>30</v>
      </c>
      <c r="I7" s="3" t="s">
        <v>233</v>
      </c>
      <c r="J7" s="3">
        <v>11</v>
      </c>
      <c r="K7" s="3">
        <v>2010</v>
      </c>
      <c r="L7" s="3">
        <v>8</v>
      </c>
      <c r="M7" s="3" t="s">
        <v>433</v>
      </c>
      <c r="N7" s="3" t="s">
        <v>521</v>
      </c>
      <c r="O7" s="26" t="s">
        <v>2335</v>
      </c>
      <c r="P7" s="11">
        <v>9720900</v>
      </c>
      <c r="Q7" s="48">
        <v>10183800</v>
      </c>
      <c r="R7" s="14">
        <f>Q7*1.9</f>
        <v>19349220</v>
      </c>
      <c r="S7" s="3"/>
      <c r="T7" s="3"/>
      <c r="U7" s="3"/>
      <c r="V7" s="3"/>
      <c r="W7" s="3" t="s">
        <v>1607</v>
      </c>
      <c r="X7" s="110">
        <v>4</v>
      </c>
      <c r="Y7" s="69">
        <v>18</v>
      </c>
      <c r="Z7" s="65">
        <f>7/18</f>
        <v>0.3888888888888889</v>
      </c>
      <c r="AA7" s="122">
        <v>94.7</v>
      </c>
      <c r="AB7" s="122">
        <v>100.1</v>
      </c>
      <c r="AC7" s="122">
        <f t="shared" si="1"/>
        <v>-5.3999999999999915</v>
      </c>
      <c r="AD7" s="122">
        <v>21.1</v>
      </c>
      <c r="AE7" s="122">
        <v>7.6</v>
      </c>
      <c r="AF7" s="65">
        <v>0.39500000000000002</v>
      </c>
      <c r="AG7" s="122">
        <v>13.2</v>
      </c>
      <c r="AH7" s="122">
        <v>-0.4</v>
      </c>
      <c r="AI7" s="122">
        <v>0.5</v>
      </c>
      <c r="AJ7" s="65">
        <v>1.6E-2</v>
      </c>
      <c r="AK7" s="122">
        <v>-4.5</v>
      </c>
      <c r="AL7" s="122">
        <v>1.4</v>
      </c>
      <c r="AM7" s="122">
        <v>-0.1</v>
      </c>
      <c r="AN7" s="122">
        <v>6.3</v>
      </c>
    </row>
    <row r="8" spans="1:44" x14ac:dyDescent="0.2">
      <c r="A8" s="3">
        <v>1</v>
      </c>
      <c r="B8" s="3" t="s">
        <v>1609</v>
      </c>
      <c r="C8" s="2" t="s">
        <v>236</v>
      </c>
      <c r="D8" s="145">
        <v>611</v>
      </c>
      <c r="E8" s="145">
        <v>71</v>
      </c>
      <c r="F8" s="146">
        <v>230</v>
      </c>
      <c r="G8" s="4">
        <v>35706</v>
      </c>
      <c r="H8" s="113">
        <f t="shared" ca="1" si="0"/>
        <v>23</v>
      </c>
      <c r="I8" s="3" t="s">
        <v>519</v>
      </c>
      <c r="J8" s="3">
        <v>4</v>
      </c>
      <c r="K8" s="3">
        <v>2017</v>
      </c>
      <c r="L8" s="3">
        <v>6</v>
      </c>
      <c r="M8" s="3" t="s">
        <v>1610</v>
      </c>
      <c r="N8" s="3" t="s">
        <v>247</v>
      </c>
      <c r="O8" s="3" t="s">
        <v>2336</v>
      </c>
      <c r="P8" s="11">
        <v>7362566</v>
      </c>
      <c r="Q8" s="50">
        <f>P8*3</f>
        <v>22087698</v>
      </c>
      <c r="R8" s="3"/>
      <c r="S8" s="3"/>
      <c r="T8" s="3"/>
      <c r="U8" s="3"/>
      <c r="V8" s="3"/>
      <c r="W8" s="3" t="s">
        <v>1611</v>
      </c>
      <c r="X8" s="110">
        <v>3</v>
      </c>
      <c r="Y8" s="69">
        <v>32</v>
      </c>
      <c r="Z8" s="65">
        <f>13/32</f>
        <v>0.40625</v>
      </c>
      <c r="AA8" s="122">
        <v>105.5</v>
      </c>
      <c r="AB8" s="122">
        <v>105.2</v>
      </c>
      <c r="AC8" s="122">
        <f t="shared" si="1"/>
        <v>0.29999999999999716</v>
      </c>
      <c r="AD8" s="122">
        <v>29.7</v>
      </c>
      <c r="AE8" s="122">
        <v>16.899999999999999</v>
      </c>
      <c r="AF8" s="65">
        <v>0.54200000000000004</v>
      </c>
      <c r="AG8" s="122">
        <v>18.3</v>
      </c>
      <c r="AH8" s="122">
        <v>0.4</v>
      </c>
      <c r="AI8" s="122">
        <v>1.9</v>
      </c>
      <c r="AJ8" s="65">
        <v>0.114</v>
      </c>
      <c r="AK8" s="122">
        <v>-0.8</v>
      </c>
      <c r="AL8" s="122">
        <v>2.9</v>
      </c>
      <c r="AM8" s="122">
        <v>1</v>
      </c>
      <c r="AN8" s="122">
        <v>10.5</v>
      </c>
    </row>
    <row r="9" spans="1:44" x14ac:dyDescent="0.2">
      <c r="A9" s="3">
        <v>5</v>
      </c>
      <c r="B9" s="3" t="s">
        <v>1612</v>
      </c>
      <c r="C9" s="2" t="s">
        <v>236</v>
      </c>
      <c r="D9" s="145">
        <v>70</v>
      </c>
      <c r="E9" s="145">
        <v>710</v>
      </c>
      <c r="F9" s="146">
        <v>231</v>
      </c>
      <c r="G9" s="4">
        <v>35927</v>
      </c>
      <c r="H9" s="113">
        <f t="shared" ca="1" si="0"/>
        <v>22.4</v>
      </c>
      <c r="I9" s="3" t="s">
        <v>424</v>
      </c>
      <c r="J9" s="3">
        <v>3</v>
      </c>
      <c r="K9" s="3">
        <v>2018</v>
      </c>
      <c r="L9" s="3">
        <v>6</v>
      </c>
      <c r="M9" s="3" t="s">
        <v>1613</v>
      </c>
      <c r="N9" s="3" t="s">
        <v>247</v>
      </c>
      <c r="O9" s="3" t="s">
        <v>2337</v>
      </c>
      <c r="P9" s="11">
        <v>5969040</v>
      </c>
      <c r="Q9" s="51">
        <v>7568743</v>
      </c>
      <c r="R9" s="50">
        <f>Q9*3</f>
        <v>22706229</v>
      </c>
      <c r="S9" s="3"/>
      <c r="T9" s="3"/>
      <c r="U9" s="3"/>
      <c r="V9" s="3"/>
      <c r="W9" s="5" t="s">
        <v>240</v>
      </c>
      <c r="X9" s="110">
        <v>5</v>
      </c>
      <c r="Y9" s="69">
        <v>60</v>
      </c>
      <c r="Z9" s="65">
        <f>28/60</f>
        <v>0.46666666666666667</v>
      </c>
      <c r="AA9" s="122">
        <v>104.7</v>
      </c>
      <c r="AB9" s="122">
        <v>103</v>
      </c>
      <c r="AC9" s="122">
        <f t="shared" si="1"/>
        <v>1.7000000000000028</v>
      </c>
      <c r="AD9" s="122">
        <v>14.5</v>
      </c>
      <c r="AE9" s="122">
        <v>17.8</v>
      </c>
      <c r="AF9" s="65">
        <v>0.54900000000000004</v>
      </c>
      <c r="AG9" s="122">
        <v>17.2</v>
      </c>
      <c r="AH9" s="122">
        <v>0.9</v>
      </c>
      <c r="AI9" s="122">
        <v>1.7</v>
      </c>
      <c r="AJ9" s="65">
        <v>0.14000000000000001</v>
      </c>
      <c r="AK9" s="122">
        <v>-1.1000000000000001</v>
      </c>
      <c r="AL9" s="122">
        <v>1.7</v>
      </c>
      <c r="AM9" s="122">
        <v>0.6</v>
      </c>
      <c r="AN9" s="122">
        <v>11.7</v>
      </c>
    </row>
    <row r="10" spans="1:44" x14ac:dyDescent="0.2">
      <c r="A10" s="3">
        <v>24</v>
      </c>
      <c r="B10" s="3" t="s">
        <v>1614</v>
      </c>
      <c r="C10" s="2" t="s">
        <v>236</v>
      </c>
      <c r="D10" s="145">
        <v>69</v>
      </c>
      <c r="E10" s="145">
        <v>71</v>
      </c>
      <c r="F10" s="146">
        <v>220</v>
      </c>
      <c r="G10" s="4">
        <v>33875</v>
      </c>
      <c r="H10" s="113">
        <f t="shared" ca="1" si="0"/>
        <v>28</v>
      </c>
      <c r="I10" s="3" t="s">
        <v>1615</v>
      </c>
      <c r="J10" s="3">
        <v>4</v>
      </c>
      <c r="K10" s="3">
        <v>2014</v>
      </c>
      <c r="L10" s="3"/>
      <c r="M10" s="3" t="s">
        <v>1616</v>
      </c>
      <c r="N10" s="3" t="s">
        <v>5</v>
      </c>
      <c r="O10" s="26" t="s">
        <v>2338</v>
      </c>
      <c r="P10" s="11">
        <v>3000000</v>
      </c>
      <c r="Q10" s="14">
        <f>P10*1.9</f>
        <v>5700000</v>
      </c>
      <c r="R10" s="3"/>
      <c r="S10" s="3"/>
      <c r="T10" s="3"/>
      <c r="U10" s="3"/>
      <c r="V10" s="3"/>
      <c r="W10" s="3" t="s">
        <v>1617</v>
      </c>
      <c r="X10" s="110">
        <v>5</v>
      </c>
      <c r="Y10" s="69">
        <v>40</v>
      </c>
      <c r="Z10" s="65">
        <f>16/40</f>
        <v>0.4</v>
      </c>
      <c r="AA10" s="122">
        <v>101.4</v>
      </c>
      <c r="AB10" s="122">
        <v>107.6</v>
      </c>
      <c r="AC10" s="122">
        <f t="shared" si="1"/>
        <v>-6.1999999999999886</v>
      </c>
      <c r="AD10" s="122">
        <v>19.399999999999999</v>
      </c>
      <c r="AE10" s="122">
        <v>10.1</v>
      </c>
      <c r="AF10" s="65">
        <v>0.52900000000000003</v>
      </c>
      <c r="AG10" s="122">
        <v>9.3000000000000007</v>
      </c>
      <c r="AH10" s="122">
        <v>0.7</v>
      </c>
      <c r="AI10" s="122">
        <v>0.8</v>
      </c>
      <c r="AJ10" s="65">
        <v>9.1999999999999998E-2</v>
      </c>
      <c r="AK10" s="122">
        <v>-3.3</v>
      </c>
      <c r="AL10" s="122">
        <v>0.3</v>
      </c>
      <c r="AM10" s="122">
        <v>-0.2</v>
      </c>
      <c r="AN10" s="122">
        <v>6.1</v>
      </c>
    </row>
    <row r="11" spans="1:44" x14ac:dyDescent="0.2">
      <c r="A11" s="3">
        <v>11</v>
      </c>
      <c r="B11" s="3" t="s">
        <v>136</v>
      </c>
      <c r="C11" s="2" t="s">
        <v>255</v>
      </c>
      <c r="D11" s="145">
        <v>66</v>
      </c>
      <c r="E11" s="145">
        <v>70</v>
      </c>
      <c r="F11" s="146">
        <v>215</v>
      </c>
      <c r="G11" s="4">
        <v>33055</v>
      </c>
      <c r="H11" s="113">
        <f t="shared" ca="1" si="0"/>
        <v>30.3</v>
      </c>
      <c r="I11" s="3" t="s">
        <v>1618</v>
      </c>
      <c r="J11" s="3">
        <v>7</v>
      </c>
      <c r="K11" s="3">
        <v>2013</v>
      </c>
      <c r="L11" s="3">
        <v>50</v>
      </c>
      <c r="M11" s="3" t="s">
        <v>1619</v>
      </c>
      <c r="N11" s="3" t="s">
        <v>1620</v>
      </c>
      <c r="O11" s="163" t="s">
        <v>735</v>
      </c>
      <c r="P11" s="48">
        <v>2130023</v>
      </c>
      <c r="Q11" s="14">
        <v>1856061</v>
      </c>
      <c r="R11" s="3"/>
      <c r="S11" s="3"/>
      <c r="T11" s="3"/>
      <c r="U11" s="3"/>
      <c r="V11" s="3"/>
      <c r="W11" s="3" t="s">
        <v>1621</v>
      </c>
      <c r="X11" s="110">
        <v>3</v>
      </c>
      <c r="Y11" s="69">
        <v>12</v>
      </c>
      <c r="Z11" s="65">
        <f>8/12</f>
        <v>0.66666666666666663</v>
      </c>
      <c r="AA11" s="122">
        <v>108.6</v>
      </c>
      <c r="AB11" s="122">
        <v>110.3</v>
      </c>
      <c r="AC11" s="122">
        <f t="shared" si="1"/>
        <v>-1.7000000000000028</v>
      </c>
      <c r="AD11" s="122">
        <v>23.1</v>
      </c>
      <c r="AE11" s="122">
        <v>9.4</v>
      </c>
      <c r="AF11" s="65">
        <v>0.53700000000000003</v>
      </c>
      <c r="AG11" s="122">
        <v>13.7</v>
      </c>
      <c r="AH11" s="122">
        <v>0.1</v>
      </c>
      <c r="AI11" s="122">
        <v>0.3</v>
      </c>
      <c r="AJ11" s="65">
        <v>0.06</v>
      </c>
      <c r="AK11" s="122">
        <v>-3.7</v>
      </c>
      <c r="AL11" s="122">
        <v>-1.3</v>
      </c>
      <c r="AM11" s="122">
        <v>-0.2</v>
      </c>
      <c r="AN11" s="122">
        <v>5.5</v>
      </c>
    </row>
    <row r="12" spans="1:44" x14ac:dyDescent="0.2">
      <c r="A12" s="3">
        <v>35</v>
      </c>
      <c r="B12" s="3" t="s">
        <v>139</v>
      </c>
      <c r="C12" s="2" t="s">
        <v>255</v>
      </c>
      <c r="D12" s="145">
        <v>65</v>
      </c>
      <c r="E12" s="145">
        <v>72</v>
      </c>
      <c r="F12" s="146">
        <v>215</v>
      </c>
      <c r="G12" s="4">
        <v>35307</v>
      </c>
      <c r="H12" s="113">
        <f t="shared" ca="1" si="0"/>
        <v>24.1</v>
      </c>
      <c r="I12" s="3" t="s">
        <v>1346</v>
      </c>
      <c r="J12" s="3">
        <v>3</v>
      </c>
      <c r="K12" s="3">
        <v>2018</v>
      </c>
      <c r="L12" s="3">
        <v>35</v>
      </c>
      <c r="M12" s="3" t="s">
        <v>1627</v>
      </c>
      <c r="N12" s="3" t="s">
        <v>521</v>
      </c>
      <c r="O12" s="163" t="s">
        <v>526</v>
      </c>
      <c r="P12" s="49">
        <v>1663861</v>
      </c>
      <c r="Q12" s="50">
        <v>2122822</v>
      </c>
      <c r="R12" s="3"/>
      <c r="S12" s="3"/>
      <c r="T12" s="3"/>
      <c r="U12" s="3"/>
      <c r="V12" s="3"/>
      <c r="W12" s="3" t="s">
        <v>1628</v>
      </c>
      <c r="X12" s="110">
        <v>2</v>
      </c>
      <c r="Y12" s="69">
        <v>15</v>
      </c>
      <c r="Z12" s="65">
        <f>4/15</f>
        <v>0.26666666666666666</v>
      </c>
      <c r="AA12" s="122">
        <v>91.4</v>
      </c>
      <c r="AB12" s="122">
        <v>93.8</v>
      </c>
      <c r="AC12" s="122">
        <f t="shared" si="1"/>
        <v>-2.3999999999999915</v>
      </c>
      <c r="AD12" s="122">
        <v>3.4</v>
      </c>
      <c r="AE12" s="122">
        <v>7.5</v>
      </c>
      <c r="AF12" s="65">
        <v>0.48</v>
      </c>
      <c r="AG12" s="122">
        <v>18.5</v>
      </c>
      <c r="AH12" s="122">
        <v>-0.1</v>
      </c>
      <c r="AI12" s="122">
        <v>0.1</v>
      </c>
      <c r="AJ12" s="65">
        <v>3.0000000000000001E-3</v>
      </c>
      <c r="AK12" s="122">
        <v>-6</v>
      </c>
      <c r="AL12" s="122">
        <v>1.5</v>
      </c>
      <c r="AM12" s="122">
        <v>0</v>
      </c>
      <c r="AN12" s="122">
        <v>2.2000000000000002</v>
      </c>
    </row>
    <row r="13" spans="1:44" x14ac:dyDescent="0.2">
      <c r="A13" s="3"/>
      <c r="B13" s="3" t="s">
        <v>297</v>
      </c>
      <c r="C13" s="3"/>
      <c r="D13" s="60"/>
      <c r="E13" s="60"/>
      <c r="F13" s="60"/>
      <c r="G13" s="3"/>
      <c r="H13" s="3"/>
      <c r="I13" s="3"/>
      <c r="J13" s="3"/>
      <c r="K13" s="3"/>
      <c r="L13" s="3"/>
      <c r="M13" s="3"/>
      <c r="N13" s="3"/>
      <c r="O13" s="3"/>
      <c r="P13" s="11"/>
      <c r="Q13" s="11"/>
      <c r="R13" s="11"/>
      <c r="S13" s="11"/>
      <c r="T13" s="11"/>
      <c r="U13" s="3"/>
      <c r="V13" s="3"/>
      <c r="W13" s="3"/>
      <c r="X13" s="110"/>
      <c r="Y13" s="137"/>
      <c r="Z13" s="127"/>
      <c r="AF13" s="127"/>
      <c r="AJ13" s="127"/>
    </row>
    <row r="14" spans="1:44" x14ac:dyDescent="0.2">
      <c r="A14" s="3"/>
      <c r="B14" s="3" t="s">
        <v>1640</v>
      </c>
      <c r="C14" s="3"/>
      <c r="G14" s="3"/>
      <c r="H14" s="3"/>
      <c r="I14" s="3"/>
      <c r="J14" s="3"/>
      <c r="K14" s="3"/>
      <c r="L14" s="3"/>
      <c r="M14" s="3"/>
      <c r="N14" s="3"/>
      <c r="O14" s="3"/>
      <c r="P14" s="11">
        <v>3285120</v>
      </c>
      <c r="Q14" s="11">
        <v>3449400</v>
      </c>
      <c r="R14" s="51">
        <v>3613680</v>
      </c>
      <c r="S14" s="51">
        <v>5539771</v>
      </c>
      <c r="T14" s="50">
        <v>16619313</v>
      </c>
      <c r="U14" s="3"/>
      <c r="V14" s="3"/>
      <c r="W14" s="3"/>
      <c r="X14" s="110"/>
      <c r="Y14" s="137"/>
      <c r="Z14" s="127"/>
      <c r="AF14" s="127"/>
      <c r="AJ14" s="127"/>
    </row>
    <row r="15" spans="1:44" x14ac:dyDescent="0.2">
      <c r="A15" s="3"/>
      <c r="B15" s="3" t="s">
        <v>1641</v>
      </c>
      <c r="C15" s="3"/>
      <c r="G15" s="3"/>
      <c r="H15" s="3"/>
      <c r="I15" s="3"/>
      <c r="J15" s="3"/>
      <c r="K15" s="3"/>
      <c r="L15" s="3"/>
      <c r="M15" s="3"/>
      <c r="N15" s="3"/>
      <c r="O15" s="3"/>
      <c r="P15" s="188">
        <v>898310</v>
      </c>
      <c r="Q15" s="3"/>
      <c r="R15" s="3"/>
      <c r="S15" s="3"/>
      <c r="T15" s="3"/>
      <c r="U15" s="3"/>
      <c r="V15" s="3"/>
      <c r="W15" s="3"/>
      <c r="X15" s="110"/>
      <c r="Y15" s="137"/>
      <c r="Z15" s="127"/>
      <c r="AF15" s="127"/>
      <c r="AJ15" s="127"/>
    </row>
    <row r="16" spans="1:44" x14ac:dyDescent="0.2">
      <c r="A16" s="3"/>
      <c r="B16" s="3" t="s">
        <v>1638</v>
      </c>
      <c r="C16" s="2"/>
      <c r="D16" s="145">
        <v>68</v>
      </c>
      <c r="E16" s="145">
        <v>70</v>
      </c>
      <c r="F16" s="146">
        <v>230</v>
      </c>
      <c r="G16" s="4">
        <v>36025</v>
      </c>
      <c r="H16" s="113">
        <f t="shared" ref="H16" ca="1" si="2">ROUNDDOWN(YEARFRAC($G$25,G16),1)</f>
        <v>22.1</v>
      </c>
      <c r="I16" s="3" t="s">
        <v>229</v>
      </c>
      <c r="J16" s="3"/>
      <c r="K16" s="3">
        <v>2019</v>
      </c>
      <c r="L16" s="3">
        <v>16</v>
      </c>
      <c r="M16" s="3" t="s">
        <v>1639</v>
      </c>
      <c r="N16" s="3"/>
      <c r="O16" s="3"/>
      <c r="P16" s="87">
        <v>3121080</v>
      </c>
      <c r="Q16" s="87">
        <v>3277080</v>
      </c>
      <c r="R16" s="169">
        <v>3433320</v>
      </c>
      <c r="S16" s="169">
        <f>R16*1.534</f>
        <v>5266712.88</v>
      </c>
      <c r="T16" s="170">
        <f>S16*3</f>
        <v>15800138.640000001</v>
      </c>
      <c r="U16" s="3"/>
      <c r="V16" s="3"/>
      <c r="W16" s="3"/>
      <c r="X16" s="110"/>
      <c r="Y16" s="69"/>
      <c r="Z16" s="65"/>
      <c r="AF16" s="127"/>
      <c r="AJ16" s="127"/>
    </row>
    <row r="17" spans="1:40" x14ac:dyDescent="0.2">
      <c r="A17" s="3"/>
      <c r="B17" s="3"/>
      <c r="C17" s="2"/>
      <c r="D17" s="145"/>
      <c r="E17" s="145"/>
      <c r="F17" s="146"/>
      <c r="G17" s="4"/>
      <c r="H17" s="113"/>
      <c r="I17" s="3"/>
      <c r="J17" s="3"/>
      <c r="K17" s="3"/>
      <c r="L17" s="3"/>
      <c r="M17" s="3"/>
      <c r="N17" s="3"/>
      <c r="O17" s="3"/>
      <c r="P17" s="11"/>
      <c r="Q17" s="11"/>
      <c r="R17" s="16"/>
      <c r="S17" s="16"/>
      <c r="T17" s="16"/>
      <c r="U17" s="3"/>
      <c r="V17" s="3"/>
      <c r="W17" s="3"/>
      <c r="X17" s="110"/>
      <c r="Y17" s="69"/>
      <c r="Z17" s="65"/>
      <c r="AF17" s="127"/>
      <c r="AJ17" s="127"/>
    </row>
    <row r="18" spans="1:40" x14ac:dyDescent="0.2">
      <c r="A18" s="3">
        <v>14</v>
      </c>
      <c r="B18" s="3" t="s">
        <v>135</v>
      </c>
      <c r="C18" s="2" t="s">
        <v>250</v>
      </c>
      <c r="D18" s="145">
        <v>511</v>
      </c>
      <c r="E18" s="145">
        <v>64</v>
      </c>
      <c r="F18" s="146">
        <v>183</v>
      </c>
      <c r="G18" s="4">
        <v>32091</v>
      </c>
      <c r="H18" s="113">
        <f t="shared" ref="H18:H23" ca="1" si="3">ROUNDDOWN(YEARFRAC($G$25,G18),1)</f>
        <v>32.9</v>
      </c>
      <c r="I18" s="3" t="s">
        <v>424</v>
      </c>
      <c r="J18" s="3">
        <v>13</v>
      </c>
      <c r="K18" s="3">
        <v>2008</v>
      </c>
      <c r="L18" s="3">
        <v>9</v>
      </c>
      <c r="M18" s="3" t="s">
        <v>1608</v>
      </c>
      <c r="N18" s="3"/>
      <c r="O18" s="3"/>
      <c r="P18" s="14">
        <v>13775000</v>
      </c>
      <c r="Q18" s="3"/>
      <c r="R18" s="3"/>
      <c r="S18" s="3"/>
      <c r="T18" s="3"/>
      <c r="U18" s="3"/>
      <c r="V18" s="3"/>
      <c r="W18" s="5" t="s">
        <v>291</v>
      </c>
      <c r="X18" s="110">
        <v>1</v>
      </c>
      <c r="Y18" s="69">
        <v>49</v>
      </c>
      <c r="Z18" s="65">
        <f>25/49</f>
        <v>0.51020408163265307</v>
      </c>
      <c r="AA18" s="122">
        <v>106.1</v>
      </c>
      <c r="AB18" s="122">
        <v>104.1</v>
      </c>
      <c r="AC18" s="122">
        <f t="shared" ref="AC18:AC23" si="4">AA18-AB18</f>
        <v>2</v>
      </c>
      <c r="AD18" s="122">
        <v>24.8</v>
      </c>
      <c r="AE18" s="122">
        <v>14.2</v>
      </c>
      <c r="AF18" s="65">
        <v>0.54800000000000004</v>
      </c>
      <c r="AG18" s="122">
        <v>19.100000000000001</v>
      </c>
      <c r="AH18" s="122">
        <v>1.8</v>
      </c>
      <c r="AI18" s="122">
        <v>0.8</v>
      </c>
      <c r="AJ18" s="65">
        <v>0.10100000000000001</v>
      </c>
      <c r="AK18" s="122">
        <v>-0.3</v>
      </c>
      <c r="AL18" s="122">
        <v>-1</v>
      </c>
      <c r="AM18" s="122">
        <v>0.2</v>
      </c>
      <c r="AN18" s="122">
        <v>10.5</v>
      </c>
    </row>
    <row r="19" spans="1:40" x14ac:dyDescent="0.2">
      <c r="A19" s="3">
        <v>25</v>
      </c>
      <c r="B19" s="3" t="s">
        <v>138</v>
      </c>
      <c r="C19" s="2" t="s">
        <v>244</v>
      </c>
      <c r="D19" s="145">
        <v>66</v>
      </c>
      <c r="E19" s="145">
        <v>71</v>
      </c>
      <c r="F19" s="146">
        <v>195</v>
      </c>
      <c r="G19" s="4">
        <v>34688</v>
      </c>
      <c r="H19" s="113">
        <f t="shared" ca="1" si="3"/>
        <v>25.8</v>
      </c>
      <c r="I19" s="3" t="s">
        <v>671</v>
      </c>
      <c r="J19" s="3">
        <v>4</v>
      </c>
      <c r="K19" s="3">
        <v>2017</v>
      </c>
      <c r="L19" s="3">
        <v>33</v>
      </c>
      <c r="M19" s="3" t="s">
        <v>1625</v>
      </c>
      <c r="N19" s="3"/>
      <c r="O19" s="3"/>
      <c r="P19" s="50">
        <v>2023150</v>
      </c>
      <c r="Q19" s="3"/>
      <c r="R19" s="3"/>
      <c r="S19" s="3"/>
      <c r="T19" s="3"/>
      <c r="U19" s="3"/>
      <c r="V19" s="3"/>
      <c r="W19" s="3" t="s">
        <v>1626</v>
      </c>
      <c r="X19" s="110">
        <v>3</v>
      </c>
      <c r="Y19" s="69">
        <v>45</v>
      </c>
      <c r="Z19" s="65">
        <f>21/45</f>
        <v>0.46666666666666667</v>
      </c>
      <c r="AA19" s="122">
        <v>103.6</v>
      </c>
      <c r="AB19" s="122">
        <v>103.2</v>
      </c>
      <c r="AC19" s="122">
        <f t="shared" si="4"/>
        <v>0.39999999999999147</v>
      </c>
      <c r="AD19" s="122">
        <v>18</v>
      </c>
      <c r="AE19" s="122">
        <v>9.9</v>
      </c>
      <c r="AF19" s="65">
        <v>0.52100000000000002</v>
      </c>
      <c r="AG19" s="122">
        <v>13.1</v>
      </c>
      <c r="AH19" s="122">
        <v>0.6</v>
      </c>
      <c r="AI19" s="122">
        <v>0.8</v>
      </c>
      <c r="AJ19" s="65">
        <v>0.08</v>
      </c>
      <c r="AK19" s="122">
        <v>-3.1</v>
      </c>
      <c r="AL19" s="122">
        <v>0.2</v>
      </c>
      <c r="AM19" s="122">
        <v>-0.2</v>
      </c>
      <c r="AN19" s="122">
        <v>6.5</v>
      </c>
    </row>
    <row r="20" spans="1:40" x14ac:dyDescent="0.2">
      <c r="A20" s="3">
        <v>7</v>
      </c>
      <c r="B20" s="3" t="s">
        <v>137</v>
      </c>
      <c r="C20" s="2" t="s">
        <v>232</v>
      </c>
      <c r="D20" s="145">
        <v>65</v>
      </c>
      <c r="E20" s="145">
        <v>67</v>
      </c>
      <c r="F20" s="146">
        <v>190</v>
      </c>
      <c r="G20" s="4">
        <v>33521</v>
      </c>
      <c r="H20" s="113">
        <f t="shared" ca="1" si="3"/>
        <v>29</v>
      </c>
      <c r="I20" s="3" t="s">
        <v>1622</v>
      </c>
      <c r="J20" s="3">
        <v>8</v>
      </c>
      <c r="K20" s="3">
        <v>2013</v>
      </c>
      <c r="L20" s="3">
        <v>11</v>
      </c>
      <c r="M20" s="3" t="s">
        <v>1623</v>
      </c>
      <c r="N20" s="3"/>
      <c r="O20" s="3"/>
      <c r="P20" s="14">
        <v>1620564</v>
      </c>
      <c r="Q20" s="3"/>
      <c r="R20" s="3"/>
      <c r="S20" s="3"/>
      <c r="T20" s="3"/>
      <c r="U20" s="3"/>
      <c r="V20" s="3"/>
      <c r="W20" s="3" t="s">
        <v>1624</v>
      </c>
      <c r="X20" s="110">
        <v>2</v>
      </c>
      <c r="Y20" s="69">
        <v>42</v>
      </c>
      <c r="Z20" s="65">
        <f>19/42</f>
        <v>0.45238095238095238</v>
      </c>
      <c r="AA20" s="122">
        <v>108.7</v>
      </c>
      <c r="AB20" s="122">
        <v>107.3</v>
      </c>
      <c r="AC20" s="122">
        <f t="shared" si="4"/>
        <v>1.4000000000000057</v>
      </c>
      <c r="AD20" s="122">
        <v>18.399999999999999</v>
      </c>
      <c r="AE20" s="122">
        <v>15.7</v>
      </c>
      <c r="AF20" s="65">
        <v>0.53900000000000003</v>
      </c>
      <c r="AG20" s="122">
        <v>18.399999999999999</v>
      </c>
      <c r="AH20" s="122">
        <v>0.7</v>
      </c>
      <c r="AI20" s="122">
        <v>1.1000000000000001</v>
      </c>
      <c r="AJ20" s="65">
        <v>0.11600000000000001</v>
      </c>
      <c r="AK20" s="122">
        <v>-1.3</v>
      </c>
      <c r="AL20" s="122">
        <v>1.7</v>
      </c>
      <c r="AM20" s="122">
        <v>0.5</v>
      </c>
      <c r="AN20" s="122">
        <v>10.1</v>
      </c>
    </row>
    <row r="21" spans="1:40" x14ac:dyDescent="0.2">
      <c r="A21" s="3">
        <v>12</v>
      </c>
      <c r="B21" s="3" t="s">
        <v>1629</v>
      </c>
      <c r="C21" s="2" t="s">
        <v>255</v>
      </c>
      <c r="D21" s="145">
        <v>66</v>
      </c>
      <c r="E21" s="145">
        <v>610</v>
      </c>
      <c r="F21" s="146">
        <v>225</v>
      </c>
      <c r="G21" s="4">
        <v>34654</v>
      </c>
      <c r="H21" s="113">
        <f t="shared" ca="1" si="3"/>
        <v>25.9</v>
      </c>
      <c r="I21" s="3" t="s">
        <v>1383</v>
      </c>
      <c r="J21" s="3">
        <v>3</v>
      </c>
      <c r="K21" s="3">
        <v>2018</v>
      </c>
      <c r="L21" s="3"/>
      <c r="M21" s="3" t="s">
        <v>1504</v>
      </c>
      <c r="N21" s="3"/>
      <c r="O21" s="3"/>
      <c r="P21" s="68">
        <v>1620564</v>
      </c>
      <c r="Q21" s="3"/>
      <c r="R21" s="3"/>
      <c r="S21" s="3"/>
      <c r="T21" s="3"/>
      <c r="U21" s="3"/>
      <c r="V21" s="3"/>
      <c r="W21" s="3" t="s">
        <v>1630</v>
      </c>
      <c r="X21" s="110">
        <v>4</v>
      </c>
      <c r="Y21" s="69">
        <v>17</v>
      </c>
      <c r="Z21" s="65">
        <f>8/17</f>
        <v>0.47058823529411764</v>
      </c>
      <c r="AA21" s="122">
        <v>98.1</v>
      </c>
      <c r="AB21" s="122">
        <v>104</v>
      </c>
      <c r="AC21" s="122">
        <f t="shared" si="4"/>
        <v>-5.9000000000000057</v>
      </c>
      <c r="AD21" s="122">
        <v>12.5</v>
      </c>
      <c r="AE21" s="122">
        <v>8.8000000000000007</v>
      </c>
      <c r="AF21" s="65">
        <v>0.49</v>
      </c>
      <c r="AG21" s="122">
        <v>9.3000000000000007</v>
      </c>
      <c r="AH21" s="122">
        <v>0.1</v>
      </c>
      <c r="AI21" s="122">
        <v>0.2</v>
      </c>
      <c r="AJ21" s="65">
        <v>7.0000000000000007E-2</v>
      </c>
      <c r="AK21" s="122">
        <v>-2.7</v>
      </c>
      <c r="AL21" s="122">
        <v>-1.3</v>
      </c>
      <c r="AM21" s="122">
        <v>-0.1</v>
      </c>
      <c r="AN21" s="122">
        <v>6.1</v>
      </c>
    </row>
    <row r="22" spans="1:40" x14ac:dyDescent="0.2">
      <c r="A22" s="3">
        <v>13</v>
      </c>
      <c r="B22" s="3" t="s">
        <v>1631</v>
      </c>
      <c r="C22" s="2" t="s">
        <v>244</v>
      </c>
      <c r="D22" s="145">
        <v>67</v>
      </c>
      <c r="E22" s="145">
        <v>69</v>
      </c>
      <c r="F22" s="146">
        <v>200</v>
      </c>
      <c r="G22" s="4">
        <v>35054</v>
      </c>
      <c r="H22" s="113">
        <f t="shared" ca="1" si="3"/>
        <v>24.8</v>
      </c>
      <c r="I22" s="3" t="s">
        <v>1632</v>
      </c>
      <c r="J22" s="3">
        <v>3</v>
      </c>
      <c r="K22" s="3">
        <v>2018</v>
      </c>
      <c r="L22" s="3"/>
      <c r="M22" s="3" t="s">
        <v>1633</v>
      </c>
      <c r="N22" s="3"/>
      <c r="O22" s="3"/>
      <c r="P22" s="34"/>
      <c r="Q22" s="3"/>
      <c r="R22" s="3"/>
      <c r="S22" s="3"/>
      <c r="T22" s="3"/>
      <c r="U22" s="3"/>
      <c r="V22" s="3"/>
      <c r="W22" s="3" t="s">
        <v>1634</v>
      </c>
      <c r="X22" s="110">
        <v>3</v>
      </c>
      <c r="Y22" s="69">
        <v>8</v>
      </c>
      <c r="Z22" s="65">
        <f>4/8</f>
        <v>0.5</v>
      </c>
      <c r="AA22" s="122">
        <v>75.7</v>
      </c>
      <c r="AB22" s="122">
        <v>100</v>
      </c>
      <c r="AC22" s="122">
        <f t="shared" si="4"/>
        <v>-24.299999999999997</v>
      </c>
      <c r="AD22" s="122">
        <v>5.8</v>
      </c>
      <c r="AE22" s="122">
        <v>2.5</v>
      </c>
      <c r="AF22" s="65">
        <v>0.34399999999999997</v>
      </c>
      <c r="AG22" s="122">
        <v>20.6</v>
      </c>
      <c r="AH22" s="122">
        <v>-0.2</v>
      </c>
      <c r="AI22" s="122">
        <v>0</v>
      </c>
      <c r="AJ22" s="65">
        <v>-0.13200000000000001</v>
      </c>
      <c r="AK22" s="122">
        <v>-7.2</v>
      </c>
      <c r="AL22" s="122">
        <v>-2.5</v>
      </c>
      <c r="AM22" s="122">
        <v>-0.1</v>
      </c>
      <c r="AN22" s="122">
        <v>4.8</v>
      </c>
    </row>
    <row r="23" spans="1:40" x14ac:dyDescent="0.2">
      <c r="A23" s="3">
        <v>23</v>
      </c>
      <c r="B23" s="3" t="s">
        <v>1635</v>
      </c>
      <c r="C23" s="2" t="s">
        <v>255</v>
      </c>
      <c r="D23" s="145">
        <v>67</v>
      </c>
      <c r="E23" s="145">
        <v>611</v>
      </c>
      <c r="F23" s="146">
        <v>201</v>
      </c>
      <c r="G23" s="4">
        <v>35052</v>
      </c>
      <c r="H23" s="113">
        <f t="shared" ca="1" si="3"/>
        <v>24.8</v>
      </c>
      <c r="I23" s="3" t="s">
        <v>1636</v>
      </c>
      <c r="J23" s="3">
        <v>2</v>
      </c>
      <c r="K23" s="3">
        <v>2019</v>
      </c>
      <c r="L23" s="3"/>
      <c r="M23" s="3" t="s">
        <v>1637</v>
      </c>
      <c r="N23" s="3"/>
      <c r="O23" s="3"/>
      <c r="P23" s="34"/>
      <c r="Q23" s="3"/>
      <c r="R23" s="3"/>
      <c r="S23" s="3"/>
      <c r="T23" s="3"/>
      <c r="U23" s="3"/>
      <c r="V23" s="3"/>
      <c r="W23" s="3" t="s">
        <v>451</v>
      </c>
      <c r="X23" s="110">
        <v>4</v>
      </c>
      <c r="Y23" s="69">
        <v>5</v>
      </c>
      <c r="Z23" s="65">
        <f>1/5</f>
        <v>0.2</v>
      </c>
      <c r="AA23" s="122">
        <v>59.1</v>
      </c>
      <c r="AB23" s="122">
        <v>78.900000000000006</v>
      </c>
      <c r="AC23" s="122">
        <f t="shared" si="4"/>
        <v>-19.800000000000004</v>
      </c>
      <c r="AD23" s="122">
        <v>1.9</v>
      </c>
      <c r="AE23" s="122">
        <v>-16.600000000000001</v>
      </c>
      <c r="AF23" s="65">
        <v>0</v>
      </c>
      <c r="AG23" s="122">
        <v>18.600000000000001</v>
      </c>
      <c r="AH23" s="122">
        <v>-0.1</v>
      </c>
      <c r="AI23" s="122">
        <v>0</v>
      </c>
      <c r="AJ23" s="65">
        <v>-0.45600000000000002</v>
      </c>
      <c r="AK23" s="122">
        <v>-17</v>
      </c>
      <c r="AL23" s="122">
        <v>-8.1999999999999993</v>
      </c>
      <c r="AM23" s="122">
        <v>-0.1</v>
      </c>
      <c r="AN23" s="122">
        <v>-26.7</v>
      </c>
    </row>
    <row r="24" spans="1:40" x14ac:dyDescent="0.2">
      <c r="A24" s="3"/>
      <c r="B24" s="3"/>
      <c r="C24" s="2"/>
      <c r="D24" s="145"/>
      <c r="E24" s="145"/>
      <c r="F24" s="146"/>
      <c r="G24" s="4"/>
      <c r="H24" s="113"/>
      <c r="I24" s="3"/>
      <c r="J24" s="3"/>
      <c r="K24" s="3"/>
      <c r="L24" s="3"/>
      <c r="M24" s="3"/>
      <c r="N24" s="3"/>
      <c r="O24" s="3"/>
      <c r="P24" s="11"/>
      <c r="Q24" s="11"/>
      <c r="R24" s="16"/>
      <c r="S24" s="16"/>
      <c r="T24" s="16"/>
      <c r="U24" s="3"/>
      <c r="V24" s="3"/>
      <c r="W24" s="3"/>
      <c r="X24" s="110"/>
      <c r="Y24" s="69"/>
      <c r="Z24" s="65"/>
      <c r="AF24" s="127"/>
      <c r="AJ24" s="127"/>
    </row>
    <row r="25" spans="1:40" x14ac:dyDescent="0.2">
      <c r="A25" s="3"/>
      <c r="B25" s="3"/>
      <c r="C25" s="3"/>
      <c r="G25" s="4">
        <f ca="1">TODAY()</f>
        <v>44128</v>
      </c>
      <c r="H25" s="36">
        <f ca="1">AVERAGE(H2:H12)</f>
        <v>26.618181818181821</v>
      </c>
      <c r="I25" s="3"/>
      <c r="J25" s="36">
        <f>AVERAGE(J2:J12)</f>
        <v>6.4545454545454541</v>
      </c>
      <c r="K25" s="3"/>
      <c r="L25" s="3"/>
      <c r="M25" s="3"/>
      <c r="N25" s="3"/>
      <c r="O25" s="3"/>
      <c r="P25" s="3"/>
      <c r="Q25" s="3"/>
      <c r="R25" s="55"/>
      <c r="S25" s="55"/>
      <c r="T25" s="55"/>
      <c r="U25" s="3"/>
      <c r="V25" s="3"/>
      <c r="W25" s="3"/>
      <c r="X25" s="110"/>
      <c r="Y25" s="137"/>
      <c r="Z25" s="127"/>
      <c r="AF25" s="127"/>
      <c r="AJ25" s="127"/>
    </row>
    <row r="26" spans="1:40" x14ac:dyDescent="0.2">
      <c r="G26" s="3"/>
      <c r="H26" s="36">
        <f ca="1">MEDIAN(H2:H12)</f>
        <v>27.9</v>
      </c>
      <c r="I26" s="3"/>
      <c r="J26" s="110">
        <f>MEDIAN(J2:J12)</f>
        <v>7</v>
      </c>
      <c r="K26" s="3"/>
      <c r="L26" s="3"/>
      <c r="M26" s="3"/>
      <c r="N26" s="3"/>
      <c r="O26" s="3"/>
      <c r="P26" s="11">
        <f>P2+P3+P5+P6+P7+P8+P9+P10+P14+P16</f>
        <v>102383767</v>
      </c>
      <c r="Q26" s="3"/>
      <c r="R26" s="55"/>
      <c r="S26" s="55"/>
      <c r="T26" s="55"/>
      <c r="U26" s="3"/>
      <c r="V26" s="3"/>
      <c r="W26" s="3"/>
      <c r="X26" s="3"/>
      <c r="Z26" s="127"/>
      <c r="AF26" s="127"/>
      <c r="AJ26" s="127"/>
    </row>
    <row r="27" spans="1:40" x14ac:dyDescent="0.2">
      <c r="B27" s="209" t="s">
        <v>2224</v>
      </c>
      <c r="C27" s="3"/>
      <c r="D27" s="3"/>
      <c r="G27" s="3"/>
      <c r="H27" s="3"/>
      <c r="I27" s="3"/>
      <c r="J27" s="3"/>
      <c r="K27" s="3"/>
      <c r="L27" s="3"/>
      <c r="M27" s="3"/>
      <c r="N27" s="3"/>
      <c r="O27" s="3"/>
      <c r="P27" s="29">
        <f>P2+P3+P4+P5+P6+P7+P8+P9+P10+P11+P14+P16</f>
        <v>121663790</v>
      </c>
      <c r="Q27" s="3"/>
      <c r="R27" s="3"/>
      <c r="S27" s="3"/>
      <c r="T27" s="3"/>
      <c r="U27" s="3"/>
      <c r="V27" s="3"/>
      <c r="W27" s="3"/>
      <c r="X27" s="3"/>
      <c r="Z27" s="127"/>
      <c r="AF27" s="127"/>
    </row>
    <row r="28" spans="1:40" x14ac:dyDescent="0.2">
      <c r="B28" s="3" t="s">
        <v>2085</v>
      </c>
      <c r="C28" s="3">
        <v>8</v>
      </c>
      <c r="D28" s="3"/>
      <c r="G28" s="209"/>
      <c r="H28" s="3"/>
      <c r="I28" s="3"/>
      <c r="J28" s="3"/>
      <c r="K28" s="3"/>
      <c r="L28" s="3"/>
      <c r="M28" s="3"/>
      <c r="N28" s="3"/>
      <c r="O28" s="3"/>
      <c r="P28" s="11">
        <f>P2+P3+P4+P5+P6+P7+P8+P9+P10+P11+P12+P14+P16</f>
        <v>123327651</v>
      </c>
      <c r="Q28" s="3"/>
      <c r="R28" s="3"/>
      <c r="S28" s="3"/>
      <c r="T28" s="3"/>
      <c r="U28" s="3"/>
      <c r="V28" s="3"/>
      <c r="W28" s="3"/>
      <c r="X28" s="3"/>
      <c r="Z28" s="127"/>
      <c r="AF28" s="127"/>
    </row>
    <row r="29" spans="1:40" x14ac:dyDescent="0.2">
      <c r="B29" s="3" t="s">
        <v>2088</v>
      </c>
      <c r="C29" s="60">
        <v>3</v>
      </c>
      <c r="G29" s="3"/>
      <c r="H29" s="3"/>
      <c r="I29" s="3"/>
      <c r="J29" s="3"/>
      <c r="K29" s="3"/>
      <c r="L29" s="3"/>
      <c r="M29" s="3"/>
      <c r="N29" s="3"/>
      <c r="O29" s="3"/>
      <c r="P29" s="3"/>
      <c r="Q29" s="3"/>
      <c r="R29" s="3"/>
      <c r="S29" s="3"/>
      <c r="T29" s="3"/>
      <c r="U29" s="3"/>
      <c r="V29" s="3"/>
      <c r="W29" s="3"/>
      <c r="X29" s="3"/>
      <c r="AF29" s="127"/>
    </row>
    <row r="30" spans="1:40" x14ac:dyDescent="0.2">
      <c r="B30" s="3" t="s">
        <v>2086</v>
      </c>
      <c r="C30" s="60">
        <v>3</v>
      </c>
      <c r="G30" s="3"/>
      <c r="O30" s="3" t="s">
        <v>300</v>
      </c>
      <c r="P30" s="11">
        <v>109140000</v>
      </c>
      <c r="AF30" s="127"/>
    </row>
    <row r="31" spans="1:40" x14ac:dyDescent="0.2">
      <c r="B31" s="3" t="s">
        <v>2219</v>
      </c>
      <c r="C31" s="60" t="s">
        <v>2271</v>
      </c>
      <c r="G31" s="3"/>
      <c r="O31" s="22" t="s">
        <v>302</v>
      </c>
      <c r="P31" s="11">
        <v>132627000</v>
      </c>
    </row>
    <row r="32" spans="1:40" x14ac:dyDescent="0.2">
      <c r="B32" s="24" t="s">
        <v>301</v>
      </c>
      <c r="C32" s="61">
        <v>0</v>
      </c>
      <c r="G32" s="3"/>
    </row>
    <row r="33" spans="2:8" x14ac:dyDescent="0.2">
      <c r="B33" s="3" t="s">
        <v>303</v>
      </c>
      <c r="C33" s="61">
        <v>0</v>
      </c>
      <c r="G33" s="24"/>
      <c r="H33" s="61"/>
    </row>
    <row r="34" spans="2:8" x14ac:dyDescent="0.2">
      <c r="C34" s="60"/>
      <c r="G34" s="3"/>
      <c r="H34" s="61"/>
    </row>
    <row r="35" spans="2:8" x14ac:dyDescent="0.2">
      <c r="B35" s="152" t="s">
        <v>2084</v>
      </c>
      <c r="C35" s="60"/>
    </row>
    <row r="36" spans="2:8" x14ac:dyDescent="0.2">
      <c r="B36" s="3" t="s">
        <v>304</v>
      </c>
      <c r="C36" s="65">
        <f>33/(33+40)</f>
        <v>0.45205479452054792</v>
      </c>
      <c r="D36" t="s">
        <v>340</v>
      </c>
      <c r="G36" s="152"/>
    </row>
    <row r="37" spans="2:8" x14ac:dyDescent="0.2">
      <c r="B37" s="3" t="s">
        <v>306</v>
      </c>
      <c r="C37" s="60">
        <v>107.9</v>
      </c>
      <c r="D37" t="s">
        <v>2245</v>
      </c>
      <c r="G37" s="3"/>
    </row>
    <row r="38" spans="2:8" x14ac:dyDescent="0.2">
      <c r="B38" s="3" t="s">
        <v>307</v>
      </c>
      <c r="C38" s="60">
        <v>109.2</v>
      </c>
      <c r="D38" t="s">
        <v>1880</v>
      </c>
      <c r="G38" s="3"/>
    </row>
    <row r="39" spans="2:8" x14ac:dyDescent="0.2">
      <c r="B39" s="3" t="s">
        <v>308</v>
      </c>
      <c r="C39" s="60">
        <f>C37-C38</f>
        <v>-1.2999999999999972</v>
      </c>
      <c r="D39" t="s">
        <v>2272</v>
      </c>
      <c r="G39" s="3"/>
    </row>
    <row r="40" spans="2:8" x14ac:dyDescent="0.2">
      <c r="B40" s="3" t="s">
        <v>309</v>
      </c>
      <c r="C40" s="60">
        <v>98.99</v>
      </c>
      <c r="D40" t="s">
        <v>2244</v>
      </c>
      <c r="G40" s="3"/>
    </row>
    <row r="41" spans="2:8" x14ac:dyDescent="0.2">
      <c r="C41" s="60"/>
      <c r="G41" s="3"/>
    </row>
    <row r="42" spans="2:8" x14ac:dyDescent="0.2">
      <c r="B42" s="2" t="s">
        <v>310</v>
      </c>
    </row>
    <row r="43" spans="2:8" x14ac:dyDescent="0.2">
      <c r="B43" s="2" t="s">
        <v>1170</v>
      </c>
    </row>
    <row r="44" spans="2:8" x14ac:dyDescent="0.2">
      <c r="B44" s="10"/>
    </row>
    <row r="45" spans="2:8" x14ac:dyDescent="0.2">
      <c r="B45" s="2" t="s">
        <v>318</v>
      </c>
    </row>
    <row r="46" spans="2:8" x14ac:dyDescent="0.2">
      <c r="B46" s="2" t="s">
        <v>1170</v>
      </c>
    </row>
    <row r="47" spans="2:8" x14ac:dyDescent="0.2">
      <c r="B47" s="2"/>
    </row>
    <row r="48" spans="2:8" x14ac:dyDescent="0.2">
      <c r="B48" s="152" t="s">
        <v>2339</v>
      </c>
    </row>
    <row r="49" spans="2:11" x14ac:dyDescent="0.2">
      <c r="B49" s="37" t="s">
        <v>322</v>
      </c>
      <c r="C49" s="60">
        <v>33</v>
      </c>
      <c r="D49" s="60">
        <v>40</v>
      </c>
      <c r="E49" t="s">
        <v>340</v>
      </c>
      <c r="G49" t="s">
        <v>551</v>
      </c>
      <c r="J49" t="s">
        <v>2373</v>
      </c>
    </row>
    <row r="50" spans="2:11" x14ac:dyDescent="0.2">
      <c r="B50" s="161" t="s">
        <v>325</v>
      </c>
      <c r="C50" s="24">
        <v>42</v>
      </c>
      <c r="D50" s="24">
        <v>40</v>
      </c>
      <c r="E50" s="162" t="s">
        <v>418</v>
      </c>
      <c r="F50" s="162"/>
      <c r="G50" s="162" t="s">
        <v>551</v>
      </c>
      <c r="H50" s="2"/>
      <c r="I50" s="2"/>
      <c r="J50" s="2" t="s">
        <v>1642</v>
      </c>
      <c r="K50" s="2"/>
    </row>
    <row r="51" spans="2:11" x14ac:dyDescent="0.2">
      <c r="B51" s="161" t="s">
        <v>327</v>
      </c>
      <c r="C51" s="24">
        <v>25</v>
      </c>
      <c r="D51" s="24">
        <v>57</v>
      </c>
      <c r="E51" s="162" t="s">
        <v>323</v>
      </c>
      <c r="F51" s="162"/>
      <c r="G51" s="162" t="s">
        <v>1067</v>
      </c>
      <c r="H51" s="10"/>
      <c r="I51" s="2"/>
      <c r="J51" s="10"/>
      <c r="K51" s="2"/>
    </row>
    <row r="52" spans="2:11" x14ac:dyDescent="0.2">
      <c r="B52" s="161" t="s">
        <v>330</v>
      </c>
      <c r="C52" s="24">
        <v>29</v>
      </c>
      <c r="D52" s="24">
        <v>53</v>
      </c>
      <c r="E52" s="162" t="s">
        <v>617</v>
      </c>
      <c r="F52" s="162"/>
      <c r="G52" s="162" t="s">
        <v>1067</v>
      </c>
      <c r="H52" s="10"/>
      <c r="I52" s="2"/>
      <c r="J52" s="10"/>
      <c r="K52" s="2"/>
    </row>
    <row r="53" spans="2:11" x14ac:dyDescent="0.2">
      <c r="B53" s="161" t="s">
        <v>333</v>
      </c>
      <c r="C53" s="24">
        <v>35</v>
      </c>
      <c r="D53" s="24">
        <v>47</v>
      </c>
      <c r="E53" s="162" t="s">
        <v>552</v>
      </c>
      <c r="F53" s="162"/>
      <c r="G53" s="162" t="s">
        <v>1357</v>
      </c>
      <c r="H53" s="10"/>
      <c r="I53" s="2"/>
      <c r="J53" s="10"/>
      <c r="K53" s="2"/>
    </row>
    <row r="54" spans="2:11" x14ac:dyDescent="0.2">
      <c r="B54" s="161" t="s">
        <v>336</v>
      </c>
      <c r="C54" s="24">
        <v>25</v>
      </c>
      <c r="D54" s="24">
        <v>57</v>
      </c>
      <c r="E54" s="162" t="s">
        <v>617</v>
      </c>
      <c r="F54" s="162"/>
      <c r="G54" s="162" t="s">
        <v>1643</v>
      </c>
      <c r="H54" s="10"/>
      <c r="I54" s="2"/>
      <c r="J54" s="10"/>
      <c r="K54" s="2"/>
    </row>
    <row r="55" spans="2:11" x14ac:dyDescent="0.2">
      <c r="B55" s="161" t="s">
        <v>339</v>
      </c>
      <c r="C55" s="24">
        <v>23</v>
      </c>
      <c r="D55" s="24">
        <v>59</v>
      </c>
      <c r="E55" s="162" t="s">
        <v>617</v>
      </c>
      <c r="F55" s="162"/>
      <c r="G55" s="162" t="s">
        <v>476</v>
      </c>
      <c r="H55" s="10"/>
      <c r="I55" s="2"/>
      <c r="J55" s="10"/>
      <c r="K55" s="2"/>
    </row>
    <row r="56" spans="2:11" x14ac:dyDescent="0.2">
      <c r="B56" s="161" t="s">
        <v>342</v>
      </c>
      <c r="C56" s="24">
        <v>20</v>
      </c>
      <c r="D56" s="24">
        <v>62</v>
      </c>
      <c r="E56" s="162" t="s">
        <v>328</v>
      </c>
      <c r="F56" s="162"/>
      <c r="G56" s="162" t="s">
        <v>476</v>
      </c>
      <c r="H56" s="10"/>
      <c r="I56" s="2"/>
      <c r="J56" s="10"/>
      <c r="K56" s="2"/>
    </row>
    <row r="57" spans="2:11" x14ac:dyDescent="0.2">
      <c r="B57" s="161" t="s">
        <v>346</v>
      </c>
      <c r="C57" s="24">
        <v>37</v>
      </c>
      <c r="D57" s="24">
        <v>29</v>
      </c>
      <c r="E57" s="162" t="s">
        <v>343</v>
      </c>
      <c r="F57" s="162"/>
      <c r="G57" s="162" t="s">
        <v>880</v>
      </c>
      <c r="H57" s="2"/>
      <c r="I57" s="2"/>
      <c r="J57" s="2" t="s">
        <v>1644</v>
      </c>
      <c r="K57" s="2"/>
    </row>
    <row r="58" spans="2:11" x14ac:dyDescent="0.2">
      <c r="B58" s="161" t="s">
        <v>348</v>
      </c>
      <c r="C58" s="24">
        <v>52</v>
      </c>
      <c r="D58" s="24">
        <v>30</v>
      </c>
      <c r="E58" s="162" t="s">
        <v>334</v>
      </c>
      <c r="F58" s="162"/>
      <c r="G58" s="162" t="s">
        <v>880</v>
      </c>
      <c r="H58" s="2"/>
      <c r="I58" s="2"/>
      <c r="J58" s="2" t="s">
        <v>417</v>
      </c>
      <c r="K58" s="2"/>
    </row>
    <row r="59" spans="2:11" x14ac:dyDescent="0.2">
      <c r="B59" t="s">
        <v>350</v>
      </c>
      <c r="C59" s="60">
        <f>SUM(C49:C58)</f>
        <v>321</v>
      </c>
      <c r="D59" s="60">
        <f>SUM(D49:D58)</f>
        <v>474</v>
      </c>
      <c r="E59" s="65">
        <f>C59/(C59+D59)</f>
        <v>0.4037735849056604</v>
      </c>
    </row>
  </sheetData>
  <hyperlinks>
    <hyperlink ref="B50" r:id="rId1" display="https://www.basketball-reference.com/teams/ORL/2019.html" xr:uid="{99CB4955-948C-384C-9A30-5F329A3B2E3F}"/>
    <hyperlink ref="B51" r:id="rId2" display="https://www.basketball-reference.com/teams/ORL/2018.html" xr:uid="{F242B41E-69F1-F641-A154-DAF2FD6D5489}"/>
    <hyperlink ref="B52" r:id="rId3" display="https://www.basketball-reference.com/teams/ORL/2017.html" xr:uid="{02F7F84E-CEBE-0242-95FB-208C97EC294F}"/>
    <hyperlink ref="B53" r:id="rId4" display="https://www.basketball-reference.com/teams/ORL/2016.html" xr:uid="{79B5D53F-E12B-534E-81E4-FDA23BAF60C5}"/>
    <hyperlink ref="B54" r:id="rId5" display="https://www.basketball-reference.com/teams/ORL/2015.html" xr:uid="{0D27BA47-31AD-C341-9B24-C26F782F2EA0}"/>
    <hyperlink ref="B55" r:id="rId6" display="https://www.basketball-reference.com/teams/ORL/2014.html" xr:uid="{2E168092-C81A-D247-A08F-2DDC9A602235}"/>
    <hyperlink ref="B56" r:id="rId7" display="https://www.basketball-reference.com/teams/ORL/2013.html" xr:uid="{A4D5CB4B-2989-5D4F-B899-3F0A690A97D1}"/>
    <hyperlink ref="B57" r:id="rId8" display="https://www.basketball-reference.com/teams/ORL/2012.html" xr:uid="{C9223240-C909-4044-B6B1-111D5DCAAFDF}"/>
    <hyperlink ref="B58" r:id="rId9" display="https://www.basketball-reference.com/teams/ORL/2011.html" xr:uid="{B1F60226-B3E8-A849-A2C5-1A50CC441158}"/>
    <hyperlink ref="B49" r:id="rId10" xr:uid="{F0C59A4A-1C31-F045-BB72-594299467732}"/>
  </hyperlinks>
  <pageMargins left="0.7" right="0.7" top="0.75" bottom="0.75" header="0.3" footer="0.3"/>
  <legacyDrawing r:id="rId1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1224C-1F26-A44D-BAC7-CCBAFF8921B0}">
  <dimension ref="A1:AR64"/>
  <sheetViews>
    <sheetView zoomScaleNormal="100" workbookViewId="0">
      <selection sqref="A1:AR1"/>
    </sheetView>
  </sheetViews>
  <sheetFormatPr baseColWidth="10" defaultColWidth="10.83203125" defaultRowHeight="16" x14ac:dyDescent="0.2"/>
  <cols>
    <col min="1" max="1" width="3.5" style="3" customWidth="1"/>
    <col min="2" max="2" width="18.5" style="3" customWidth="1"/>
    <col min="3" max="3" width="10.83203125" style="3"/>
    <col min="4" max="4" width="7.5" style="3" customWidth="1"/>
    <col min="5" max="5" width="10.83203125" style="3"/>
    <col min="6" max="6" width="8.1640625" style="3" customWidth="1"/>
    <col min="7" max="7" width="10.33203125" style="3" customWidth="1"/>
    <col min="8" max="8" width="5.83203125" style="3" customWidth="1"/>
    <col min="9" max="9" width="25.6640625" style="3" customWidth="1"/>
    <col min="10" max="10" width="11" style="3" customWidth="1"/>
    <col min="11" max="11" width="11.1640625" style="3" customWidth="1"/>
    <col min="12" max="12" width="4.5" style="3" customWidth="1"/>
    <col min="13" max="13" width="33.33203125" style="3" customWidth="1"/>
    <col min="14" max="14" width="14.6640625" style="3" customWidth="1"/>
    <col min="15" max="15" width="47.6640625" style="3" customWidth="1"/>
    <col min="16" max="16" width="13.33203125" style="3" bestFit="1" customWidth="1"/>
    <col min="17" max="20" width="12.33203125" style="3" bestFit="1" customWidth="1"/>
    <col min="21" max="21" width="11.6640625" style="3" bestFit="1" customWidth="1"/>
    <col min="22" max="22" width="95.6640625" style="3" customWidth="1"/>
    <col min="23" max="23" width="27" style="3" customWidth="1"/>
    <col min="24" max="24" width="9.5" style="3" customWidth="1"/>
    <col min="25" max="25" width="3.6640625" style="3" customWidth="1"/>
    <col min="26" max="26" width="7.83203125" style="3" customWidth="1"/>
    <col min="27" max="27" width="6" style="3" customWidth="1"/>
    <col min="28" max="28" width="5.83203125" style="3" customWidth="1"/>
    <col min="29" max="29" width="7.5" style="3" customWidth="1"/>
    <col min="30" max="30" width="5.1640625" style="3" customWidth="1"/>
    <col min="31" max="31" width="4.83203125" style="3" customWidth="1"/>
    <col min="32" max="32" width="5.83203125" style="3" customWidth="1"/>
    <col min="33" max="33" width="7.6640625" style="3" customWidth="1"/>
    <col min="34" max="35" width="5.1640625" style="3" customWidth="1"/>
    <col min="36" max="36" width="7" style="3" customWidth="1"/>
    <col min="37" max="37" width="6.33203125" style="3" customWidth="1"/>
    <col min="38" max="38" width="5.83203125" style="3" customWidth="1"/>
    <col min="39" max="39" width="5.6640625" style="3" customWidth="1"/>
    <col min="40" max="40" width="5.1640625" style="3" customWidth="1"/>
    <col min="41" max="16384" width="10.83203125" style="3"/>
  </cols>
  <sheetData>
    <row r="1" spans="1:44" x14ac:dyDescent="0.2">
      <c r="A1" s="223" t="s">
        <v>2394</v>
      </c>
      <c r="B1" s="223" t="s">
        <v>2395</v>
      </c>
      <c r="C1" s="223" t="s">
        <v>2396</v>
      </c>
      <c r="D1" s="223" t="s">
        <v>2397</v>
      </c>
      <c r="E1" s="223" t="s">
        <v>2398</v>
      </c>
      <c r="F1" s="223" t="s">
        <v>2399</v>
      </c>
      <c r="G1" s="223" t="s">
        <v>2400</v>
      </c>
      <c r="H1" s="223" t="s">
        <v>2401</v>
      </c>
      <c r="I1" s="223" t="s">
        <v>2402</v>
      </c>
      <c r="J1" s="223" t="s">
        <v>2403</v>
      </c>
      <c r="K1" s="223" t="s">
        <v>2404</v>
      </c>
      <c r="L1" s="223" t="s">
        <v>2405</v>
      </c>
      <c r="M1" s="223" t="s">
        <v>2406</v>
      </c>
      <c r="N1" s="223" t="s">
        <v>2407</v>
      </c>
      <c r="O1" s="223" t="s">
        <v>2408</v>
      </c>
      <c r="P1" s="223" t="s">
        <v>2409</v>
      </c>
      <c r="Q1" s="223" t="s">
        <v>2410</v>
      </c>
      <c r="R1" s="223" t="s">
        <v>2411</v>
      </c>
      <c r="S1" s="223" t="s">
        <v>2412</v>
      </c>
      <c r="T1" s="223" t="s">
        <v>2413</v>
      </c>
      <c r="U1" s="223" t="s">
        <v>2414</v>
      </c>
      <c r="V1" s="223" t="s">
        <v>2415</v>
      </c>
      <c r="W1" s="223" t="s">
        <v>2416</v>
      </c>
      <c r="X1" s="223" t="s">
        <v>2433</v>
      </c>
      <c r="Y1" s="223" t="s">
        <v>2417</v>
      </c>
      <c r="Z1" s="223" t="s">
        <v>2418</v>
      </c>
      <c r="AA1" s="223" t="s">
        <v>2419</v>
      </c>
      <c r="AB1" s="223" t="s">
        <v>2420</v>
      </c>
      <c r="AC1" s="223" t="s">
        <v>2421</v>
      </c>
      <c r="AD1" s="223" t="s">
        <v>2422</v>
      </c>
      <c r="AE1" s="223" t="s">
        <v>2423</v>
      </c>
      <c r="AF1" s="223" t="s">
        <v>2424</v>
      </c>
      <c r="AG1" s="223" t="s">
        <v>2425</v>
      </c>
      <c r="AH1" s="223" t="s">
        <v>2426</v>
      </c>
      <c r="AI1" s="223" t="s">
        <v>2427</v>
      </c>
      <c r="AJ1" s="223" t="s">
        <v>2428</v>
      </c>
      <c r="AK1" s="223" t="s">
        <v>2429</v>
      </c>
      <c r="AL1" s="223" t="s">
        <v>2430</v>
      </c>
      <c r="AM1" s="223" t="s">
        <v>2431</v>
      </c>
      <c r="AN1" s="223" t="s">
        <v>2432</v>
      </c>
      <c r="AO1" s="224"/>
      <c r="AP1" s="225"/>
      <c r="AQ1" s="6"/>
      <c r="AR1" s="6"/>
    </row>
    <row r="2" spans="1:44" x14ac:dyDescent="0.2">
      <c r="A2" s="3">
        <v>12</v>
      </c>
      <c r="B2" s="3" t="s">
        <v>1645</v>
      </c>
      <c r="C2" s="3" t="s">
        <v>244</v>
      </c>
      <c r="D2" s="108">
        <v>68</v>
      </c>
      <c r="E2" s="108">
        <v>611</v>
      </c>
      <c r="F2" s="109">
        <v>226</v>
      </c>
      <c r="G2" s="4">
        <v>33800</v>
      </c>
      <c r="H2" s="113">
        <f ca="1">ROUNDDOWN(YEARFRAC($G$27,G2),1)</f>
        <v>28.2</v>
      </c>
      <c r="I2" s="3" t="s">
        <v>382</v>
      </c>
      <c r="J2" s="3">
        <v>10</v>
      </c>
      <c r="K2" s="3">
        <v>2011</v>
      </c>
      <c r="L2" s="3">
        <v>19</v>
      </c>
      <c r="M2" s="3" t="s">
        <v>1646</v>
      </c>
      <c r="N2" s="3" t="s">
        <v>1</v>
      </c>
      <c r="O2" s="3" t="s">
        <v>2295</v>
      </c>
      <c r="P2" s="11">
        <v>34358850</v>
      </c>
      <c r="Q2" s="11">
        <v>35995950</v>
      </c>
      <c r="R2" s="11">
        <v>37633050</v>
      </c>
      <c r="S2" s="11">
        <v>39270150</v>
      </c>
      <c r="T2" s="14">
        <v>50646400</v>
      </c>
      <c r="V2" s="3" t="s">
        <v>1647</v>
      </c>
      <c r="W2" s="3" t="s">
        <v>1648</v>
      </c>
      <c r="X2" s="110">
        <v>4</v>
      </c>
      <c r="Y2" s="110">
        <v>65</v>
      </c>
      <c r="Z2" s="41">
        <f>39/65</f>
        <v>0.6</v>
      </c>
      <c r="AA2" s="113">
        <v>109.7</v>
      </c>
      <c r="AB2" s="113">
        <v>106.7</v>
      </c>
      <c r="AC2" s="113">
        <f t="shared" ref="AC2:AC13" si="0">AA2-AB2</f>
        <v>3</v>
      </c>
      <c r="AD2" s="113">
        <v>34.5</v>
      </c>
      <c r="AE2" s="113">
        <v>16.8</v>
      </c>
      <c r="AF2" s="41">
        <v>0.55700000000000005</v>
      </c>
      <c r="AG2" s="113">
        <v>23.6</v>
      </c>
      <c r="AH2" s="113">
        <v>3</v>
      </c>
      <c r="AI2" s="113">
        <v>2.6</v>
      </c>
      <c r="AJ2" s="41">
        <v>0.12</v>
      </c>
      <c r="AK2" s="113">
        <v>1</v>
      </c>
      <c r="AL2" s="113">
        <v>-0.4</v>
      </c>
      <c r="AM2" s="113">
        <v>1.5</v>
      </c>
      <c r="AN2" s="113">
        <v>12.4</v>
      </c>
    </row>
    <row r="3" spans="1:44" x14ac:dyDescent="0.2">
      <c r="A3" s="3">
        <v>21</v>
      </c>
      <c r="B3" s="3" t="s">
        <v>1651</v>
      </c>
      <c r="C3" s="3" t="s">
        <v>236</v>
      </c>
      <c r="D3" s="108">
        <v>70</v>
      </c>
      <c r="E3" s="108">
        <v>76</v>
      </c>
      <c r="F3" s="109">
        <v>280</v>
      </c>
      <c r="G3" s="4">
        <v>34409</v>
      </c>
      <c r="H3" s="113">
        <f t="shared" ref="H3:H13" ca="1" si="1">ROUNDDOWN(YEARFRAC($G$27,G3),1)</f>
        <v>26.6</v>
      </c>
      <c r="I3" s="3" t="s">
        <v>524</v>
      </c>
      <c r="J3" s="3">
        <v>7</v>
      </c>
      <c r="K3" s="3">
        <v>2014</v>
      </c>
      <c r="L3" s="3">
        <v>3</v>
      </c>
      <c r="M3" s="3" t="s">
        <v>1652</v>
      </c>
      <c r="N3" s="3" t="s">
        <v>1</v>
      </c>
      <c r="O3" s="3" t="s">
        <v>2296</v>
      </c>
      <c r="P3" s="11">
        <v>29542010</v>
      </c>
      <c r="Q3" s="11">
        <v>31579390</v>
      </c>
      <c r="R3" s="11">
        <v>33616770</v>
      </c>
      <c r="S3" s="14">
        <v>41343750</v>
      </c>
      <c r="W3" s="5" t="s">
        <v>240</v>
      </c>
      <c r="X3" s="110">
        <v>5</v>
      </c>
      <c r="Y3" s="110">
        <v>44</v>
      </c>
      <c r="Z3" s="41">
        <f>28/44</f>
        <v>0.63636363636363635</v>
      </c>
      <c r="AA3" s="113">
        <v>106.2</v>
      </c>
      <c r="AB3" s="113">
        <v>101.4</v>
      </c>
      <c r="AC3" s="113">
        <f t="shared" si="0"/>
        <v>4.7999999999999972</v>
      </c>
      <c r="AD3" s="113">
        <v>30.2</v>
      </c>
      <c r="AE3" s="113">
        <v>26</v>
      </c>
      <c r="AF3" s="41">
        <v>0.59299999999999997</v>
      </c>
      <c r="AG3" s="113">
        <v>32.6</v>
      </c>
      <c r="AH3" s="113">
        <v>3.2</v>
      </c>
      <c r="AI3" s="113">
        <v>2.4</v>
      </c>
      <c r="AJ3" s="41">
        <v>0.20300000000000001</v>
      </c>
      <c r="AK3" s="113">
        <v>4.0999999999999996</v>
      </c>
      <c r="AL3" s="113">
        <v>1.2</v>
      </c>
      <c r="AM3" s="113">
        <v>2.4</v>
      </c>
      <c r="AN3" s="113">
        <v>19.7</v>
      </c>
    </row>
    <row r="4" spans="1:44" x14ac:dyDescent="0.2">
      <c r="A4" s="3">
        <v>42</v>
      </c>
      <c r="B4" s="3" t="s">
        <v>1649</v>
      </c>
      <c r="C4" s="3" t="s">
        <v>236</v>
      </c>
      <c r="D4" s="108">
        <v>69</v>
      </c>
      <c r="E4" s="108">
        <v>71</v>
      </c>
      <c r="F4" s="109">
        <v>240</v>
      </c>
      <c r="G4" s="4">
        <v>31566</v>
      </c>
      <c r="H4" s="113">
        <f t="shared" ca="1" si="1"/>
        <v>34.299999999999997</v>
      </c>
      <c r="I4" s="3" t="s">
        <v>470</v>
      </c>
      <c r="J4" s="3">
        <v>14</v>
      </c>
      <c r="K4" s="3">
        <v>2007</v>
      </c>
      <c r="L4" s="3">
        <v>3</v>
      </c>
      <c r="M4" s="3" t="s">
        <v>721</v>
      </c>
      <c r="N4" s="3" t="s">
        <v>285</v>
      </c>
      <c r="O4" s="3" t="s">
        <v>2297</v>
      </c>
      <c r="P4" s="11">
        <v>27500000</v>
      </c>
      <c r="Q4" s="11">
        <v>27000000</v>
      </c>
      <c r="R4" s="15">
        <v>26500000</v>
      </c>
      <c r="S4" s="14">
        <f>R4*1.5</f>
        <v>39750000</v>
      </c>
      <c r="W4" s="3" t="s">
        <v>1650</v>
      </c>
      <c r="X4" s="110">
        <v>5</v>
      </c>
      <c r="Y4" s="110">
        <v>60</v>
      </c>
      <c r="Z4" s="41">
        <f>35/60</f>
        <v>0.58333333333333337</v>
      </c>
      <c r="AA4" s="113">
        <v>109.5</v>
      </c>
      <c r="AB4" s="113">
        <v>106</v>
      </c>
      <c r="AC4" s="113">
        <f t="shared" si="0"/>
        <v>3.5</v>
      </c>
      <c r="AD4" s="113">
        <v>30.8</v>
      </c>
      <c r="AE4" s="113">
        <v>15.6</v>
      </c>
      <c r="AF4" s="41">
        <v>0.52600000000000002</v>
      </c>
      <c r="AG4" s="113">
        <v>17.600000000000001</v>
      </c>
      <c r="AH4" s="113">
        <v>2.5</v>
      </c>
      <c r="AI4" s="113">
        <v>2.5</v>
      </c>
      <c r="AJ4" s="41">
        <v>0.13</v>
      </c>
      <c r="AK4" s="113">
        <v>1.1000000000000001</v>
      </c>
      <c r="AL4" s="113">
        <v>1.1000000000000001</v>
      </c>
      <c r="AM4" s="113">
        <v>2</v>
      </c>
      <c r="AN4" s="113">
        <v>11.1</v>
      </c>
    </row>
    <row r="5" spans="1:44" x14ac:dyDescent="0.2">
      <c r="A5" s="3">
        <v>25</v>
      </c>
      <c r="B5" s="3" t="s">
        <v>214</v>
      </c>
      <c r="C5" s="3" t="s">
        <v>250</v>
      </c>
      <c r="D5" s="108">
        <v>610</v>
      </c>
      <c r="E5" s="108">
        <v>70</v>
      </c>
      <c r="F5" s="109">
        <v>240</v>
      </c>
      <c r="G5" s="4">
        <v>35266</v>
      </c>
      <c r="H5" s="113">
        <f t="shared" ca="1" si="1"/>
        <v>24.2</v>
      </c>
      <c r="I5" s="3" t="s">
        <v>405</v>
      </c>
      <c r="J5" s="3">
        <v>5</v>
      </c>
      <c r="K5" s="3">
        <v>2016</v>
      </c>
      <c r="L5" s="3">
        <v>1</v>
      </c>
      <c r="M5" s="3" t="s">
        <v>1656</v>
      </c>
      <c r="N5" s="3" t="s">
        <v>1</v>
      </c>
      <c r="O5" s="3" t="s">
        <v>2298</v>
      </c>
      <c r="P5" s="11">
        <v>27285000</v>
      </c>
      <c r="Q5" s="11">
        <v>29467800</v>
      </c>
      <c r="R5" s="11">
        <v>31650600</v>
      </c>
      <c r="S5" s="11">
        <v>33833400</v>
      </c>
      <c r="T5" s="11">
        <v>36016200</v>
      </c>
      <c r="U5" s="52">
        <v>53178650</v>
      </c>
      <c r="V5" s="3" t="s">
        <v>1657</v>
      </c>
      <c r="W5" s="3" t="s">
        <v>1658</v>
      </c>
      <c r="X5" s="110">
        <v>1</v>
      </c>
      <c r="Y5" s="110">
        <v>54</v>
      </c>
      <c r="Z5" s="41">
        <f>33/54</f>
        <v>0.61111111111111116</v>
      </c>
      <c r="AA5" s="113">
        <v>109.1</v>
      </c>
      <c r="AB5" s="113">
        <v>106.9</v>
      </c>
      <c r="AC5" s="113">
        <f t="shared" si="0"/>
        <v>2.1999999999999886</v>
      </c>
      <c r="AD5" s="113">
        <v>35.700000000000003</v>
      </c>
      <c r="AE5" s="113">
        <v>20.8</v>
      </c>
      <c r="AF5" s="41">
        <v>0.60799999999999998</v>
      </c>
      <c r="AG5" s="113">
        <v>20.9</v>
      </c>
      <c r="AH5" s="113">
        <v>3.8</v>
      </c>
      <c r="AI5" s="113">
        <v>3.2</v>
      </c>
      <c r="AJ5" s="41">
        <v>0.17399999999999999</v>
      </c>
      <c r="AK5" s="113">
        <v>1.4</v>
      </c>
      <c r="AL5" s="113">
        <v>2.4</v>
      </c>
      <c r="AM5" s="113">
        <v>2.9</v>
      </c>
      <c r="AN5" s="113">
        <v>14.5</v>
      </c>
    </row>
    <row r="6" spans="1:44" x14ac:dyDescent="0.2">
      <c r="A6" s="3">
        <v>0</v>
      </c>
      <c r="B6" s="3" t="s">
        <v>1653</v>
      </c>
      <c r="C6" s="3" t="s">
        <v>232</v>
      </c>
      <c r="D6" s="108">
        <v>65</v>
      </c>
      <c r="E6" s="108">
        <v>610</v>
      </c>
      <c r="F6" s="109">
        <v>200</v>
      </c>
      <c r="G6" s="4">
        <v>34227</v>
      </c>
      <c r="H6" s="113">
        <f t="shared" ca="1" si="1"/>
        <v>27.1</v>
      </c>
      <c r="I6" s="3" t="s">
        <v>382</v>
      </c>
      <c r="J6" s="3">
        <v>6</v>
      </c>
      <c r="K6" s="3">
        <v>2015</v>
      </c>
      <c r="L6" s="3">
        <v>40</v>
      </c>
      <c r="M6" s="3" t="s">
        <v>1654</v>
      </c>
      <c r="N6" s="3" t="s">
        <v>1189</v>
      </c>
      <c r="O6" s="3" t="s">
        <v>2299</v>
      </c>
      <c r="P6" s="11">
        <v>10865952</v>
      </c>
      <c r="Q6" s="48">
        <v>11615328</v>
      </c>
      <c r="R6" s="14">
        <f>Q6*1.5</f>
        <v>17422992</v>
      </c>
      <c r="W6" s="3" t="s">
        <v>1655</v>
      </c>
      <c r="X6" s="110">
        <v>2</v>
      </c>
      <c r="Y6" s="110">
        <v>48</v>
      </c>
      <c r="Z6" s="41">
        <f>29/48</f>
        <v>0.60416666666666663</v>
      </c>
      <c r="AA6" s="113">
        <v>108</v>
      </c>
      <c r="AB6" s="113">
        <v>104.2</v>
      </c>
      <c r="AC6" s="113">
        <f t="shared" si="0"/>
        <v>3.7999999999999972</v>
      </c>
      <c r="AD6" s="113">
        <v>30.7</v>
      </c>
      <c r="AE6" s="113">
        <v>12.1</v>
      </c>
      <c r="AF6" s="41">
        <v>0.52600000000000002</v>
      </c>
      <c r="AG6" s="113">
        <v>21.1</v>
      </c>
      <c r="AH6" s="113">
        <v>0.3</v>
      </c>
      <c r="AI6" s="113">
        <v>1.6</v>
      </c>
      <c r="AJ6" s="41">
        <v>6.2E-2</v>
      </c>
      <c r="AK6" s="113">
        <v>-1.5</v>
      </c>
      <c r="AL6" s="113">
        <v>-0.2</v>
      </c>
      <c r="AM6" s="113">
        <v>0.1</v>
      </c>
      <c r="AN6" s="113">
        <v>8.1</v>
      </c>
    </row>
    <row r="7" spans="1:44" x14ac:dyDescent="0.2">
      <c r="A7" s="3">
        <v>1</v>
      </c>
      <c r="B7" s="3" t="s">
        <v>1659</v>
      </c>
      <c r="C7" s="3" t="s">
        <v>236</v>
      </c>
      <c r="D7" s="108">
        <v>67</v>
      </c>
      <c r="E7" s="108">
        <v>611</v>
      </c>
      <c r="F7" s="109">
        <v>237</v>
      </c>
      <c r="G7" s="4">
        <v>32340</v>
      </c>
      <c r="H7" s="113">
        <f t="shared" ca="1" si="1"/>
        <v>32.200000000000003</v>
      </c>
      <c r="I7" s="3" t="s">
        <v>245</v>
      </c>
      <c r="J7" s="3">
        <v>9</v>
      </c>
      <c r="K7" s="3">
        <v>2012</v>
      </c>
      <c r="L7" s="3">
        <v>43</v>
      </c>
      <c r="M7" s="3" t="s">
        <v>1646</v>
      </c>
      <c r="N7" s="3" t="s">
        <v>299</v>
      </c>
      <c r="O7" s="3" t="s">
        <v>2094</v>
      </c>
      <c r="P7" s="11">
        <v>5005350</v>
      </c>
      <c r="Q7" s="14">
        <f>P7*1.9</f>
        <v>9510165</v>
      </c>
      <c r="W7" s="3" t="s">
        <v>1660</v>
      </c>
      <c r="X7" s="110">
        <v>4</v>
      </c>
      <c r="Y7" s="110">
        <v>63</v>
      </c>
      <c r="Z7" s="41">
        <f>37/63</f>
        <v>0.58730158730158732</v>
      </c>
      <c r="AA7" s="113">
        <v>109.3</v>
      </c>
      <c r="AB7" s="113">
        <v>104.8</v>
      </c>
      <c r="AC7" s="113">
        <f t="shared" si="0"/>
        <v>4.5</v>
      </c>
      <c r="AD7" s="113">
        <v>17.8</v>
      </c>
      <c r="AE7" s="113">
        <v>10.199999999999999</v>
      </c>
      <c r="AF7" s="41">
        <v>0.53900000000000003</v>
      </c>
      <c r="AG7" s="113">
        <v>13.8</v>
      </c>
      <c r="AH7" s="113">
        <v>1</v>
      </c>
      <c r="AI7" s="113">
        <v>1.1000000000000001</v>
      </c>
      <c r="AJ7" s="41">
        <v>8.8999999999999996E-2</v>
      </c>
      <c r="AK7" s="113">
        <v>-1.2</v>
      </c>
      <c r="AL7" s="113">
        <v>-1.1000000000000001</v>
      </c>
      <c r="AM7" s="113">
        <v>-0.1</v>
      </c>
      <c r="AN7" s="113">
        <v>7.4</v>
      </c>
    </row>
    <row r="8" spans="1:44" x14ac:dyDescent="0.2">
      <c r="A8" s="3">
        <v>5</v>
      </c>
      <c r="B8" s="3" t="s">
        <v>1661</v>
      </c>
      <c r="C8" s="3" t="s">
        <v>255</v>
      </c>
      <c r="D8" s="108">
        <v>63</v>
      </c>
      <c r="E8" s="108">
        <v>610</v>
      </c>
      <c r="F8" s="109">
        <v>205</v>
      </c>
      <c r="G8" s="4">
        <v>36315</v>
      </c>
      <c r="H8" s="113">
        <f t="shared" ca="1" si="1"/>
        <v>21.3</v>
      </c>
      <c r="I8" s="3" t="s">
        <v>675</v>
      </c>
      <c r="J8" s="3">
        <v>3</v>
      </c>
      <c r="K8" s="3">
        <v>2018</v>
      </c>
      <c r="L8" s="3">
        <v>16</v>
      </c>
      <c r="M8" s="3" t="s">
        <v>1662</v>
      </c>
      <c r="N8" s="3" t="s">
        <v>247</v>
      </c>
      <c r="O8" s="3" t="s">
        <v>2300</v>
      </c>
      <c r="P8" s="11">
        <v>3204600</v>
      </c>
      <c r="Q8" s="51">
        <v>4915856</v>
      </c>
      <c r="R8" s="50">
        <f>Q8*3</f>
        <v>14747568</v>
      </c>
      <c r="W8" s="3" t="s">
        <v>1663</v>
      </c>
      <c r="X8" s="110">
        <v>3</v>
      </c>
      <c r="Y8" s="110">
        <v>7</v>
      </c>
      <c r="Z8" s="41">
        <f>3/7</f>
        <v>0.42857142857142855</v>
      </c>
      <c r="AA8" s="113">
        <v>102.8</v>
      </c>
      <c r="AB8" s="113">
        <v>115.1</v>
      </c>
      <c r="AC8" s="113">
        <f t="shared" si="0"/>
        <v>-12.299999999999997</v>
      </c>
      <c r="AD8" s="113">
        <v>4.5999999999999996</v>
      </c>
      <c r="AE8" s="113">
        <v>1.1000000000000001</v>
      </c>
      <c r="AF8" s="41">
        <v>0.313</v>
      </c>
      <c r="AG8" s="113">
        <v>19.899999999999999</v>
      </c>
      <c r="AH8" s="113">
        <v>-0.1</v>
      </c>
      <c r="AI8" s="113">
        <v>0.1</v>
      </c>
      <c r="AJ8" s="41">
        <v>-0.11799999999999999</v>
      </c>
      <c r="AK8" s="113">
        <v>-10.8</v>
      </c>
      <c r="AL8" s="113">
        <v>0.8</v>
      </c>
      <c r="AM8" s="113">
        <v>-0.1</v>
      </c>
      <c r="AN8" s="113">
        <v>-0.8</v>
      </c>
    </row>
    <row r="9" spans="1:44" x14ac:dyDescent="0.2">
      <c r="A9" s="3">
        <v>22</v>
      </c>
      <c r="B9" s="3" t="s">
        <v>1664</v>
      </c>
      <c r="C9" s="3" t="s">
        <v>255</v>
      </c>
      <c r="D9" s="108">
        <v>65</v>
      </c>
      <c r="E9" s="108">
        <v>70</v>
      </c>
      <c r="F9" s="109">
        <v>200</v>
      </c>
      <c r="G9" s="4">
        <v>35493</v>
      </c>
      <c r="H9" s="113">
        <f t="shared" ca="1" si="1"/>
        <v>23.6</v>
      </c>
      <c r="I9" s="3" t="s">
        <v>1389</v>
      </c>
      <c r="J9" s="3">
        <v>2</v>
      </c>
      <c r="K9" s="3">
        <v>2019</v>
      </c>
      <c r="L9" s="3">
        <v>20</v>
      </c>
      <c r="M9" s="3" t="s">
        <v>1665</v>
      </c>
      <c r="N9" s="3" t="s">
        <v>247</v>
      </c>
      <c r="O9" s="11" t="s">
        <v>2163</v>
      </c>
      <c r="P9" s="11">
        <v>2711280</v>
      </c>
      <c r="Q9" s="51">
        <v>2840160</v>
      </c>
      <c r="R9" s="51">
        <v>4379527</v>
      </c>
      <c r="S9" s="50">
        <f>R9*3</f>
        <v>13138581</v>
      </c>
      <c r="W9" s="3" t="s">
        <v>1666</v>
      </c>
      <c r="X9" s="110">
        <v>2</v>
      </c>
      <c r="Y9" s="110">
        <v>57</v>
      </c>
      <c r="Z9" s="41">
        <f>36/57</f>
        <v>0.63157894736842102</v>
      </c>
      <c r="AA9" s="113">
        <v>105.3</v>
      </c>
      <c r="AB9" s="113">
        <v>103.6</v>
      </c>
      <c r="AC9" s="113">
        <f t="shared" si="0"/>
        <v>1.7000000000000028</v>
      </c>
      <c r="AD9" s="113">
        <v>19.5</v>
      </c>
      <c r="AE9" s="113">
        <v>9.8000000000000007</v>
      </c>
      <c r="AF9" s="41">
        <v>0.53</v>
      </c>
      <c r="AG9" s="113">
        <v>11.6</v>
      </c>
      <c r="AH9" s="113">
        <v>0.1</v>
      </c>
      <c r="AI9" s="113">
        <v>1.8</v>
      </c>
      <c r="AJ9" s="41">
        <v>8.4000000000000005E-2</v>
      </c>
      <c r="AK9" s="113">
        <v>-3</v>
      </c>
      <c r="AL9" s="113">
        <v>3.1</v>
      </c>
      <c r="AM9" s="113">
        <v>0.6</v>
      </c>
      <c r="AN9" s="113">
        <v>4.3</v>
      </c>
    </row>
    <row r="10" spans="1:44" x14ac:dyDescent="0.2">
      <c r="A10" s="3">
        <v>30</v>
      </c>
      <c r="B10" s="3" t="s">
        <v>144</v>
      </c>
      <c r="C10" s="3" t="s">
        <v>255</v>
      </c>
      <c r="D10" s="108">
        <v>67</v>
      </c>
      <c r="E10" s="108">
        <v>67</v>
      </c>
      <c r="F10" s="109">
        <v>202</v>
      </c>
      <c r="G10" s="4">
        <v>35635</v>
      </c>
      <c r="H10" s="113">
        <f t="shared" ca="1" si="1"/>
        <v>23.2</v>
      </c>
      <c r="I10" s="3" t="s">
        <v>1669</v>
      </c>
      <c r="J10" s="3">
        <v>4</v>
      </c>
      <c r="K10" s="3">
        <v>2016</v>
      </c>
      <c r="L10" s="3">
        <v>26</v>
      </c>
      <c r="M10" s="3" t="s">
        <v>1670</v>
      </c>
      <c r="N10" s="3" t="s">
        <v>282</v>
      </c>
      <c r="O10" s="163" t="s">
        <v>460</v>
      </c>
      <c r="P10" s="15">
        <v>1762796</v>
      </c>
      <c r="Q10" s="14">
        <v>1856061</v>
      </c>
      <c r="W10" s="3" t="s">
        <v>1671</v>
      </c>
      <c r="X10" s="110">
        <v>3</v>
      </c>
      <c r="Y10" s="110">
        <v>64</v>
      </c>
      <c r="Z10" s="41">
        <f>38/64</f>
        <v>0.59375</v>
      </c>
      <c r="AA10" s="113">
        <v>108.4</v>
      </c>
      <c r="AB10" s="113">
        <v>105.5</v>
      </c>
      <c r="AC10" s="113">
        <f t="shared" si="0"/>
        <v>2.9000000000000057</v>
      </c>
      <c r="AD10" s="113">
        <v>21.8</v>
      </c>
      <c r="AE10" s="113">
        <v>11.7</v>
      </c>
      <c r="AF10" s="41">
        <v>0.57099999999999995</v>
      </c>
      <c r="AG10" s="113">
        <v>18.5</v>
      </c>
      <c r="AH10" s="113">
        <v>1</v>
      </c>
      <c r="AI10" s="113">
        <v>1.3</v>
      </c>
      <c r="AJ10" s="41">
        <v>7.9000000000000001E-2</v>
      </c>
      <c r="AK10" s="113">
        <v>-0.6</v>
      </c>
      <c r="AL10" s="113">
        <v>-0.9</v>
      </c>
      <c r="AM10" s="113">
        <v>0.2</v>
      </c>
      <c r="AN10" s="113">
        <v>7.7</v>
      </c>
    </row>
    <row r="11" spans="1:44" x14ac:dyDescent="0.2">
      <c r="A11" s="3">
        <v>18</v>
      </c>
      <c r="B11" s="3" t="s">
        <v>1676</v>
      </c>
      <c r="C11" s="3" t="s">
        <v>232</v>
      </c>
      <c r="D11" s="108">
        <v>65</v>
      </c>
      <c r="E11" s="108">
        <v>70</v>
      </c>
      <c r="F11" s="109">
        <v>205</v>
      </c>
      <c r="G11" s="4">
        <v>35334</v>
      </c>
      <c r="H11" s="113">
        <f t="shared" ca="1" si="1"/>
        <v>24</v>
      </c>
      <c r="I11" s="3" t="s">
        <v>389</v>
      </c>
      <c r="J11" s="3">
        <v>3</v>
      </c>
      <c r="K11" s="3">
        <v>2018</v>
      </c>
      <c r="L11" s="3">
        <v>54</v>
      </c>
      <c r="M11" s="3" t="s">
        <v>1677</v>
      </c>
      <c r="N11" s="3" t="s">
        <v>285</v>
      </c>
      <c r="O11" s="3" t="s">
        <v>2102</v>
      </c>
      <c r="P11" s="11">
        <v>1701593</v>
      </c>
      <c r="Q11" s="11">
        <v>1846738</v>
      </c>
      <c r="R11" s="49">
        <v>1997718</v>
      </c>
      <c r="S11" s="14">
        <v>2046307</v>
      </c>
      <c r="W11" s="3" t="s">
        <v>1678</v>
      </c>
      <c r="X11" s="110">
        <v>2</v>
      </c>
      <c r="Y11" s="110">
        <v>32</v>
      </c>
      <c r="Z11" s="41">
        <f>19/32</f>
        <v>0.59375</v>
      </c>
      <c r="AA11" s="113">
        <v>112.7</v>
      </c>
      <c r="AB11" s="113">
        <v>111.3</v>
      </c>
      <c r="AC11" s="113">
        <f t="shared" si="0"/>
        <v>1.4000000000000057</v>
      </c>
      <c r="AD11" s="113">
        <v>19.100000000000001</v>
      </c>
      <c r="AE11" s="113">
        <v>15.2</v>
      </c>
      <c r="AF11" s="41">
        <v>0.63300000000000001</v>
      </c>
      <c r="AG11" s="113">
        <v>19.600000000000001</v>
      </c>
      <c r="AH11" s="113">
        <v>1.1000000000000001</v>
      </c>
      <c r="AI11" s="113">
        <v>0.6</v>
      </c>
      <c r="AJ11" s="41">
        <v>0.13400000000000001</v>
      </c>
      <c r="AK11" s="113">
        <v>0.3</v>
      </c>
      <c r="AL11" s="113">
        <v>-0.6</v>
      </c>
      <c r="AM11" s="113">
        <v>0.3</v>
      </c>
      <c r="AN11" s="113">
        <v>9</v>
      </c>
    </row>
    <row r="12" spans="1:44" x14ac:dyDescent="0.2">
      <c r="A12" s="3">
        <v>14</v>
      </c>
      <c r="B12" s="3" t="s">
        <v>145</v>
      </c>
      <c r="C12" s="3" t="s">
        <v>236</v>
      </c>
      <c r="D12" s="108">
        <v>610</v>
      </c>
      <c r="E12" s="108">
        <v>72</v>
      </c>
      <c r="F12" s="109">
        <v>231</v>
      </c>
      <c r="G12" s="4">
        <v>34003</v>
      </c>
      <c r="H12" s="113">
        <f t="shared" ca="1" si="1"/>
        <v>27.7</v>
      </c>
      <c r="I12" s="3" t="s">
        <v>1679</v>
      </c>
      <c r="J12" s="3">
        <v>2</v>
      </c>
      <c r="K12" s="3">
        <v>2014</v>
      </c>
      <c r="M12" s="3" t="s">
        <v>1061</v>
      </c>
      <c r="N12" s="3" t="s">
        <v>282</v>
      </c>
      <c r="O12" s="163" t="s">
        <v>290</v>
      </c>
      <c r="P12" s="15">
        <v>1517981</v>
      </c>
      <c r="Q12" s="68">
        <v>2056061</v>
      </c>
      <c r="W12" s="3" t="s">
        <v>1680</v>
      </c>
      <c r="X12" s="110">
        <v>5</v>
      </c>
      <c r="Y12" s="110">
        <v>20</v>
      </c>
      <c r="Z12" s="41">
        <f>11/20</f>
        <v>0.55000000000000004</v>
      </c>
      <c r="AA12" s="113">
        <v>97</v>
      </c>
      <c r="AB12" s="113">
        <v>113.4</v>
      </c>
      <c r="AC12" s="113">
        <f t="shared" si="0"/>
        <v>-16.400000000000006</v>
      </c>
      <c r="AD12" s="113">
        <v>8.9</v>
      </c>
      <c r="AE12" s="113">
        <v>11.2</v>
      </c>
      <c r="AF12" s="41">
        <v>0.52100000000000002</v>
      </c>
      <c r="AG12" s="113">
        <v>12.9</v>
      </c>
      <c r="AH12" s="113">
        <v>-0.1</v>
      </c>
      <c r="AI12" s="113">
        <v>0.4</v>
      </c>
      <c r="AJ12" s="41">
        <v>8.2000000000000003E-2</v>
      </c>
      <c r="AK12" s="113">
        <v>-7.1</v>
      </c>
      <c r="AL12" s="113">
        <v>3.1</v>
      </c>
      <c r="AM12" s="113">
        <v>-0.1</v>
      </c>
      <c r="AN12" s="113">
        <v>6.1</v>
      </c>
    </row>
    <row r="13" spans="1:44" x14ac:dyDescent="0.2">
      <c r="A13" s="3">
        <v>35</v>
      </c>
      <c r="B13" s="3" t="s">
        <v>1681</v>
      </c>
      <c r="C13" s="3" t="s">
        <v>255</v>
      </c>
      <c r="D13" s="108">
        <v>65</v>
      </c>
      <c r="E13" s="108">
        <v>70</v>
      </c>
      <c r="F13" s="109">
        <v>196</v>
      </c>
      <c r="G13" s="4">
        <v>34906</v>
      </c>
      <c r="H13" s="113">
        <f t="shared" ca="1" si="1"/>
        <v>25.2</v>
      </c>
      <c r="I13" s="3" t="s">
        <v>230</v>
      </c>
      <c r="J13" s="3">
        <v>2</v>
      </c>
      <c r="K13" s="3">
        <v>2019</v>
      </c>
      <c r="L13" s="3">
        <v>54</v>
      </c>
      <c r="M13" s="3" t="s">
        <v>1682</v>
      </c>
      <c r="N13" s="3" t="s">
        <v>295</v>
      </c>
      <c r="O13" s="163" t="s">
        <v>814</v>
      </c>
      <c r="P13" s="3" t="s">
        <v>295</v>
      </c>
      <c r="Q13" s="34"/>
      <c r="W13" s="3" t="s">
        <v>1683</v>
      </c>
      <c r="X13" s="110">
        <v>2</v>
      </c>
      <c r="Y13" s="110">
        <v>2</v>
      </c>
      <c r="Z13" s="41">
        <f>1/2</f>
        <v>0.5</v>
      </c>
      <c r="AA13" s="113">
        <v>96</v>
      </c>
      <c r="AB13" s="113">
        <v>136</v>
      </c>
      <c r="AC13" s="113">
        <f t="shared" si="0"/>
        <v>-40</v>
      </c>
      <c r="AD13" s="113">
        <v>5.2</v>
      </c>
      <c r="AE13" s="113">
        <v>-2</v>
      </c>
      <c r="AF13" s="41">
        <v>0.3</v>
      </c>
      <c r="AG13" s="113">
        <v>25.9</v>
      </c>
      <c r="AH13" s="113">
        <v>-0.1</v>
      </c>
      <c r="AI13" s="113">
        <v>0</v>
      </c>
      <c r="AJ13" s="41">
        <v>-0.22700000000000001</v>
      </c>
      <c r="AK13" s="113">
        <v>-8.6999999999999993</v>
      </c>
      <c r="AL13" s="113">
        <v>-2.6</v>
      </c>
      <c r="AM13" s="113">
        <v>0</v>
      </c>
      <c r="AN13" s="113">
        <v>3.3</v>
      </c>
    </row>
    <row r="14" spans="1:44" x14ac:dyDescent="0.2">
      <c r="B14" s="3" t="s">
        <v>297</v>
      </c>
      <c r="G14" s="4"/>
      <c r="P14" s="11"/>
      <c r="Q14" s="11"/>
      <c r="R14" s="11"/>
      <c r="S14" s="11"/>
      <c r="X14" s="110"/>
      <c r="Y14" s="110"/>
      <c r="Z14" s="41"/>
      <c r="AA14" s="113"/>
      <c r="AB14" s="113"/>
      <c r="AC14" s="113"/>
      <c r="AD14" s="113"/>
      <c r="AE14" s="113"/>
      <c r="AF14" s="41"/>
      <c r="AJ14" s="41"/>
    </row>
    <row r="15" spans="1:44" x14ac:dyDescent="0.2">
      <c r="B15" s="3" t="s">
        <v>2201</v>
      </c>
      <c r="P15" s="11">
        <v>2478840</v>
      </c>
      <c r="Q15" s="11">
        <v>2602920</v>
      </c>
      <c r="R15" s="51">
        <v>2726880</v>
      </c>
      <c r="S15" s="51">
        <v>4343920</v>
      </c>
      <c r="T15" s="50">
        <f>S15*3</f>
        <v>13031760</v>
      </c>
      <c r="U15" s="60"/>
      <c r="X15" s="110"/>
      <c r="Y15" s="110"/>
      <c r="Z15" s="41"/>
      <c r="AA15" s="113"/>
      <c r="AB15" s="113"/>
      <c r="AC15" s="113"/>
      <c r="AD15" s="113"/>
      <c r="AE15" s="113"/>
      <c r="AF15" s="41"/>
      <c r="AJ15" s="41"/>
    </row>
    <row r="16" spans="1:44" x14ac:dyDescent="0.2">
      <c r="B16" s="3" t="s">
        <v>1684</v>
      </c>
      <c r="P16" s="188">
        <v>898310</v>
      </c>
      <c r="X16" s="110"/>
      <c r="Y16" s="110"/>
      <c r="Z16" s="41"/>
      <c r="AA16" s="113"/>
      <c r="AB16" s="113"/>
      <c r="AC16" s="113"/>
      <c r="AD16" s="113"/>
      <c r="AE16" s="113"/>
      <c r="AF16" s="41"/>
      <c r="AJ16" s="41"/>
    </row>
    <row r="17" spans="1:40" x14ac:dyDescent="0.2">
      <c r="B17" s="3" t="s">
        <v>1685</v>
      </c>
      <c r="P17" s="188">
        <v>898310</v>
      </c>
      <c r="X17" s="110"/>
      <c r="Y17" s="110"/>
      <c r="Z17" s="41"/>
      <c r="AF17" s="41"/>
      <c r="AJ17" s="41"/>
    </row>
    <row r="18" spans="1:40" x14ac:dyDescent="0.2">
      <c r="B18" s="3" t="s">
        <v>1686</v>
      </c>
      <c r="P18" s="188">
        <v>898310</v>
      </c>
      <c r="X18" s="110"/>
      <c r="Y18" s="110"/>
      <c r="Z18" s="41"/>
      <c r="AF18" s="41"/>
      <c r="AJ18" s="41"/>
    </row>
    <row r="19" spans="1:40" x14ac:dyDescent="0.2">
      <c r="B19" s="3" t="s">
        <v>2167</v>
      </c>
      <c r="P19" s="188">
        <v>898310</v>
      </c>
      <c r="X19" s="110"/>
      <c r="Y19" s="110"/>
      <c r="Z19" s="41"/>
      <c r="AJ19" s="41"/>
    </row>
    <row r="20" spans="1:40" x14ac:dyDescent="0.2">
      <c r="P20" s="188"/>
      <c r="X20" s="110"/>
      <c r="Y20" s="110"/>
      <c r="Z20" s="41"/>
      <c r="AJ20" s="41"/>
    </row>
    <row r="21" spans="1:40" x14ac:dyDescent="0.2">
      <c r="A21" s="3">
        <v>40</v>
      </c>
      <c r="B21" s="3" t="s">
        <v>140</v>
      </c>
      <c r="C21" s="3" t="s">
        <v>244</v>
      </c>
      <c r="D21" s="108">
        <v>66</v>
      </c>
      <c r="E21" s="108">
        <v>69</v>
      </c>
      <c r="F21" s="109">
        <v>222</v>
      </c>
      <c r="G21" s="4">
        <v>34342</v>
      </c>
      <c r="H21" s="113">
        <f t="shared" ref="H21:H25" ca="1" si="2">ROUNDDOWN(YEARFRAC($G$27,G21),1)</f>
        <v>26.7</v>
      </c>
      <c r="I21" s="3" t="s">
        <v>443</v>
      </c>
      <c r="J21" s="3">
        <v>7</v>
      </c>
      <c r="K21" s="3">
        <v>2014</v>
      </c>
      <c r="L21" s="3">
        <v>40</v>
      </c>
      <c r="M21" s="3" t="s">
        <v>1361</v>
      </c>
      <c r="P21" s="14">
        <v>1620564</v>
      </c>
      <c r="W21" s="3" t="s">
        <v>1667</v>
      </c>
      <c r="X21" s="110">
        <v>3</v>
      </c>
      <c r="Y21" s="110">
        <v>12</v>
      </c>
      <c r="Z21" s="41">
        <f>7/12</f>
        <v>0.58333333333333337</v>
      </c>
      <c r="AA21" s="113">
        <v>122.4</v>
      </c>
      <c r="AB21" s="113">
        <v>122.6</v>
      </c>
      <c r="AC21" s="113">
        <f t="shared" ref="AC21:AC25" si="3">AA21-AB21</f>
        <v>-0.19999999999998863</v>
      </c>
      <c r="AD21" s="113">
        <v>18.899999999999999</v>
      </c>
      <c r="AE21" s="113">
        <v>14.9</v>
      </c>
      <c r="AF21" s="41">
        <v>0.59399999999999997</v>
      </c>
      <c r="AG21" s="113">
        <v>14.8</v>
      </c>
      <c r="AH21" s="113">
        <v>0.5</v>
      </c>
      <c r="AI21" s="113">
        <v>0.2</v>
      </c>
      <c r="AJ21" s="41">
        <v>0.14699999999999999</v>
      </c>
      <c r="AK21" s="113">
        <v>-0.2</v>
      </c>
      <c r="AL21" s="113">
        <v>-0.9</v>
      </c>
      <c r="AM21" s="113">
        <v>0.1</v>
      </c>
      <c r="AN21" s="113">
        <v>7.8</v>
      </c>
    </row>
    <row r="22" spans="1:40" x14ac:dyDescent="0.2">
      <c r="A22" s="3">
        <v>20</v>
      </c>
      <c r="B22" s="3" t="s">
        <v>141</v>
      </c>
      <c r="C22" s="3" t="s">
        <v>232</v>
      </c>
      <c r="D22" s="108">
        <v>66</v>
      </c>
      <c r="E22" s="108">
        <v>610</v>
      </c>
      <c r="F22" s="109">
        <v>214</v>
      </c>
      <c r="G22" s="4">
        <v>33439</v>
      </c>
      <c r="H22" s="113">
        <f t="shared" ca="1" si="2"/>
        <v>29.2</v>
      </c>
      <c r="I22" s="3" t="s">
        <v>429</v>
      </c>
      <c r="J22" s="3">
        <v>10</v>
      </c>
      <c r="K22" s="3">
        <v>2011</v>
      </c>
      <c r="L22" s="3">
        <v>12</v>
      </c>
      <c r="M22" s="3" t="s">
        <v>1361</v>
      </c>
      <c r="P22" s="14">
        <v>1620564</v>
      </c>
      <c r="W22" s="3" t="s">
        <v>1668</v>
      </c>
      <c r="X22" s="110">
        <v>3</v>
      </c>
      <c r="Y22" s="110">
        <v>11</v>
      </c>
      <c r="Z22" s="41">
        <f>6/11</f>
        <v>0.54545454545454541</v>
      </c>
      <c r="AA22" s="113">
        <v>103.2</v>
      </c>
      <c r="AB22" s="113">
        <v>106.3</v>
      </c>
      <c r="AC22" s="113">
        <f t="shared" si="3"/>
        <v>-3.0999999999999943</v>
      </c>
      <c r="AD22" s="113">
        <v>20.100000000000001</v>
      </c>
      <c r="AE22" s="113">
        <v>14.9</v>
      </c>
      <c r="AF22" s="41">
        <v>0.52700000000000002</v>
      </c>
      <c r="AG22" s="113">
        <v>23.5</v>
      </c>
      <c r="AH22" s="113">
        <v>0.2</v>
      </c>
      <c r="AI22" s="113">
        <v>0.2</v>
      </c>
      <c r="AJ22" s="41">
        <v>0.10299999999999999</v>
      </c>
      <c r="AK22" s="113">
        <v>-0.2</v>
      </c>
      <c r="AL22" s="113">
        <v>-1.5</v>
      </c>
      <c r="AM22" s="113">
        <v>0</v>
      </c>
      <c r="AN22" s="113">
        <v>11.3</v>
      </c>
    </row>
    <row r="23" spans="1:40" x14ac:dyDescent="0.2">
      <c r="A23" s="3">
        <v>19</v>
      </c>
      <c r="B23" s="3" t="s">
        <v>142</v>
      </c>
      <c r="C23" s="3" t="s">
        <v>250</v>
      </c>
      <c r="D23" s="108">
        <v>61</v>
      </c>
      <c r="E23" s="108">
        <v>62</v>
      </c>
      <c r="F23" s="109">
        <v>180</v>
      </c>
      <c r="G23" s="4">
        <v>33743</v>
      </c>
      <c r="H23" s="113">
        <f t="shared" ca="1" si="2"/>
        <v>28.4</v>
      </c>
      <c r="I23" s="3" t="s">
        <v>1672</v>
      </c>
      <c r="J23" s="3">
        <v>6</v>
      </c>
      <c r="K23" s="3">
        <v>2013</v>
      </c>
      <c r="L23" s="3">
        <v>47</v>
      </c>
      <c r="M23" s="3" t="s">
        <v>1673</v>
      </c>
      <c r="P23" s="14">
        <v>1620564</v>
      </c>
      <c r="W23" s="3" t="s">
        <v>1674</v>
      </c>
      <c r="X23" s="110">
        <v>1</v>
      </c>
      <c r="Y23" s="110">
        <v>49</v>
      </c>
      <c r="Z23" s="41">
        <f>27/49</f>
        <v>0.55102040816326525</v>
      </c>
      <c r="AA23" s="113">
        <v>100.6</v>
      </c>
      <c r="AB23" s="113">
        <v>98.7</v>
      </c>
      <c r="AC23" s="113">
        <f t="shared" si="3"/>
        <v>1.8999999999999915</v>
      </c>
      <c r="AD23" s="113">
        <v>11.5</v>
      </c>
      <c r="AE23" s="113">
        <v>11.5</v>
      </c>
      <c r="AF23" s="41">
        <v>0.56200000000000006</v>
      </c>
      <c r="AG23" s="113">
        <v>17.600000000000001</v>
      </c>
      <c r="AH23" s="113">
        <v>0.2</v>
      </c>
      <c r="AI23" s="113">
        <v>0.6</v>
      </c>
      <c r="AJ23" s="41">
        <v>7.0999999999999994E-2</v>
      </c>
      <c r="AK23" s="113">
        <v>-1.8</v>
      </c>
      <c r="AL23" s="113">
        <v>-0.1</v>
      </c>
      <c r="AM23" s="113">
        <v>0</v>
      </c>
      <c r="AN23" s="113">
        <v>8.9</v>
      </c>
    </row>
    <row r="24" spans="1:40" x14ac:dyDescent="0.2">
      <c r="A24" s="3">
        <v>9</v>
      </c>
      <c r="B24" s="3" t="s">
        <v>143</v>
      </c>
      <c r="C24" s="3" t="s">
        <v>236</v>
      </c>
      <c r="D24" s="108">
        <v>69</v>
      </c>
      <c r="E24" s="108">
        <v>75</v>
      </c>
      <c r="F24" s="109">
        <v>250</v>
      </c>
      <c r="G24" s="4">
        <v>32958</v>
      </c>
      <c r="H24" s="113">
        <f t="shared" ca="1" si="2"/>
        <v>30.5</v>
      </c>
      <c r="I24" s="3" t="s">
        <v>1675</v>
      </c>
      <c r="J24" s="3">
        <v>9</v>
      </c>
      <c r="K24" s="3">
        <v>2012</v>
      </c>
      <c r="L24" s="3">
        <v>49</v>
      </c>
      <c r="M24" s="3" t="s">
        <v>1282</v>
      </c>
      <c r="P24" s="14">
        <v>1620564</v>
      </c>
      <c r="W24" s="5" t="s">
        <v>240</v>
      </c>
      <c r="X24" s="110">
        <v>5</v>
      </c>
      <c r="Y24" s="110">
        <v>26</v>
      </c>
      <c r="Z24" s="41">
        <f>17/26</f>
        <v>0.65384615384615385</v>
      </c>
      <c r="AA24" s="113">
        <v>103.5</v>
      </c>
      <c r="AB24" s="113">
        <v>112.4</v>
      </c>
      <c r="AC24" s="113">
        <f t="shared" si="3"/>
        <v>-8.9000000000000057</v>
      </c>
      <c r="AD24" s="113">
        <v>9.9</v>
      </c>
      <c r="AE24" s="113">
        <v>18.100000000000001</v>
      </c>
      <c r="AF24" s="41">
        <v>0.54100000000000004</v>
      </c>
      <c r="AG24" s="113">
        <v>16.5</v>
      </c>
      <c r="AH24" s="113">
        <v>0.3</v>
      </c>
      <c r="AI24" s="113">
        <v>0.5</v>
      </c>
      <c r="AJ24" s="41">
        <v>0.155</v>
      </c>
      <c r="AK24" s="113">
        <v>-0.7</v>
      </c>
      <c r="AL24" s="113">
        <v>2.2000000000000002</v>
      </c>
      <c r="AM24" s="113">
        <v>0.2</v>
      </c>
      <c r="AN24" s="113">
        <v>12.1</v>
      </c>
    </row>
    <row r="25" spans="1:40" x14ac:dyDescent="0.2">
      <c r="A25" s="3">
        <v>45</v>
      </c>
      <c r="B25" s="3" t="s">
        <v>2061</v>
      </c>
      <c r="C25" s="3" t="s">
        <v>244</v>
      </c>
      <c r="D25" s="108">
        <v>66</v>
      </c>
      <c r="E25" s="108">
        <v>610</v>
      </c>
      <c r="F25" s="109">
        <v>215</v>
      </c>
      <c r="G25" s="4">
        <v>33108</v>
      </c>
      <c r="H25" s="113">
        <f t="shared" ca="1" si="2"/>
        <v>30.1</v>
      </c>
      <c r="I25" s="3" t="s">
        <v>2062</v>
      </c>
      <c r="J25" s="3">
        <v>3</v>
      </c>
      <c r="K25" s="3">
        <v>2013</v>
      </c>
      <c r="M25" s="3" t="s">
        <v>2072</v>
      </c>
      <c r="P25" s="14">
        <v>1620564</v>
      </c>
      <c r="Q25" s="58"/>
      <c r="W25" s="3" t="s">
        <v>2063</v>
      </c>
      <c r="X25" s="110">
        <v>3</v>
      </c>
      <c r="Y25" s="110">
        <v>17</v>
      </c>
      <c r="Z25" s="41">
        <f>10/17</f>
        <v>0.58823529411764708</v>
      </c>
      <c r="AA25" s="113">
        <v>115.5</v>
      </c>
      <c r="AB25" s="113">
        <v>113.4</v>
      </c>
      <c r="AC25" s="113">
        <f t="shared" si="3"/>
        <v>2.0999999999999943</v>
      </c>
      <c r="AD25" s="113">
        <v>10.6</v>
      </c>
      <c r="AE25" s="113">
        <v>13.1</v>
      </c>
      <c r="AF25" s="41">
        <v>0.56799999999999995</v>
      </c>
      <c r="AG25" s="113">
        <v>16.3</v>
      </c>
      <c r="AH25" s="113">
        <v>0.2</v>
      </c>
      <c r="AI25" s="113">
        <v>0.2</v>
      </c>
      <c r="AJ25" s="41">
        <v>0.11600000000000001</v>
      </c>
      <c r="AK25" s="113">
        <v>0.4</v>
      </c>
      <c r="AL25" s="113">
        <v>0.4</v>
      </c>
      <c r="AM25" s="113">
        <v>0.1</v>
      </c>
      <c r="AN25" s="113">
        <v>8.4</v>
      </c>
    </row>
    <row r="26" spans="1:40" x14ac:dyDescent="0.2">
      <c r="P26" s="188"/>
      <c r="X26" s="110"/>
      <c r="Y26" s="110"/>
      <c r="Z26" s="41"/>
      <c r="AJ26" s="41"/>
    </row>
    <row r="27" spans="1:40" x14ac:dyDescent="0.2">
      <c r="G27" s="4">
        <f ca="1">TODAY()</f>
        <v>44128</v>
      </c>
      <c r="H27" s="36">
        <f ca="1">AVERAGE(H2:H12)</f>
        <v>26.581818181818186</v>
      </c>
      <c r="J27" s="36">
        <f>AVERAGE(J2:J12)</f>
        <v>5.9090909090909092</v>
      </c>
      <c r="X27" s="110"/>
      <c r="Y27" s="110"/>
      <c r="Z27" s="41"/>
      <c r="AJ27" s="41"/>
    </row>
    <row r="28" spans="1:40" x14ac:dyDescent="0.2">
      <c r="H28" s="36">
        <f ca="1">MEDIAN(H2:H12)</f>
        <v>26.6</v>
      </c>
      <c r="J28" s="110">
        <f>MEDIAN(J2:J12)</f>
        <v>5</v>
      </c>
      <c r="P28" s="11"/>
      <c r="X28" s="110"/>
      <c r="Y28" s="110"/>
    </row>
    <row r="29" spans="1:40" x14ac:dyDescent="0.2">
      <c r="B29" s="209" t="s">
        <v>2224</v>
      </c>
      <c r="P29" s="11">
        <f>P2+P3+P4+P5+P6+P7+P8+P9+P15+P11</f>
        <v>144653475</v>
      </c>
      <c r="X29" s="110"/>
      <c r="Y29" s="110"/>
    </row>
    <row r="30" spans="1:40" x14ac:dyDescent="0.2">
      <c r="B30" s="3" t="s">
        <v>2085</v>
      </c>
      <c r="C30" s="3">
        <v>9</v>
      </c>
      <c r="J30" s="209"/>
      <c r="P30" s="29">
        <f>P2+P3+P4+P5+P6+P7+P8+P9+P15+P10+P11+P12</f>
        <v>147934252</v>
      </c>
      <c r="X30" s="110"/>
      <c r="Y30" s="110"/>
    </row>
    <row r="31" spans="1:40" x14ac:dyDescent="0.2">
      <c r="B31" s="3" t="s">
        <v>2088</v>
      </c>
      <c r="C31" s="3">
        <v>3</v>
      </c>
      <c r="D31" s="4"/>
      <c r="P31" s="11"/>
      <c r="X31" s="110"/>
      <c r="Y31" s="110"/>
    </row>
    <row r="32" spans="1:40" x14ac:dyDescent="0.2">
      <c r="B32" s="3" t="s">
        <v>2086</v>
      </c>
      <c r="C32" s="3">
        <v>5</v>
      </c>
      <c r="O32" s="3" t="s">
        <v>300</v>
      </c>
      <c r="P32" s="11">
        <v>109140000</v>
      </c>
      <c r="X32" s="110"/>
      <c r="Y32" s="110"/>
    </row>
    <row r="33" spans="2:16" x14ac:dyDescent="0.2">
      <c r="B33" s="3" t="s">
        <v>2219</v>
      </c>
      <c r="C33" s="3" t="s">
        <v>2302</v>
      </c>
      <c r="O33" s="22" t="s">
        <v>302</v>
      </c>
      <c r="P33" s="11">
        <v>132627000</v>
      </c>
    </row>
    <row r="34" spans="2:16" x14ac:dyDescent="0.2">
      <c r="B34" s="24" t="s">
        <v>301</v>
      </c>
      <c r="C34" s="22">
        <v>0</v>
      </c>
    </row>
    <row r="35" spans="2:16" x14ac:dyDescent="0.2">
      <c r="B35" s="3" t="s">
        <v>303</v>
      </c>
      <c r="C35" s="22">
        <v>0</v>
      </c>
      <c r="J35" s="24"/>
      <c r="K35" s="22"/>
    </row>
    <row r="36" spans="2:16" x14ac:dyDescent="0.2">
      <c r="C36" s="22"/>
      <c r="J36" s="24"/>
      <c r="K36" s="22"/>
    </row>
    <row r="37" spans="2:16" x14ac:dyDescent="0.2">
      <c r="B37" s="5" t="s">
        <v>2084</v>
      </c>
      <c r="C37" s="41"/>
      <c r="K37" s="22"/>
    </row>
    <row r="38" spans="2:16" x14ac:dyDescent="0.2">
      <c r="B38" s="3" t="s">
        <v>304</v>
      </c>
      <c r="C38" s="41">
        <f>43/(43+30)</f>
        <v>0.58904109589041098</v>
      </c>
      <c r="D38" s="3" t="s">
        <v>343</v>
      </c>
    </row>
    <row r="39" spans="2:16" x14ac:dyDescent="0.2">
      <c r="B39" s="3" t="s">
        <v>306</v>
      </c>
      <c r="C39" s="113">
        <v>110.7</v>
      </c>
      <c r="D39" s="3" t="s">
        <v>2303</v>
      </c>
    </row>
    <row r="40" spans="2:16" x14ac:dyDescent="0.2">
      <c r="B40" s="3" t="s">
        <v>307</v>
      </c>
      <c r="C40" s="113">
        <v>108.4</v>
      </c>
      <c r="D40" s="3" t="s">
        <v>2268</v>
      </c>
    </row>
    <row r="41" spans="2:16" x14ac:dyDescent="0.2">
      <c r="B41" s="3" t="s">
        <v>308</v>
      </c>
      <c r="C41" s="113">
        <f>C39-C40</f>
        <v>2.2999999999999972</v>
      </c>
      <c r="D41" s="3" t="s">
        <v>2231</v>
      </c>
    </row>
    <row r="42" spans="2:16" x14ac:dyDescent="0.2">
      <c r="B42" s="3" t="s">
        <v>309</v>
      </c>
      <c r="C42" s="36">
        <v>99.59</v>
      </c>
      <c r="D42" s="3" t="s">
        <v>2250</v>
      </c>
    </row>
    <row r="44" spans="2:16" x14ac:dyDescent="0.2">
      <c r="B44" s="3" t="s">
        <v>310</v>
      </c>
    </row>
    <row r="45" spans="2:16" x14ac:dyDescent="0.2">
      <c r="B45" s="3" t="s">
        <v>1688</v>
      </c>
    </row>
    <row r="46" spans="2:16" x14ac:dyDescent="0.2">
      <c r="B46" s="3" t="s">
        <v>1689</v>
      </c>
    </row>
    <row r="47" spans="2:16" x14ac:dyDescent="0.2">
      <c r="B47" s="3" t="s">
        <v>1690</v>
      </c>
    </row>
    <row r="48" spans="2:16" x14ac:dyDescent="0.2">
      <c r="B48" s="12"/>
    </row>
    <row r="49" spans="2:9" x14ac:dyDescent="0.2">
      <c r="B49" s="3" t="s">
        <v>318</v>
      </c>
    </row>
    <row r="50" spans="2:9" x14ac:dyDescent="0.2">
      <c r="B50" s="3" t="s">
        <v>1691</v>
      </c>
    </row>
    <row r="51" spans="2:9" x14ac:dyDescent="0.2">
      <c r="B51" s="3" t="s">
        <v>1692</v>
      </c>
    </row>
    <row r="52" spans="2:9" x14ac:dyDescent="0.2">
      <c r="B52" s="5"/>
    </row>
    <row r="53" spans="2:9" x14ac:dyDescent="0.2">
      <c r="B53" s="5" t="s">
        <v>2228</v>
      </c>
    </row>
    <row r="54" spans="2:9" x14ac:dyDescent="0.2">
      <c r="B54" s="39" t="s">
        <v>322</v>
      </c>
      <c r="C54" s="3">
        <v>43</v>
      </c>
      <c r="D54" s="3">
        <v>30</v>
      </c>
      <c r="E54" s="3" t="s">
        <v>343</v>
      </c>
      <c r="G54" s="3" t="s">
        <v>1687</v>
      </c>
      <c r="I54" s="3" t="s">
        <v>1065</v>
      </c>
    </row>
    <row r="55" spans="2:9" x14ac:dyDescent="0.2">
      <c r="B55" s="39" t="s">
        <v>325</v>
      </c>
      <c r="C55" s="3">
        <v>51</v>
      </c>
      <c r="D55" s="3">
        <v>31</v>
      </c>
      <c r="E55" s="3" t="s">
        <v>411</v>
      </c>
      <c r="G55" s="3" t="s">
        <v>1687</v>
      </c>
      <c r="I55" s="3" t="s">
        <v>1693</v>
      </c>
    </row>
    <row r="56" spans="2:9" x14ac:dyDescent="0.2">
      <c r="B56" s="39" t="s">
        <v>327</v>
      </c>
      <c r="C56" s="3">
        <v>52</v>
      </c>
      <c r="D56" s="3">
        <v>30</v>
      </c>
      <c r="E56" s="3" t="s">
        <v>411</v>
      </c>
      <c r="G56" s="3" t="s">
        <v>1687</v>
      </c>
      <c r="I56" s="3" t="s">
        <v>1694</v>
      </c>
    </row>
    <row r="57" spans="2:9" x14ac:dyDescent="0.2">
      <c r="B57" s="39" t="s">
        <v>330</v>
      </c>
      <c r="C57" s="3">
        <v>28</v>
      </c>
      <c r="D57" s="3">
        <v>54</v>
      </c>
      <c r="E57" s="3" t="s">
        <v>323</v>
      </c>
      <c r="G57" s="3" t="s">
        <v>1687</v>
      </c>
      <c r="I57" s="38" t="s">
        <v>324</v>
      </c>
    </row>
    <row r="58" spans="2:9" x14ac:dyDescent="0.2">
      <c r="B58" s="39" t="s">
        <v>333</v>
      </c>
      <c r="C58" s="3">
        <v>10</v>
      </c>
      <c r="D58" s="3">
        <v>72</v>
      </c>
      <c r="E58" s="3" t="s">
        <v>328</v>
      </c>
      <c r="G58" s="3" t="s">
        <v>1687</v>
      </c>
      <c r="I58" s="38" t="s">
        <v>324</v>
      </c>
    </row>
    <row r="59" spans="2:9" x14ac:dyDescent="0.2">
      <c r="B59" s="39" t="s">
        <v>336</v>
      </c>
      <c r="C59" s="3">
        <v>18</v>
      </c>
      <c r="D59" s="3">
        <v>64</v>
      </c>
      <c r="E59" s="3" t="s">
        <v>323</v>
      </c>
      <c r="G59" s="3" t="s">
        <v>1687</v>
      </c>
      <c r="I59" s="38" t="s">
        <v>324</v>
      </c>
    </row>
    <row r="60" spans="2:9" x14ac:dyDescent="0.2">
      <c r="B60" s="39" t="s">
        <v>339</v>
      </c>
      <c r="C60" s="3">
        <v>19</v>
      </c>
      <c r="D60" s="3">
        <v>63</v>
      </c>
      <c r="E60" s="3" t="s">
        <v>323</v>
      </c>
      <c r="G60" s="3" t="s">
        <v>1687</v>
      </c>
      <c r="I60" s="38" t="s">
        <v>324</v>
      </c>
    </row>
    <row r="61" spans="2:9" x14ac:dyDescent="0.2">
      <c r="B61" s="39" t="s">
        <v>342</v>
      </c>
      <c r="C61" s="3">
        <v>34</v>
      </c>
      <c r="D61" s="3">
        <v>48</v>
      </c>
      <c r="E61" s="3" t="s">
        <v>550</v>
      </c>
      <c r="G61" s="3" t="s">
        <v>1695</v>
      </c>
      <c r="I61" s="38" t="s">
        <v>324</v>
      </c>
    </row>
    <row r="62" spans="2:9" x14ac:dyDescent="0.2">
      <c r="B62" s="39" t="s">
        <v>346</v>
      </c>
      <c r="C62" s="3">
        <v>35</v>
      </c>
      <c r="D62" s="3">
        <v>31</v>
      </c>
      <c r="E62" s="3" t="s">
        <v>340</v>
      </c>
      <c r="G62" s="3" t="s">
        <v>1695</v>
      </c>
      <c r="I62" s="3" t="s">
        <v>1696</v>
      </c>
    </row>
    <row r="63" spans="2:9" x14ac:dyDescent="0.2">
      <c r="B63" s="39" t="s">
        <v>348</v>
      </c>
      <c r="C63" s="3">
        <v>41</v>
      </c>
      <c r="D63" s="3">
        <v>41</v>
      </c>
      <c r="E63" s="3" t="s">
        <v>418</v>
      </c>
      <c r="G63" s="3" t="s">
        <v>1695</v>
      </c>
      <c r="I63" s="3" t="s">
        <v>1520</v>
      </c>
    </row>
    <row r="64" spans="2:9" x14ac:dyDescent="0.2">
      <c r="B64" s="3" t="s">
        <v>350</v>
      </c>
      <c r="C64" s="3">
        <f>SUM(C54:C63)</f>
        <v>331</v>
      </c>
      <c r="D64" s="3">
        <f>SUM(D54:D63)</f>
        <v>464</v>
      </c>
      <c r="E64" s="41">
        <f>C64/(C64+D64)</f>
        <v>0.41635220125786165</v>
      </c>
    </row>
  </sheetData>
  <hyperlinks>
    <hyperlink ref="B54" r:id="rId1" xr:uid="{9AB451FD-333A-9749-A175-14B00CC9700D}"/>
    <hyperlink ref="B55" r:id="rId2" xr:uid="{9A8FE910-427B-8547-A738-0E96BF2F76FC}"/>
    <hyperlink ref="B56" r:id="rId3" xr:uid="{4D9DA3A3-729A-7F4C-B6FD-4BEA180289AD}"/>
    <hyperlink ref="B57" r:id="rId4" xr:uid="{C22AD3CA-4701-BC4B-9731-53CBB0522721}"/>
    <hyperlink ref="B58" r:id="rId5" xr:uid="{E3D27755-C710-9142-9007-1C60B08A11B1}"/>
    <hyperlink ref="B59" r:id="rId6" xr:uid="{3A818F17-82B5-6D42-94D9-95B24BAFDFFB}"/>
    <hyperlink ref="B60" r:id="rId7" xr:uid="{CA819DF5-A675-9045-91D1-41E66926DD48}"/>
    <hyperlink ref="B61" r:id="rId8" xr:uid="{1F16AB3A-A566-6047-8AE2-A8D39EA9F34D}"/>
    <hyperlink ref="B62" r:id="rId9" xr:uid="{9CBCB779-ED7C-8244-B46F-1CD97D45E7A0}"/>
    <hyperlink ref="B63" r:id="rId10" xr:uid="{667BDFE2-39E1-D741-AF5A-B7F7C52E52CC}"/>
  </hyperlinks>
  <pageMargins left="0.7" right="0.7" top="0.75" bottom="0.75" header="0.3" footer="0.3"/>
  <ignoredErrors>
    <ignoredError sqref="J27:J28" formulaRange="1"/>
  </ignoredErrors>
  <legacyDrawing r:id="rId1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695C8-5EDC-A14D-81C7-B2F09B82C630}">
  <dimension ref="A1:AR56"/>
  <sheetViews>
    <sheetView zoomScaleNormal="100" workbookViewId="0">
      <selection sqref="A1:AR1"/>
    </sheetView>
  </sheetViews>
  <sheetFormatPr baseColWidth="10" defaultColWidth="10.83203125" defaultRowHeight="16" x14ac:dyDescent="0.2"/>
  <cols>
    <col min="1" max="1" width="3.33203125" style="60" customWidth="1"/>
    <col min="2" max="2" width="18.83203125" style="60" customWidth="1"/>
    <col min="3" max="3" width="10.83203125" style="60"/>
    <col min="4" max="4" width="7.5" style="60" customWidth="1"/>
    <col min="5" max="5" width="10.83203125" style="60"/>
    <col min="6" max="6" width="8" style="60" customWidth="1"/>
    <col min="7" max="7" width="10.6640625" style="60" customWidth="1"/>
    <col min="8" max="8" width="5.83203125" style="60" customWidth="1"/>
    <col min="9" max="9" width="19.6640625" style="60" customWidth="1"/>
    <col min="10" max="10" width="11" style="60" customWidth="1"/>
    <col min="11" max="11" width="11.83203125" style="60" customWidth="1"/>
    <col min="12" max="12" width="5.1640625" style="60" customWidth="1"/>
    <col min="13" max="13" width="26.1640625" style="60" customWidth="1"/>
    <col min="14" max="14" width="19" style="60" customWidth="1"/>
    <col min="15" max="15" width="47" style="60" customWidth="1"/>
    <col min="16" max="16" width="12.83203125" style="60" bestFit="1" customWidth="1"/>
    <col min="17" max="20" width="12.33203125" style="60" bestFit="1" customWidth="1"/>
    <col min="21" max="21" width="6.33203125" style="60" customWidth="1"/>
    <col min="22" max="22" width="18" style="60" customWidth="1"/>
    <col min="23" max="23" width="26.83203125" style="60" customWidth="1"/>
    <col min="24" max="24" width="9.6640625" style="60" customWidth="1"/>
    <col min="25" max="25" width="3.83203125" style="60" customWidth="1"/>
    <col min="26" max="26" width="8" style="60" customWidth="1"/>
    <col min="27" max="27" width="5.83203125" style="60" customWidth="1"/>
    <col min="28" max="28" width="6" style="60" customWidth="1"/>
    <col min="29" max="29" width="7.33203125" style="60" customWidth="1"/>
    <col min="30" max="30" width="5.1640625" style="60" customWidth="1"/>
    <col min="31" max="31" width="5" style="60" customWidth="1"/>
    <col min="32" max="32" width="6.5" style="60" customWidth="1"/>
    <col min="33" max="33" width="7.5" style="60" customWidth="1"/>
    <col min="34" max="34" width="5.1640625" style="60" customWidth="1"/>
    <col min="35" max="35" width="5.33203125" style="60" customWidth="1"/>
    <col min="36" max="36" width="6.83203125" style="60" customWidth="1"/>
    <col min="37" max="37" width="6.6640625" style="60" customWidth="1"/>
    <col min="38" max="39" width="5.83203125" style="60" customWidth="1"/>
    <col min="40" max="40" width="5.1640625" style="60" customWidth="1"/>
    <col min="41" max="16384" width="10.83203125" style="60"/>
  </cols>
  <sheetData>
    <row r="1" spans="1:44" x14ac:dyDescent="0.2">
      <c r="A1" s="223" t="s">
        <v>2394</v>
      </c>
      <c r="B1" s="223" t="s">
        <v>2395</v>
      </c>
      <c r="C1" s="223" t="s">
        <v>2396</v>
      </c>
      <c r="D1" s="223" t="s">
        <v>2397</v>
      </c>
      <c r="E1" s="223" t="s">
        <v>2398</v>
      </c>
      <c r="F1" s="223" t="s">
        <v>2399</v>
      </c>
      <c r="G1" s="223" t="s">
        <v>2400</v>
      </c>
      <c r="H1" s="223" t="s">
        <v>2401</v>
      </c>
      <c r="I1" s="223" t="s">
        <v>2402</v>
      </c>
      <c r="J1" s="223" t="s">
        <v>2403</v>
      </c>
      <c r="K1" s="223" t="s">
        <v>2404</v>
      </c>
      <c r="L1" s="223" t="s">
        <v>2405</v>
      </c>
      <c r="M1" s="223" t="s">
        <v>2406</v>
      </c>
      <c r="N1" s="223" t="s">
        <v>2407</v>
      </c>
      <c r="O1" s="223" t="s">
        <v>2408</v>
      </c>
      <c r="P1" s="223" t="s">
        <v>2409</v>
      </c>
      <c r="Q1" s="223" t="s">
        <v>2410</v>
      </c>
      <c r="R1" s="223" t="s">
        <v>2411</v>
      </c>
      <c r="S1" s="223" t="s">
        <v>2412</v>
      </c>
      <c r="T1" s="223" t="s">
        <v>2413</v>
      </c>
      <c r="U1" s="223" t="s">
        <v>2414</v>
      </c>
      <c r="V1" s="223" t="s">
        <v>2415</v>
      </c>
      <c r="W1" s="223" t="s">
        <v>2416</v>
      </c>
      <c r="X1" s="223" t="s">
        <v>2433</v>
      </c>
      <c r="Y1" s="223" t="s">
        <v>2417</v>
      </c>
      <c r="Z1" s="223" t="s">
        <v>2418</v>
      </c>
      <c r="AA1" s="223" t="s">
        <v>2419</v>
      </c>
      <c r="AB1" s="223" t="s">
        <v>2420</v>
      </c>
      <c r="AC1" s="223" t="s">
        <v>2421</v>
      </c>
      <c r="AD1" s="223" t="s">
        <v>2422</v>
      </c>
      <c r="AE1" s="223" t="s">
        <v>2423</v>
      </c>
      <c r="AF1" s="223" t="s">
        <v>2424</v>
      </c>
      <c r="AG1" s="223" t="s">
        <v>2425</v>
      </c>
      <c r="AH1" s="223" t="s">
        <v>2426</v>
      </c>
      <c r="AI1" s="223" t="s">
        <v>2427</v>
      </c>
      <c r="AJ1" s="223" t="s">
        <v>2428</v>
      </c>
      <c r="AK1" s="223" t="s">
        <v>2429</v>
      </c>
      <c r="AL1" s="223" t="s">
        <v>2430</v>
      </c>
      <c r="AM1" s="223" t="s">
        <v>2431</v>
      </c>
      <c r="AN1" s="223" t="s">
        <v>2432</v>
      </c>
      <c r="AO1" s="224"/>
      <c r="AP1" s="225"/>
      <c r="AQ1" s="6"/>
      <c r="AR1" s="6"/>
    </row>
    <row r="2" spans="1:44" x14ac:dyDescent="0.2">
      <c r="A2" s="3">
        <v>1</v>
      </c>
      <c r="B2" s="3" t="s">
        <v>1697</v>
      </c>
      <c r="C2" s="60" t="s">
        <v>255</v>
      </c>
      <c r="D2" s="145">
        <v>65</v>
      </c>
      <c r="E2" s="145">
        <v>68</v>
      </c>
      <c r="F2" s="146">
        <v>206</v>
      </c>
      <c r="G2" s="4">
        <v>35368</v>
      </c>
      <c r="H2" s="122">
        <f t="shared" ref="H2:H13" ca="1" si="0">ROUNDDOWN(YEARFRAC($G$22,G2),1)</f>
        <v>23.9</v>
      </c>
      <c r="I2" s="60" t="s">
        <v>270</v>
      </c>
      <c r="J2" s="3">
        <v>6</v>
      </c>
      <c r="K2" s="60">
        <v>2015</v>
      </c>
      <c r="L2" s="60">
        <v>13</v>
      </c>
      <c r="M2" s="3" t="s">
        <v>1698</v>
      </c>
      <c r="N2" s="3" t="s">
        <v>1</v>
      </c>
      <c r="O2" s="60" t="s">
        <v>2318</v>
      </c>
      <c r="P2" s="11">
        <v>29467800</v>
      </c>
      <c r="Q2" s="11">
        <v>31650600</v>
      </c>
      <c r="R2" s="11">
        <v>33833400</v>
      </c>
      <c r="S2" s="11">
        <v>36016200</v>
      </c>
      <c r="T2" s="14">
        <v>43411200</v>
      </c>
      <c r="W2" s="60" t="s">
        <v>1699</v>
      </c>
      <c r="X2" s="69">
        <v>2</v>
      </c>
      <c r="Y2" s="69">
        <v>62</v>
      </c>
      <c r="Z2" s="65">
        <f>26/62</f>
        <v>0.41935483870967744</v>
      </c>
      <c r="AA2" s="122">
        <v>113.7</v>
      </c>
      <c r="AB2" s="122">
        <v>112.5</v>
      </c>
      <c r="AC2" s="122">
        <f t="shared" ref="AC2:AC10" si="1">AA2-AB2</f>
        <v>1.2000000000000028</v>
      </c>
      <c r="AD2" s="122">
        <v>36.1</v>
      </c>
      <c r="AE2" s="122">
        <v>19.8</v>
      </c>
      <c r="AF2" s="65">
        <v>0.61699999999999999</v>
      </c>
      <c r="AG2" s="122">
        <v>29.5</v>
      </c>
      <c r="AH2" s="122">
        <v>4.8</v>
      </c>
      <c r="AI2" s="122">
        <v>1.2</v>
      </c>
      <c r="AJ2" s="65">
        <v>0.129</v>
      </c>
      <c r="AK2" s="122">
        <v>3.1</v>
      </c>
      <c r="AL2" s="122">
        <v>-1.4</v>
      </c>
      <c r="AM2" s="122">
        <v>2.1</v>
      </c>
      <c r="AN2" s="122">
        <v>13.5</v>
      </c>
    </row>
    <row r="3" spans="1:44" x14ac:dyDescent="0.2">
      <c r="A3" s="3">
        <v>11</v>
      </c>
      <c r="B3" s="3" t="s">
        <v>1700</v>
      </c>
      <c r="C3" s="60" t="s">
        <v>250</v>
      </c>
      <c r="D3" s="145">
        <v>63</v>
      </c>
      <c r="E3" s="145">
        <v>69</v>
      </c>
      <c r="F3" s="146">
        <v>190</v>
      </c>
      <c r="G3" s="4">
        <v>33167</v>
      </c>
      <c r="H3" s="122">
        <f t="shared" ca="1" si="0"/>
        <v>30</v>
      </c>
      <c r="I3" s="60" t="s">
        <v>453</v>
      </c>
      <c r="J3" s="3">
        <v>10</v>
      </c>
      <c r="K3" s="60">
        <v>2009</v>
      </c>
      <c r="L3" s="60">
        <v>5</v>
      </c>
      <c r="M3" s="3" t="s">
        <v>1701</v>
      </c>
      <c r="N3" s="3" t="s">
        <v>285</v>
      </c>
      <c r="O3" s="60" t="s">
        <v>2355</v>
      </c>
      <c r="P3" s="11">
        <v>17000000</v>
      </c>
      <c r="Q3" s="11">
        <v>17800000</v>
      </c>
      <c r="R3" s="14">
        <f>Q3*1.5</f>
        <v>26700000</v>
      </c>
      <c r="S3" s="12"/>
      <c r="T3" s="12"/>
      <c r="W3" s="60" t="s">
        <v>1702</v>
      </c>
      <c r="X3" s="69">
        <v>1</v>
      </c>
      <c r="Y3" s="69">
        <v>57</v>
      </c>
      <c r="Z3" s="65">
        <f>24/57</f>
        <v>0.42105263157894735</v>
      </c>
      <c r="AA3" s="122">
        <v>112</v>
      </c>
      <c r="AB3" s="122">
        <v>108.2</v>
      </c>
      <c r="AC3" s="122">
        <f t="shared" si="1"/>
        <v>3.7999999999999972</v>
      </c>
      <c r="AD3" s="122">
        <v>31.6</v>
      </c>
      <c r="AE3" s="122">
        <v>16.3</v>
      </c>
      <c r="AF3" s="65">
        <v>0.53100000000000003</v>
      </c>
      <c r="AG3" s="122">
        <v>20.2</v>
      </c>
      <c r="AH3" s="122">
        <v>2.4</v>
      </c>
      <c r="AI3" s="122">
        <v>1.7</v>
      </c>
      <c r="AJ3" s="65">
        <v>0.109</v>
      </c>
      <c r="AK3" s="122">
        <v>0.5</v>
      </c>
      <c r="AL3" s="122">
        <v>0.2</v>
      </c>
      <c r="AM3" s="122">
        <v>1.2</v>
      </c>
      <c r="AN3" s="122">
        <v>11.9</v>
      </c>
    </row>
    <row r="4" spans="1:44" x14ac:dyDescent="0.2">
      <c r="A4" s="3">
        <v>3</v>
      </c>
      <c r="B4" s="3" t="s">
        <v>1703</v>
      </c>
      <c r="C4" s="60" t="s">
        <v>244</v>
      </c>
      <c r="D4" s="145">
        <v>67</v>
      </c>
      <c r="E4" s="145">
        <v>73</v>
      </c>
      <c r="F4" s="146">
        <v>203</v>
      </c>
      <c r="G4" s="4">
        <v>35042</v>
      </c>
      <c r="H4" s="122">
        <f t="shared" ca="1" si="0"/>
        <v>24.8</v>
      </c>
      <c r="I4" s="60" t="s">
        <v>524</v>
      </c>
      <c r="J4" s="3">
        <v>5</v>
      </c>
      <c r="K4" s="60">
        <v>2015</v>
      </c>
      <c r="L4" s="60">
        <v>15</v>
      </c>
      <c r="M4" s="3" t="s">
        <v>1704</v>
      </c>
      <c r="N4" s="3" t="s">
        <v>1</v>
      </c>
      <c r="O4" s="60" t="s">
        <v>2356</v>
      </c>
      <c r="P4" s="11">
        <v>14375000</v>
      </c>
      <c r="Q4" s="14">
        <f>P4*1.5</f>
        <v>21562500</v>
      </c>
      <c r="R4" s="12"/>
      <c r="S4" s="12"/>
      <c r="T4" s="12"/>
      <c r="W4" s="60" t="s">
        <v>1705</v>
      </c>
      <c r="X4" s="69">
        <v>3</v>
      </c>
      <c r="Y4" s="69">
        <v>56</v>
      </c>
      <c r="Z4" s="65">
        <f>22/56</f>
        <v>0.39285714285714285</v>
      </c>
      <c r="AA4" s="122">
        <v>110.6</v>
      </c>
      <c r="AB4" s="122">
        <v>110.4</v>
      </c>
      <c r="AC4" s="122">
        <f t="shared" si="1"/>
        <v>0.19999999999998863</v>
      </c>
      <c r="AD4" s="122">
        <v>34.5</v>
      </c>
      <c r="AE4" s="122">
        <v>14.9</v>
      </c>
      <c r="AF4" s="65">
        <v>0.56000000000000005</v>
      </c>
      <c r="AG4" s="122">
        <v>22.4</v>
      </c>
      <c r="AH4" s="122">
        <v>1.7</v>
      </c>
      <c r="AI4" s="122">
        <v>1.9</v>
      </c>
      <c r="AJ4" s="65">
        <v>0.09</v>
      </c>
      <c r="AK4" s="122">
        <v>-0.3</v>
      </c>
      <c r="AL4" s="122">
        <v>-0.4</v>
      </c>
      <c r="AM4" s="122">
        <v>0.7</v>
      </c>
      <c r="AN4" s="122">
        <v>9.6999999999999993</v>
      </c>
    </row>
    <row r="5" spans="1:44" x14ac:dyDescent="0.2">
      <c r="A5" s="3">
        <v>22</v>
      </c>
      <c r="B5" s="3" t="s">
        <v>1706</v>
      </c>
      <c r="C5" s="60" t="s">
        <v>236</v>
      </c>
      <c r="D5" s="145">
        <v>611</v>
      </c>
      <c r="E5" s="145">
        <v>76</v>
      </c>
      <c r="F5" s="146">
        <v>250</v>
      </c>
      <c r="G5" s="4">
        <v>35999</v>
      </c>
      <c r="H5" s="122">
        <f t="shared" ca="1" si="0"/>
        <v>22.2</v>
      </c>
      <c r="I5" s="60" t="s">
        <v>537</v>
      </c>
      <c r="J5" s="3">
        <v>3</v>
      </c>
      <c r="K5" s="60">
        <v>2018</v>
      </c>
      <c r="L5" s="60">
        <v>1</v>
      </c>
      <c r="M5" s="3" t="s">
        <v>1707</v>
      </c>
      <c r="N5" s="3" t="s">
        <v>247</v>
      </c>
      <c r="O5" s="60" t="s">
        <v>2357</v>
      </c>
      <c r="P5" s="11">
        <v>10018200</v>
      </c>
      <c r="Q5" s="51">
        <v>12632950</v>
      </c>
      <c r="R5" s="50">
        <f>Q5*2.5</f>
        <v>31582375</v>
      </c>
      <c r="S5" s="12"/>
      <c r="T5" s="12"/>
      <c r="W5" s="60" t="s">
        <v>634</v>
      </c>
      <c r="X5" s="69">
        <v>5</v>
      </c>
      <c r="Y5" s="69">
        <v>30</v>
      </c>
      <c r="Z5" s="65">
        <f>12/30</f>
        <v>0.4</v>
      </c>
      <c r="AA5" s="122">
        <v>110.5</v>
      </c>
      <c r="AB5" s="122">
        <v>108.4</v>
      </c>
      <c r="AC5" s="122">
        <f t="shared" si="1"/>
        <v>2.0999999999999943</v>
      </c>
      <c r="AD5" s="122">
        <v>33.200000000000003</v>
      </c>
      <c r="AE5" s="122">
        <v>20.399999999999999</v>
      </c>
      <c r="AF5" s="65">
        <v>0.57099999999999995</v>
      </c>
      <c r="AG5" s="122">
        <v>24.3</v>
      </c>
      <c r="AH5" s="122">
        <v>1.1000000000000001</v>
      </c>
      <c r="AI5" s="122">
        <v>1.3</v>
      </c>
      <c r="AJ5" s="65">
        <v>0.11700000000000001</v>
      </c>
      <c r="AK5" s="122">
        <v>0.8</v>
      </c>
      <c r="AL5" s="122">
        <v>-0.4</v>
      </c>
      <c r="AM5" s="122">
        <v>0.6</v>
      </c>
      <c r="AN5" s="122">
        <v>14.1</v>
      </c>
    </row>
    <row r="6" spans="1:44" x14ac:dyDescent="0.2">
      <c r="A6" s="3">
        <v>8</v>
      </c>
      <c r="B6" s="3" t="s">
        <v>1709</v>
      </c>
      <c r="C6" s="60" t="s">
        <v>236</v>
      </c>
      <c r="D6" s="145">
        <v>70</v>
      </c>
      <c r="E6" s="145">
        <v>611</v>
      </c>
      <c r="F6" s="146">
        <v>240</v>
      </c>
      <c r="G6" s="4">
        <v>34063</v>
      </c>
      <c r="H6" s="122">
        <f t="shared" ca="1" si="0"/>
        <v>27.5</v>
      </c>
      <c r="I6" s="60" t="s">
        <v>1710</v>
      </c>
      <c r="J6" s="3">
        <v>6</v>
      </c>
      <c r="K6" s="60">
        <v>2015</v>
      </c>
      <c r="L6" s="60">
        <v>9</v>
      </c>
      <c r="M6" s="3" t="s">
        <v>1711</v>
      </c>
      <c r="N6" s="3" t="s">
        <v>299</v>
      </c>
      <c r="O6" s="215" t="s">
        <v>371</v>
      </c>
      <c r="P6" s="49">
        <v>5005030</v>
      </c>
      <c r="Q6" s="14">
        <f>P6*1.3</f>
        <v>6506539</v>
      </c>
      <c r="R6" s="12"/>
      <c r="S6" s="12"/>
      <c r="T6" s="12"/>
      <c r="W6" s="98" t="s">
        <v>240</v>
      </c>
      <c r="X6" s="69">
        <v>5</v>
      </c>
      <c r="Y6" s="69">
        <v>32</v>
      </c>
      <c r="Z6" s="65">
        <f>12/32</f>
        <v>0.375</v>
      </c>
      <c r="AA6" s="122">
        <v>106.6</v>
      </c>
      <c r="AB6" s="122">
        <v>108.9</v>
      </c>
      <c r="AC6" s="122">
        <f t="shared" si="1"/>
        <v>-2.3000000000000114</v>
      </c>
      <c r="AD6" s="122">
        <v>22.4</v>
      </c>
      <c r="AE6" s="122">
        <v>14.5</v>
      </c>
      <c r="AF6" s="65">
        <v>0.55400000000000005</v>
      </c>
      <c r="AG6" s="122">
        <v>20.8</v>
      </c>
      <c r="AH6" s="122">
        <v>0.8</v>
      </c>
      <c r="AI6" s="122">
        <v>0.6</v>
      </c>
      <c r="AJ6" s="65">
        <v>9.1999999999999998E-2</v>
      </c>
      <c r="AK6" s="122">
        <v>0.2</v>
      </c>
      <c r="AL6" s="122">
        <v>-0.3</v>
      </c>
      <c r="AM6" s="122">
        <v>0.3</v>
      </c>
      <c r="AN6" s="122">
        <v>10.199999999999999</v>
      </c>
    </row>
    <row r="7" spans="1:44" x14ac:dyDescent="0.2">
      <c r="A7" s="3">
        <v>25</v>
      </c>
      <c r="B7" s="3" t="s">
        <v>1712</v>
      </c>
      <c r="C7" s="60" t="s">
        <v>255</v>
      </c>
      <c r="D7" s="145">
        <v>66</v>
      </c>
      <c r="E7" s="145">
        <v>71</v>
      </c>
      <c r="F7" s="146">
        <v>209</v>
      </c>
      <c r="G7" s="4">
        <v>35307</v>
      </c>
      <c r="H7" s="122">
        <f t="shared" ca="1" si="0"/>
        <v>24.1</v>
      </c>
      <c r="I7" s="60" t="s">
        <v>589</v>
      </c>
      <c r="J7" s="3">
        <v>3</v>
      </c>
      <c r="K7" s="60">
        <v>2018</v>
      </c>
      <c r="L7" s="60">
        <v>10</v>
      </c>
      <c r="M7" s="3" t="s">
        <v>1713</v>
      </c>
      <c r="N7" s="3" t="s">
        <v>247</v>
      </c>
      <c r="O7" s="60" t="s">
        <v>2358</v>
      </c>
      <c r="P7" s="11">
        <v>4359000</v>
      </c>
      <c r="Q7" s="51">
        <v>5557725</v>
      </c>
      <c r="R7" s="50">
        <f>Q7*3</f>
        <v>16673175</v>
      </c>
      <c r="S7" s="12"/>
      <c r="T7" s="12"/>
      <c r="W7" s="60" t="s">
        <v>1714</v>
      </c>
      <c r="X7" s="69">
        <v>3</v>
      </c>
      <c r="Y7" s="69">
        <v>65</v>
      </c>
      <c r="Z7" s="65">
        <f>26/65</f>
        <v>0.4</v>
      </c>
      <c r="AA7" s="122">
        <v>109.9</v>
      </c>
      <c r="AB7" s="122">
        <v>108.2</v>
      </c>
      <c r="AC7" s="122">
        <f t="shared" si="1"/>
        <v>1.7000000000000028</v>
      </c>
      <c r="AD7" s="122">
        <v>27.3</v>
      </c>
      <c r="AE7" s="122">
        <v>13</v>
      </c>
      <c r="AF7" s="65">
        <v>0.623</v>
      </c>
      <c r="AG7" s="122">
        <v>12.4</v>
      </c>
      <c r="AH7" s="122">
        <v>2.2000000000000002</v>
      </c>
      <c r="AI7" s="122">
        <v>1.9</v>
      </c>
      <c r="AJ7" s="65">
        <v>0.111</v>
      </c>
      <c r="AK7" s="122">
        <v>-0.7</v>
      </c>
      <c r="AL7" s="122">
        <v>1.5</v>
      </c>
      <c r="AM7" s="122">
        <v>1.3</v>
      </c>
      <c r="AN7" s="122">
        <v>8.3000000000000007</v>
      </c>
    </row>
    <row r="8" spans="1:44" x14ac:dyDescent="0.2">
      <c r="A8" s="3">
        <v>23</v>
      </c>
      <c r="B8" s="3" t="s">
        <v>1715</v>
      </c>
      <c r="C8" s="60" t="s">
        <v>244</v>
      </c>
      <c r="D8" s="145">
        <v>68</v>
      </c>
      <c r="E8" s="145">
        <v>610</v>
      </c>
      <c r="F8" s="146">
        <v>210</v>
      </c>
      <c r="G8" s="4">
        <v>35127</v>
      </c>
      <c r="H8" s="122">
        <f t="shared" ca="1" si="0"/>
        <v>24.6</v>
      </c>
      <c r="I8" s="60" t="s">
        <v>281</v>
      </c>
      <c r="J8" s="3">
        <v>2</v>
      </c>
      <c r="K8" s="60">
        <v>2019</v>
      </c>
      <c r="L8" s="60">
        <v>11</v>
      </c>
      <c r="M8" s="3" t="s">
        <v>1716</v>
      </c>
      <c r="N8" s="3" t="s">
        <v>247</v>
      </c>
      <c r="O8" s="64" t="s">
        <v>2222</v>
      </c>
      <c r="P8" s="11">
        <v>4235160</v>
      </c>
      <c r="Q8" s="51">
        <v>4437000</v>
      </c>
      <c r="R8" s="51">
        <v>5887899</v>
      </c>
      <c r="S8" s="50">
        <v>17663697</v>
      </c>
      <c r="T8" s="12"/>
      <c r="W8" s="60" t="s">
        <v>1717</v>
      </c>
      <c r="X8" s="69">
        <v>4</v>
      </c>
      <c r="Y8" s="69">
        <v>49</v>
      </c>
      <c r="Z8" s="65">
        <f>20/49</f>
        <v>0.40816326530612246</v>
      </c>
      <c r="AA8" s="122">
        <v>105.6</v>
      </c>
      <c r="AB8" s="122">
        <v>108.3</v>
      </c>
      <c r="AC8" s="122">
        <f t="shared" si="1"/>
        <v>-2.7000000000000028</v>
      </c>
      <c r="AD8" s="122">
        <v>20.3</v>
      </c>
      <c r="AE8" s="122">
        <v>12.2</v>
      </c>
      <c r="AF8" s="65">
        <v>0.57599999999999996</v>
      </c>
      <c r="AG8" s="122">
        <v>16</v>
      </c>
      <c r="AH8" s="122">
        <v>1.1000000000000001</v>
      </c>
      <c r="AI8" s="122">
        <v>0.7</v>
      </c>
      <c r="AJ8" s="65">
        <v>8.5999999999999993E-2</v>
      </c>
      <c r="AK8" s="122">
        <v>0.5</v>
      </c>
      <c r="AL8" s="122">
        <v>-0.7</v>
      </c>
      <c r="AM8" s="122">
        <v>0.5</v>
      </c>
      <c r="AN8" s="122">
        <v>7.8</v>
      </c>
    </row>
    <row r="9" spans="1:44" x14ac:dyDescent="0.2">
      <c r="A9" s="3">
        <v>10</v>
      </c>
      <c r="B9" s="3" t="s">
        <v>1719</v>
      </c>
      <c r="C9" s="60" t="s">
        <v>232</v>
      </c>
      <c r="D9" s="145">
        <v>65</v>
      </c>
      <c r="E9" s="145">
        <v>64</v>
      </c>
      <c r="F9" s="146">
        <v>195</v>
      </c>
      <c r="G9" s="4">
        <v>35619</v>
      </c>
      <c r="H9" s="122">
        <f t="shared" ca="1" si="0"/>
        <v>23.2</v>
      </c>
      <c r="I9" s="60" t="s">
        <v>245</v>
      </c>
      <c r="J9" s="3">
        <v>2</v>
      </c>
      <c r="K9" s="60">
        <v>2019</v>
      </c>
      <c r="L9" s="60">
        <v>24</v>
      </c>
      <c r="M9" s="3" t="s">
        <v>1720</v>
      </c>
      <c r="N9" s="3" t="s">
        <v>247</v>
      </c>
      <c r="O9" s="149" t="s">
        <v>2100</v>
      </c>
      <c r="P9" s="11">
        <v>2303040</v>
      </c>
      <c r="Q9" s="51">
        <v>2412840</v>
      </c>
      <c r="R9" s="51">
        <v>4220057</v>
      </c>
      <c r="S9" s="50">
        <v>12660171</v>
      </c>
      <c r="T9" s="12"/>
      <c r="W9" s="60" t="s">
        <v>1721</v>
      </c>
      <c r="X9" s="69">
        <v>2</v>
      </c>
      <c r="Y9" s="69">
        <v>28</v>
      </c>
      <c r="Z9" s="65">
        <f>13/28</f>
        <v>0.4642857142857143</v>
      </c>
      <c r="AA9" s="122">
        <v>97.6</v>
      </c>
      <c r="AB9" s="122">
        <v>112.5</v>
      </c>
      <c r="AC9" s="122">
        <f t="shared" si="1"/>
        <v>-14.900000000000006</v>
      </c>
      <c r="AD9" s="122">
        <v>11.2</v>
      </c>
      <c r="AE9" s="122">
        <v>8.1</v>
      </c>
      <c r="AF9" s="65">
        <v>0.437</v>
      </c>
      <c r="AG9" s="122">
        <v>17.600000000000001</v>
      </c>
      <c r="AH9" s="122">
        <v>-0.3</v>
      </c>
      <c r="AI9" s="122">
        <v>0.3</v>
      </c>
      <c r="AJ9" s="65">
        <v>-2E-3</v>
      </c>
      <c r="AK9" s="122">
        <v>-3.9</v>
      </c>
      <c r="AL9" s="122">
        <v>0</v>
      </c>
      <c r="AM9" s="122">
        <v>-0.1</v>
      </c>
      <c r="AN9" s="122">
        <v>6.6</v>
      </c>
    </row>
    <row r="10" spans="1:44" x14ac:dyDescent="0.2">
      <c r="A10" s="3">
        <v>14</v>
      </c>
      <c r="B10" s="3" t="s">
        <v>148</v>
      </c>
      <c r="C10" s="60" t="s">
        <v>236</v>
      </c>
      <c r="D10" s="145">
        <v>68</v>
      </c>
      <c r="E10" s="145">
        <v>74</v>
      </c>
      <c r="F10" s="146">
        <v>219</v>
      </c>
      <c r="G10" s="4">
        <v>35321</v>
      </c>
      <c r="H10" s="122">
        <f t="shared" ca="1" si="0"/>
        <v>24.1</v>
      </c>
      <c r="I10" s="60" t="s">
        <v>524</v>
      </c>
      <c r="J10" s="3">
        <v>5</v>
      </c>
      <c r="K10" s="60">
        <v>2016</v>
      </c>
      <c r="L10" s="60">
        <v>33</v>
      </c>
      <c r="M10" s="3" t="s">
        <v>1722</v>
      </c>
      <c r="N10" s="3" t="s">
        <v>282</v>
      </c>
      <c r="O10" s="215" t="s">
        <v>735</v>
      </c>
      <c r="P10" s="49">
        <v>1824003</v>
      </c>
      <c r="Q10" s="14">
        <v>1856061</v>
      </c>
      <c r="R10" s="12"/>
      <c r="S10" s="12"/>
      <c r="T10" s="12"/>
      <c r="W10" s="60" t="s">
        <v>1723</v>
      </c>
      <c r="X10" s="69">
        <v>5</v>
      </c>
      <c r="Y10" s="69">
        <v>44</v>
      </c>
      <c r="Z10" s="65">
        <f>17/44</f>
        <v>0.38636363636363635</v>
      </c>
      <c r="AA10" s="122">
        <v>104.5</v>
      </c>
      <c r="AB10" s="122">
        <v>109</v>
      </c>
      <c r="AC10" s="122">
        <f t="shared" si="1"/>
        <v>-4.5</v>
      </c>
      <c r="AD10" s="122">
        <v>10.6</v>
      </c>
      <c r="AE10" s="122">
        <v>6.3</v>
      </c>
      <c r="AF10" s="65">
        <v>0.68799999999999994</v>
      </c>
      <c r="AG10" s="122">
        <v>16.7</v>
      </c>
      <c r="AH10" s="122">
        <v>0.8</v>
      </c>
      <c r="AI10" s="122">
        <v>0.5</v>
      </c>
      <c r="AJ10" s="65">
        <v>0.129</v>
      </c>
      <c r="AK10" s="122">
        <v>-1.1000000000000001</v>
      </c>
      <c r="AL10" s="122">
        <v>-0.3</v>
      </c>
      <c r="AM10" s="122">
        <v>0.1</v>
      </c>
      <c r="AN10" s="122">
        <v>12.1</v>
      </c>
    </row>
    <row r="11" spans="1:44" x14ac:dyDescent="0.2">
      <c r="A11" s="3">
        <v>15</v>
      </c>
      <c r="B11" s="3" t="s">
        <v>2077</v>
      </c>
      <c r="C11" s="60" t="s">
        <v>250</v>
      </c>
      <c r="D11" s="145">
        <v>63</v>
      </c>
      <c r="E11" s="145">
        <v>67</v>
      </c>
      <c r="F11" s="146">
        <v>190</v>
      </c>
      <c r="G11" s="4">
        <v>34554</v>
      </c>
      <c r="H11" s="122">
        <f t="shared" ca="1" si="0"/>
        <v>26.2</v>
      </c>
      <c r="I11" s="60" t="s">
        <v>1197</v>
      </c>
      <c r="J11" s="3">
        <v>6</v>
      </c>
      <c r="K11" s="60">
        <v>2015</v>
      </c>
      <c r="L11" s="60">
        <v>14</v>
      </c>
      <c r="M11" s="3" t="s">
        <v>2078</v>
      </c>
      <c r="N11" s="3" t="s">
        <v>282</v>
      </c>
      <c r="O11" s="215" t="s">
        <v>290</v>
      </c>
      <c r="P11" s="15">
        <v>1701593</v>
      </c>
      <c r="Q11" s="14">
        <v>1856061</v>
      </c>
      <c r="R11" s="16"/>
      <c r="S11" s="16"/>
      <c r="T11" s="54"/>
      <c r="W11" s="98"/>
      <c r="X11" s="69"/>
      <c r="Y11" s="69"/>
      <c r="Z11" s="65"/>
      <c r="AA11" s="122"/>
      <c r="AB11" s="122"/>
      <c r="AC11" s="122"/>
      <c r="AD11" s="122"/>
      <c r="AE11" s="122"/>
      <c r="AF11" s="65"/>
      <c r="AG11" s="122"/>
      <c r="AH11" s="122"/>
      <c r="AI11" s="122"/>
      <c r="AJ11" s="65"/>
      <c r="AK11" s="122"/>
      <c r="AL11" s="122"/>
      <c r="AM11" s="122"/>
      <c r="AN11" s="122"/>
    </row>
    <row r="12" spans="1:44" x14ac:dyDescent="0.2">
      <c r="A12" s="3">
        <v>2</v>
      </c>
      <c r="B12" s="3" t="s">
        <v>150</v>
      </c>
      <c r="C12" s="60" t="s">
        <v>232</v>
      </c>
      <c r="D12" s="145">
        <v>63</v>
      </c>
      <c r="E12" s="145">
        <v>68</v>
      </c>
      <c r="F12" s="146">
        <v>190</v>
      </c>
      <c r="G12" s="4">
        <v>35726</v>
      </c>
      <c r="H12" s="122">
        <f t="shared" ca="1" si="0"/>
        <v>23</v>
      </c>
      <c r="I12" s="60" t="s">
        <v>1726</v>
      </c>
      <c r="J12" s="3">
        <v>3</v>
      </c>
      <c r="K12" s="60">
        <v>2018</v>
      </c>
      <c r="L12" s="60">
        <v>31</v>
      </c>
      <c r="M12" s="3" t="s">
        <v>1727</v>
      </c>
      <c r="N12" s="3" t="s">
        <v>285</v>
      </c>
      <c r="O12" s="215" t="s">
        <v>741</v>
      </c>
      <c r="P12" s="15">
        <v>1663861</v>
      </c>
      <c r="Q12" s="49">
        <v>1802057</v>
      </c>
      <c r="R12" s="14">
        <v>1948864</v>
      </c>
      <c r="S12" s="12"/>
      <c r="T12" s="12"/>
      <c r="W12" s="60" t="s">
        <v>1728</v>
      </c>
      <c r="X12" s="69">
        <v>1</v>
      </c>
      <c r="Y12" s="69">
        <v>54</v>
      </c>
      <c r="Z12" s="65">
        <f>22/54</f>
        <v>0.40740740740740738</v>
      </c>
      <c r="AA12" s="122">
        <v>105.8</v>
      </c>
      <c r="AB12" s="122">
        <v>109.1</v>
      </c>
      <c r="AC12" s="122">
        <f t="shared" ref="AC12:AC13" si="2">AA12-AB12</f>
        <v>-3.2999999999999972</v>
      </c>
      <c r="AD12" s="122">
        <v>13.1</v>
      </c>
      <c r="AE12" s="122">
        <v>10.5</v>
      </c>
      <c r="AF12" s="65">
        <v>0.51100000000000001</v>
      </c>
      <c r="AG12" s="122">
        <v>14.9</v>
      </c>
      <c r="AH12" s="122">
        <v>0.4</v>
      </c>
      <c r="AI12" s="122">
        <v>0.5</v>
      </c>
      <c r="AJ12" s="65">
        <v>5.8999999999999997E-2</v>
      </c>
      <c r="AK12" s="122">
        <v>-2</v>
      </c>
      <c r="AL12" s="122">
        <v>-0.1</v>
      </c>
      <c r="AM12" s="122">
        <v>0</v>
      </c>
      <c r="AN12" s="122">
        <v>7.7</v>
      </c>
    </row>
    <row r="13" spans="1:44" x14ac:dyDescent="0.2">
      <c r="A13" s="3">
        <v>0</v>
      </c>
      <c r="B13" s="3" t="s">
        <v>1729</v>
      </c>
      <c r="C13" s="60" t="s">
        <v>255</v>
      </c>
      <c r="D13" s="145">
        <v>64</v>
      </c>
      <c r="E13" s="145">
        <v>69</v>
      </c>
      <c r="F13" s="146">
        <v>185</v>
      </c>
      <c r="G13" s="4">
        <v>36690</v>
      </c>
      <c r="H13" s="122">
        <f t="shared" ca="1" si="0"/>
        <v>20.3</v>
      </c>
      <c r="I13" s="60" t="s">
        <v>1730</v>
      </c>
      <c r="J13" s="3">
        <v>2</v>
      </c>
      <c r="K13" s="60">
        <v>2019</v>
      </c>
      <c r="M13" s="3" t="s">
        <v>433</v>
      </c>
      <c r="N13" s="3" t="s">
        <v>285</v>
      </c>
      <c r="O13" s="60" t="s">
        <v>2109</v>
      </c>
      <c r="P13" s="11">
        <v>1517981</v>
      </c>
      <c r="Q13" s="15">
        <v>1782621</v>
      </c>
      <c r="R13" s="49">
        <v>1930861</v>
      </c>
      <c r="S13" s="14">
        <v>2046307</v>
      </c>
      <c r="T13" s="12"/>
      <c r="W13" s="98" t="s">
        <v>611</v>
      </c>
      <c r="X13" s="69">
        <v>2</v>
      </c>
      <c r="Y13" s="69">
        <v>4</v>
      </c>
      <c r="Z13" s="65">
        <f>1/4</f>
        <v>0.25</v>
      </c>
      <c r="AA13" s="122">
        <v>90.9</v>
      </c>
      <c r="AB13" s="122">
        <v>120</v>
      </c>
      <c r="AC13" s="122">
        <f t="shared" si="2"/>
        <v>-29.099999999999994</v>
      </c>
      <c r="AD13" s="122">
        <v>6.6</v>
      </c>
      <c r="AE13" s="122"/>
      <c r="AF13" s="65"/>
      <c r="AG13" s="122"/>
      <c r="AH13" s="122"/>
      <c r="AI13" s="122"/>
      <c r="AJ13" s="65"/>
      <c r="AK13" s="122"/>
      <c r="AL13" s="122"/>
      <c r="AM13" s="122"/>
      <c r="AN13" s="122"/>
    </row>
    <row r="14" spans="1:44" x14ac:dyDescent="0.2">
      <c r="A14" s="3"/>
      <c r="B14" s="3" t="s">
        <v>297</v>
      </c>
      <c r="D14" s="145"/>
      <c r="E14" s="145"/>
      <c r="F14" s="146"/>
      <c r="G14" s="4"/>
      <c r="J14" s="3"/>
      <c r="M14" s="3"/>
      <c r="N14" s="3"/>
      <c r="P14" s="3"/>
      <c r="Q14" s="12"/>
      <c r="R14" s="12"/>
      <c r="S14" s="3"/>
      <c r="T14" s="12"/>
      <c r="X14" s="69"/>
      <c r="Y14" s="69"/>
      <c r="Z14" s="65"/>
      <c r="AA14" s="122"/>
      <c r="AB14" s="122"/>
      <c r="AC14" s="122"/>
      <c r="AD14" s="122"/>
      <c r="AE14" s="122"/>
      <c r="AF14" s="65"/>
      <c r="AG14" s="122"/>
      <c r="AH14" s="122"/>
      <c r="AI14" s="122"/>
      <c r="AJ14" s="65"/>
      <c r="AK14" s="122"/>
      <c r="AL14" s="122"/>
      <c r="AM14" s="122"/>
      <c r="AN14" s="122"/>
    </row>
    <row r="15" spans="1:44" x14ac:dyDescent="0.2">
      <c r="A15" s="3"/>
      <c r="B15" s="3" t="s">
        <v>1733</v>
      </c>
      <c r="P15" s="11">
        <v>4245720</v>
      </c>
      <c r="Q15" s="11">
        <v>4458000</v>
      </c>
      <c r="R15" s="31">
        <v>4670160</v>
      </c>
      <c r="S15" s="31">
        <v>5954454</v>
      </c>
      <c r="T15" s="33">
        <f>S15*3</f>
        <v>17863362</v>
      </c>
      <c r="X15" s="69"/>
      <c r="Y15" s="69"/>
      <c r="Z15" s="65"/>
      <c r="AA15" s="122"/>
      <c r="AB15" s="122"/>
      <c r="AC15" s="122"/>
      <c r="AD15" s="122"/>
      <c r="AE15" s="122"/>
      <c r="AF15" s="65"/>
      <c r="AG15" s="122"/>
      <c r="AH15" s="122"/>
      <c r="AI15" s="122"/>
      <c r="AJ15" s="65"/>
      <c r="AK15" s="122"/>
      <c r="AL15" s="122"/>
      <c r="AM15" s="122"/>
      <c r="AN15" s="122"/>
    </row>
    <row r="16" spans="1:44" x14ac:dyDescent="0.2">
      <c r="A16" s="3"/>
      <c r="B16" s="3"/>
      <c r="P16" s="11"/>
      <c r="Q16" s="11"/>
      <c r="R16" s="19"/>
      <c r="S16" s="19"/>
      <c r="T16" s="221"/>
      <c r="X16" s="69"/>
      <c r="Y16" s="69"/>
      <c r="Z16" s="65"/>
      <c r="AA16" s="122"/>
      <c r="AB16" s="122"/>
      <c r="AC16" s="122"/>
      <c r="AD16" s="122"/>
      <c r="AE16" s="122"/>
      <c r="AF16" s="65"/>
      <c r="AG16" s="122"/>
      <c r="AH16" s="122"/>
      <c r="AI16" s="122"/>
      <c r="AJ16" s="65"/>
      <c r="AK16" s="122"/>
      <c r="AL16" s="122"/>
      <c r="AM16" s="122"/>
      <c r="AN16" s="122"/>
    </row>
    <row r="17" spans="1:40" x14ac:dyDescent="0.2">
      <c r="A17" s="3">
        <v>20</v>
      </c>
      <c r="B17" s="3" t="s">
        <v>147</v>
      </c>
      <c r="C17" s="60" t="s">
        <v>236</v>
      </c>
      <c r="D17" s="145">
        <v>610</v>
      </c>
      <c r="E17" s="145">
        <v>610</v>
      </c>
      <c r="F17" s="146">
        <v>225</v>
      </c>
      <c r="G17" s="4">
        <v>34432</v>
      </c>
      <c r="H17" s="122">
        <f ca="1">ROUNDDOWN(YEARFRAC($G$22,G17),1)</f>
        <v>26.5</v>
      </c>
      <c r="I17" s="60" t="s">
        <v>654</v>
      </c>
      <c r="J17" s="3">
        <v>5</v>
      </c>
      <c r="K17" s="60">
        <v>2014</v>
      </c>
      <c r="L17" s="60">
        <v>12</v>
      </c>
      <c r="M17" s="3" t="s">
        <v>1718</v>
      </c>
      <c r="N17" s="3"/>
      <c r="P17" s="50">
        <v>10445958</v>
      </c>
      <c r="Q17" s="12"/>
      <c r="R17" s="54"/>
      <c r="S17" s="54"/>
      <c r="T17" s="54"/>
      <c r="W17" s="60" t="s">
        <v>831</v>
      </c>
      <c r="X17" s="69">
        <v>4</v>
      </c>
      <c r="Y17" s="69">
        <v>58</v>
      </c>
      <c r="Z17" s="65">
        <f>24/58</f>
        <v>0.41379310344827586</v>
      </c>
      <c r="AA17" s="122">
        <v>110.2</v>
      </c>
      <c r="AB17" s="122">
        <v>112.1</v>
      </c>
      <c r="AC17" s="122">
        <f t="shared" ref="AC17" si="3">AA17-AB17</f>
        <v>-1.8999999999999915</v>
      </c>
      <c r="AD17" s="122">
        <v>24.9</v>
      </c>
      <c r="AE17" s="122">
        <v>13.3</v>
      </c>
      <c r="AF17" s="65">
        <v>0.57199999999999995</v>
      </c>
      <c r="AG17" s="122">
        <v>17.2</v>
      </c>
      <c r="AH17" s="122">
        <v>1.5</v>
      </c>
      <c r="AI17" s="122">
        <v>1.2</v>
      </c>
      <c r="AJ17" s="65">
        <v>9.0999999999999998E-2</v>
      </c>
      <c r="AK17" s="122">
        <v>-0.5</v>
      </c>
      <c r="AL17" s="122">
        <v>-0.4</v>
      </c>
      <c r="AM17" s="122">
        <v>0.4</v>
      </c>
      <c r="AN17" s="122">
        <v>9.3000000000000007</v>
      </c>
    </row>
    <row r="18" spans="1:40" x14ac:dyDescent="0.2">
      <c r="A18" s="3">
        <v>46</v>
      </c>
      <c r="B18" s="3" t="s">
        <v>146</v>
      </c>
      <c r="C18" s="60" t="s">
        <v>236</v>
      </c>
      <c r="D18" s="145">
        <v>610</v>
      </c>
      <c r="E18" s="145">
        <v>72</v>
      </c>
      <c r="F18" s="146">
        <v>260</v>
      </c>
      <c r="G18" s="4">
        <v>31755</v>
      </c>
      <c r="H18" s="122">
        <f ca="1">ROUNDDOWN(YEARFRAC($G$22,G18),1)</f>
        <v>33.799999999999997</v>
      </c>
      <c r="I18" s="60" t="s">
        <v>1252</v>
      </c>
      <c r="J18" s="3">
        <v>9</v>
      </c>
      <c r="K18" s="60">
        <v>2009</v>
      </c>
      <c r="M18" s="3" t="s">
        <v>1708</v>
      </c>
      <c r="N18" s="3"/>
      <c r="P18" s="14">
        <v>10361232</v>
      </c>
      <c r="Q18" s="12"/>
      <c r="R18" s="54"/>
      <c r="S18" s="54"/>
      <c r="T18" s="54"/>
      <c r="W18" s="60" t="s">
        <v>900</v>
      </c>
      <c r="X18" s="69">
        <v>5</v>
      </c>
      <c r="Y18" s="69">
        <v>42</v>
      </c>
      <c r="Z18" s="65">
        <f>19/42</f>
        <v>0.45238095238095238</v>
      </c>
      <c r="AA18" s="122">
        <v>110.2</v>
      </c>
      <c r="AB18" s="122">
        <v>111.7</v>
      </c>
      <c r="AC18" s="122">
        <f t="shared" ref="AC18:AC20" si="4">AA18-AB18</f>
        <v>-1.5</v>
      </c>
      <c r="AD18" s="122">
        <v>22.2</v>
      </c>
      <c r="AE18" s="122">
        <v>15.1</v>
      </c>
      <c r="AF18" s="65">
        <v>0.58099999999999996</v>
      </c>
      <c r="AG18" s="122">
        <v>21.1</v>
      </c>
      <c r="AH18" s="122">
        <v>1.3</v>
      </c>
      <c r="AI18" s="122">
        <v>0.7</v>
      </c>
      <c r="AJ18" s="65">
        <v>0.10299999999999999</v>
      </c>
      <c r="AK18" s="122">
        <v>-0.2</v>
      </c>
      <c r="AL18" s="122">
        <v>-0.9</v>
      </c>
      <c r="AM18" s="122">
        <v>0.2</v>
      </c>
      <c r="AN18" s="122">
        <v>9.4</v>
      </c>
    </row>
    <row r="19" spans="1:40" x14ac:dyDescent="0.2">
      <c r="A19" s="3">
        <v>4</v>
      </c>
      <c r="B19" s="3" t="s">
        <v>149</v>
      </c>
      <c r="C19" s="60" t="s">
        <v>232</v>
      </c>
      <c r="D19" s="145">
        <v>61</v>
      </c>
      <c r="E19" s="145">
        <v>64</v>
      </c>
      <c r="F19" s="146">
        <v>200</v>
      </c>
      <c r="G19" s="4">
        <v>34956</v>
      </c>
      <c r="H19" s="122">
        <f ca="1">ROUNDDOWN(YEARFRAC($G$22,G19),1)</f>
        <v>25.1</v>
      </c>
      <c r="I19" s="60" t="s">
        <v>1724</v>
      </c>
      <c r="J19" s="3">
        <v>3</v>
      </c>
      <c r="K19" s="60">
        <v>2018</v>
      </c>
      <c r="L19" s="60">
        <v>32</v>
      </c>
      <c r="M19" s="3" t="s">
        <v>1725</v>
      </c>
      <c r="N19" s="3"/>
      <c r="P19" s="50">
        <v>1907576</v>
      </c>
      <c r="Q19" s="12"/>
      <c r="R19" s="54"/>
      <c r="S19" s="54"/>
      <c r="T19" s="54"/>
      <c r="W19" s="98" t="s">
        <v>291</v>
      </c>
      <c r="X19" s="69">
        <v>1</v>
      </c>
      <c r="Y19" s="69">
        <v>50</v>
      </c>
      <c r="Z19" s="65">
        <f>21/50</f>
        <v>0.42</v>
      </c>
      <c r="AA19" s="122">
        <v>103.5</v>
      </c>
      <c r="AB19" s="122">
        <v>107.2</v>
      </c>
      <c r="AC19" s="122">
        <f t="shared" si="4"/>
        <v>-3.7000000000000028</v>
      </c>
      <c r="AD19" s="122">
        <v>15.1</v>
      </c>
      <c r="AE19" s="122">
        <v>10.4</v>
      </c>
      <c r="AF19" s="65">
        <v>0.53500000000000003</v>
      </c>
      <c r="AG19" s="122">
        <v>13.9</v>
      </c>
      <c r="AH19" s="122">
        <v>0.3</v>
      </c>
      <c r="AI19" s="122">
        <v>0.7</v>
      </c>
      <c r="AJ19" s="65">
        <v>6.8000000000000005E-2</v>
      </c>
      <c r="AK19" s="122">
        <v>-1.6</v>
      </c>
      <c r="AL19" s="122">
        <v>1</v>
      </c>
      <c r="AM19" s="122">
        <v>0.3</v>
      </c>
      <c r="AN19" s="122">
        <v>6.8</v>
      </c>
    </row>
    <row r="20" spans="1:40" x14ac:dyDescent="0.2">
      <c r="A20" s="3">
        <v>41</v>
      </c>
      <c r="B20" s="3" t="s">
        <v>1731</v>
      </c>
      <c r="C20" s="60" t="s">
        <v>236</v>
      </c>
      <c r="D20" s="145">
        <v>610</v>
      </c>
      <c r="E20" s="145">
        <v>74</v>
      </c>
      <c r="F20" s="146">
        <v>205</v>
      </c>
      <c r="G20" s="4">
        <v>34880</v>
      </c>
      <c r="H20" s="122">
        <f ca="1">ROUNDDOWN(YEARFRAC($G$22,G20),1)</f>
        <v>25.3</v>
      </c>
      <c r="I20" s="60" t="s">
        <v>675</v>
      </c>
      <c r="J20" s="3">
        <v>2</v>
      </c>
      <c r="K20" s="60">
        <v>2019</v>
      </c>
      <c r="M20" s="3" t="s">
        <v>473</v>
      </c>
      <c r="N20" s="3"/>
      <c r="P20" s="34"/>
      <c r="Q20" s="12"/>
      <c r="R20" s="54"/>
      <c r="S20" s="55"/>
      <c r="T20" s="54"/>
      <c r="W20" s="98" t="s">
        <v>1732</v>
      </c>
      <c r="X20" s="69">
        <v>4</v>
      </c>
      <c r="Y20" s="69">
        <v>3</v>
      </c>
      <c r="Z20" s="65">
        <f>0/3</f>
        <v>0</v>
      </c>
      <c r="AA20" s="122">
        <v>83.9</v>
      </c>
      <c r="AB20" s="122">
        <v>127.3</v>
      </c>
      <c r="AC20" s="122">
        <f t="shared" si="4"/>
        <v>-43.399999999999991</v>
      </c>
      <c r="AD20" s="122">
        <v>5.0999999999999996</v>
      </c>
      <c r="AE20" s="122"/>
      <c r="AF20" s="65"/>
      <c r="AG20" s="122"/>
      <c r="AH20" s="122"/>
      <c r="AI20" s="122"/>
      <c r="AJ20" s="65"/>
      <c r="AK20" s="122"/>
      <c r="AL20" s="122"/>
      <c r="AM20" s="122"/>
      <c r="AN20" s="122"/>
    </row>
    <row r="21" spans="1:40" x14ac:dyDescent="0.2">
      <c r="A21" s="3"/>
      <c r="B21" s="3"/>
      <c r="P21" s="11"/>
      <c r="Q21" s="11"/>
      <c r="R21" s="19"/>
      <c r="S21" s="19"/>
      <c r="T21" s="221"/>
      <c r="X21" s="69"/>
      <c r="Y21" s="69"/>
      <c r="Z21" s="65"/>
      <c r="AA21" s="122"/>
      <c r="AB21" s="122"/>
      <c r="AC21" s="122"/>
      <c r="AD21" s="122"/>
      <c r="AE21" s="122"/>
      <c r="AF21" s="65"/>
      <c r="AG21" s="122"/>
      <c r="AH21" s="122"/>
      <c r="AI21" s="122"/>
      <c r="AJ21" s="65"/>
      <c r="AK21" s="122"/>
      <c r="AL21" s="122"/>
      <c r="AM21" s="122"/>
      <c r="AN21" s="122"/>
    </row>
    <row r="22" spans="1:40" x14ac:dyDescent="0.2">
      <c r="G22" s="62">
        <f ca="1">TODAY()</f>
        <v>44128</v>
      </c>
      <c r="H22" s="63">
        <f ca="1">AVERAGE(H2:H13)</f>
        <v>24.491666666666664</v>
      </c>
      <c r="J22" s="63">
        <f>AVERAGE(J2:J13)</f>
        <v>4.416666666666667</v>
      </c>
      <c r="X22" s="69"/>
      <c r="Y22" s="69"/>
      <c r="Z22" s="65"/>
      <c r="AF22" s="65"/>
      <c r="AJ22" s="65"/>
    </row>
    <row r="23" spans="1:40" x14ac:dyDescent="0.2">
      <c r="H23" s="63">
        <f ca="1">MEDIAN(H2:H13)</f>
        <v>24.1</v>
      </c>
      <c r="J23" s="69">
        <f>MEDIAN(J2:J13)</f>
        <v>4</v>
      </c>
      <c r="P23" s="124"/>
      <c r="X23" s="69"/>
      <c r="Y23" s="69"/>
      <c r="Z23" s="65"/>
      <c r="AF23" s="65"/>
      <c r="AJ23" s="65"/>
    </row>
    <row r="24" spans="1:40" x14ac:dyDescent="0.2">
      <c r="B24" s="209" t="s">
        <v>2224</v>
      </c>
      <c r="P24" s="64">
        <f>P2+P3+P4+P5+P7+P15+P8+P9+P13</f>
        <v>87521901</v>
      </c>
      <c r="X24" s="69"/>
      <c r="Y24" s="69"/>
      <c r="Z24" s="65"/>
      <c r="AF24" s="65"/>
      <c r="AJ24" s="65"/>
    </row>
    <row r="25" spans="1:40" x14ac:dyDescent="0.2">
      <c r="B25" s="3" t="s">
        <v>2085</v>
      </c>
      <c r="C25" s="60">
        <v>8</v>
      </c>
      <c r="I25" s="209"/>
      <c r="P25" s="64">
        <f>SUM(P2:P15)</f>
        <v>97716388</v>
      </c>
      <c r="X25" s="69"/>
      <c r="Y25" s="69"/>
      <c r="Z25" s="65"/>
      <c r="AF25" s="65"/>
      <c r="AJ25" s="65"/>
    </row>
    <row r="26" spans="1:40" x14ac:dyDescent="0.2">
      <c r="B26" s="3" t="s">
        <v>2088</v>
      </c>
      <c r="C26" s="60">
        <v>4</v>
      </c>
      <c r="I26" s="3"/>
      <c r="O26" s="3"/>
      <c r="P26" s="124">
        <f>P2+P3+P4+P5+P7+P8+P9+P11+P13+P15</f>
        <v>89223494</v>
      </c>
      <c r="X26" s="69"/>
      <c r="Y26" s="69"/>
      <c r="Z26" s="65"/>
      <c r="AF26" s="65"/>
      <c r="AJ26" s="65"/>
    </row>
    <row r="27" spans="1:40" x14ac:dyDescent="0.2">
      <c r="B27" s="3" t="s">
        <v>2086</v>
      </c>
      <c r="C27" s="60">
        <v>1</v>
      </c>
      <c r="I27" s="3"/>
      <c r="O27" s="3"/>
      <c r="Z27" s="65"/>
      <c r="AF27" s="65"/>
      <c r="AJ27" s="65"/>
    </row>
    <row r="28" spans="1:40" x14ac:dyDescent="0.2">
      <c r="B28" s="3" t="s">
        <v>2219</v>
      </c>
      <c r="C28" s="60" t="s">
        <v>2359</v>
      </c>
      <c r="I28" s="3"/>
      <c r="O28" s="3" t="s">
        <v>300</v>
      </c>
      <c r="P28" s="11">
        <v>109140000</v>
      </c>
      <c r="AJ28" s="65"/>
    </row>
    <row r="29" spans="1:40" x14ac:dyDescent="0.2">
      <c r="B29" s="3" t="s">
        <v>301</v>
      </c>
      <c r="C29" s="61">
        <v>0</v>
      </c>
      <c r="I29" s="3"/>
      <c r="O29" s="3" t="s">
        <v>302</v>
      </c>
      <c r="P29" s="11">
        <v>132627000</v>
      </c>
      <c r="AJ29" s="65"/>
    </row>
    <row r="30" spans="1:40" x14ac:dyDescent="0.2">
      <c r="B30" s="3" t="s">
        <v>303</v>
      </c>
      <c r="C30" s="61">
        <v>0</v>
      </c>
      <c r="I30" s="3"/>
      <c r="J30" s="61"/>
      <c r="AJ30" s="65"/>
    </row>
    <row r="31" spans="1:40" x14ac:dyDescent="0.2">
      <c r="B31" s="3"/>
      <c r="I31" s="3"/>
      <c r="J31" s="61"/>
    </row>
    <row r="32" spans="1:40" x14ac:dyDescent="0.2">
      <c r="B32" s="5" t="s">
        <v>2084</v>
      </c>
      <c r="I32" s="3"/>
    </row>
    <row r="33" spans="2:10" x14ac:dyDescent="0.2">
      <c r="B33" s="3" t="s">
        <v>304</v>
      </c>
      <c r="C33" s="65">
        <f>34/(34+39)</f>
        <v>0.46575342465753422</v>
      </c>
      <c r="D33" s="60" t="s">
        <v>765</v>
      </c>
      <c r="I33" s="5"/>
    </row>
    <row r="34" spans="2:10" x14ac:dyDescent="0.2">
      <c r="B34" s="3" t="s">
        <v>306</v>
      </c>
      <c r="C34" s="60">
        <v>111.3</v>
      </c>
      <c r="D34" s="60" t="s">
        <v>2315</v>
      </c>
      <c r="I34" s="3"/>
    </row>
    <row r="35" spans="2:10" x14ac:dyDescent="0.2">
      <c r="B35" s="3" t="s">
        <v>307</v>
      </c>
      <c r="C35" s="60">
        <v>110.8</v>
      </c>
      <c r="D35" s="60" t="s">
        <v>2225</v>
      </c>
      <c r="I35" s="3"/>
    </row>
    <row r="36" spans="2:10" x14ac:dyDescent="0.2">
      <c r="B36" s="3" t="s">
        <v>308</v>
      </c>
      <c r="C36" s="60">
        <f>C34-C35</f>
        <v>0.5</v>
      </c>
      <c r="D36" s="60" t="s">
        <v>2303</v>
      </c>
      <c r="I36" s="3"/>
    </row>
    <row r="37" spans="2:10" x14ac:dyDescent="0.2">
      <c r="B37" s="3" t="s">
        <v>309</v>
      </c>
      <c r="C37" s="60">
        <v>101.74</v>
      </c>
      <c r="D37" s="60" t="s">
        <v>2235</v>
      </c>
      <c r="I37" s="3"/>
    </row>
    <row r="38" spans="2:10" x14ac:dyDescent="0.2">
      <c r="B38" s="3"/>
      <c r="I38" s="3"/>
    </row>
    <row r="39" spans="2:10" x14ac:dyDescent="0.2">
      <c r="B39" s="2" t="s">
        <v>310</v>
      </c>
      <c r="I39" s="3"/>
    </row>
    <row r="40" spans="2:10" x14ac:dyDescent="0.2">
      <c r="B40" s="2" t="s">
        <v>1170</v>
      </c>
    </row>
    <row r="41" spans="2:10" x14ac:dyDescent="0.2">
      <c r="B41" s="2"/>
    </row>
    <row r="42" spans="2:10" x14ac:dyDescent="0.2">
      <c r="B42" s="2" t="s">
        <v>318</v>
      </c>
    </row>
    <row r="43" spans="2:10" x14ac:dyDescent="0.2">
      <c r="B43" s="2" t="s">
        <v>1734</v>
      </c>
    </row>
    <row r="44" spans="2:10" x14ac:dyDescent="0.2">
      <c r="B44" s="2"/>
    </row>
    <row r="45" spans="2:10" x14ac:dyDescent="0.2">
      <c r="B45" s="71" t="s">
        <v>2339</v>
      </c>
    </row>
    <row r="46" spans="2:10" x14ac:dyDescent="0.2">
      <c r="B46" s="39" t="s">
        <v>322</v>
      </c>
      <c r="C46" s="60">
        <v>34</v>
      </c>
      <c r="D46" s="60">
        <v>39</v>
      </c>
      <c r="E46" s="60" t="s">
        <v>765</v>
      </c>
      <c r="G46" s="60" t="s">
        <v>1464</v>
      </c>
      <c r="J46" s="148" t="s">
        <v>324</v>
      </c>
    </row>
    <row r="47" spans="2:10" x14ac:dyDescent="0.2">
      <c r="B47" s="39" t="s">
        <v>325</v>
      </c>
      <c r="C47" s="60">
        <v>19</v>
      </c>
      <c r="D47" s="60">
        <v>63</v>
      </c>
      <c r="E47" s="60" t="s">
        <v>942</v>
      </c>
      <c r="G47" s="60" t="s">
        <v>1735</v>
      </c>
      <c r="I47" s="148"/>
      <c r="J47" s="148" t="s">
        <v>324</v>
      </c>
    </row>
    <row r="48" spans="2:10" x14ac:dyDescent="0.2">
      <c r="B48" s="39" t="s">
        <v>327</v>
      </c>
      <c r="C48" s="60">
        <v>21</v>
      </c>
      <c r="D48" s="60">
        <v>61</v>
      </c>
      <c r="E48" s="60" t="s">
        <v>942</v>
      </c>
      <c r="G48" s="60" t="s">
        <v>1736</v>
      </c>
      <c r="J48" s="148" t="s">
        <v>324</v>
      </c>
    </row>
    <row r="49" spans="2:10" x14ac:dyDescent="0.2">
      <c r="B49" s="39" t="s">
        <v>330</v>
      </c>
      <c r="C49" s="60">
        <v>24</v>
      </c>
      <c r="D49" s="60">
        <v>58</v>
      </c>
      <c r="E49" s="60" t="s">
        <v>942</v>
      </c>
      <c r="G49" s="60" t="s">
        <v>1737</v>
      </c>
      <c r="J49" s="148" t="s">
        <v>324</v>
      </c>
    </row>
    <row r="50" spans="2:10" x14ac:dyDescent="0.2">
      <c r="B50" s="39" t="s">
        <v>333</v>
      </c>
      <c r="C50" s="60">
        <v>23</v>
      </c>
      <c r="D50" s="60">
        <v>59</v>
      </c>
      <c r="E50" s="60" t="s">
        <v>757</v>
      </c>
      <c r="G50" s="60" t="s">
        <v>1738</v>
      </c>
      <c r="J50" s="148" t="s">
        <v>324</v>
      </c>
    </row>
    <row r="51" spans="2:10" x14ac:dyDescent="0.2">
      <c r="B51" s="39" t="s">
        <v>336</v>
      </c>
      <c r="C51" s="60">
        <v>39</v>
      </c>
      <c r="D51" s="60">
        <v>43</v>
      </c>
      <c r="E51" s="60" t="s">
        <v>765</v>
      </c>
      <c r="G51" s="60" t="s">
        <v>1514</v>
      </c>
      <c r="J51" s="148" t="s">
        <v>324</v>
      </c>
    </row>
    <row r="52" spans="2:10" x14ac:dyDescent="0.2">
      <c r="B52" s="39" t="s">
        <v>339</v>
      </c>
      <c r="C52" s="60">
        <v>48</v>
      </c>
      <c r="D52" s="60">
        <v>34</v>
      </c>
      <c r="E52" s="60" t="s">
        <v>819</v>
      </c>
      <c r="G52" s="60" t="s">
        <v>1514</v>
      </c>
      <c r="J52" s="148" t="s">
        <v>324</v>
      </c>
    </row>
    <row r="53" spans="2:10" x14ac:dyDescent="0.2">
      <c r="B53" s="39" t="s">
        <v>342</v>
      </c>
      <c r="C53" s="60">
        <v>25</v>
      </c>
      <c r="D53" s="60">
        <v>57</v>
      </c>
      <c r="E53" s="60" t="s">
        <v>942</v>
      </c>
      <c r="G53" s="60" t="s">
        <v>1739</v>
      </c>
      <c r="J53" s="148" t="s">
        <v>324</v>
      </c>
    </row>
    <row r="54" spans="2:10" x14ac:dyDescent="0.2">
      <c r="B54" s="39" t="s">
        <v>346</v>
      </c>
      <c r="C54" s="60">
        <v>33</v>
      </c>
      <c r="D54" s="60">
        <v>33</v>
      </c>
      <c r="E54" s="60" t="s">
        <v>765</v>
      </c>
      <c r="G54" s="60" t="s">
        <v>1455</v>
      </c>
      <c r="J54" s="148" t="s">
        <v>324</v>
      </c>
    </row>
    <row r="55" spans="2:10" x14ac:dyDescent="0.2">
      <c r="B55" s="39" t="s">
        <v>348</v>
      </c>
      <c r="C55" s="60">
        <v>40</v>
      </c>
      <c r="D55" s="60">
        <v>42</v>
      </c>
      <c r="E55" s="60" t="s">
        <v>765</v>
      </c>
      <c r="G55" s="60" t="s">
        <v>1455</v>
      </c>
      <c r="J55" s="148" t="s">
        <v>324</v>
      </c>
    </row>
    <row r="56" spans="2:10" x14ac:dyDescent="0.2">
      <c r="B56" s="60" t="s">
        <v>350</v>
      </c>
      <c r="C56" s="60">
        <f>SUM(C46:C55)</f>
        <v>306</v>
      </c>
      <c r="D56" s="60">
        <f>SUM(D46:D55)</f>
        <v>489</v>
      </c>
      <c r="E56" s="65">
        <f>C56/(C56+D56)</f>
        <v>0.38490566037735852</v>
      </c>
    </row>
  </sheetData>
  <hyperlinks>
    <hyperlink ref="B46" r:id="rId1" xr:uid="{4FB1FE0F-D02C-AF43-89EF-7FD21177CCCC}"/>
    <hyperlink ref="B47" r:id="rId2" xr:uid="{0CDF2A87-4026-A445-867F-4243BA755E31}"/>
    <hyperlink ref="B48" r:id="rId3" xr:uid="{009C3F51-1248-C84B-9D01-99064198E6F3}"/>
    <hyperlink ref="B49" r:id="rId4" xr:uid="{6A5CE9F8-A4D1-EE4D-B470-2C8114F6586D}"/>
    <hyperlink ref="B50" r:id="rId5" xr:uid="{8C8E5AFF-7787-BC43-87F5-4369F3623E8C}"/>
    <hyperlink ref="B51" r:id="rId6" xr:uid="{1FF00D1C-162E-E041-BE4F-6C1CA6C94B8A}"/>
    <hyperlink ref="B52" r:id="rId7" xr:uid="{3A7CEC4B-3E2C-1C45-99E4-36FC1A096888}"/>
    <hyperlink ref="B53" r:id="rId8" xr:uid="{8D672BB7-9932-B844-9192-B226AE5FD2B5}"/>
    <hyperlink ref="B54" r:id="rId9" xr:uid="{66E7105A-5624-B046-8B34-F3117A20D017}"/>
    <hyperlink ref="B55" r:id="rId10" xr:uid="{D94D413E-BCAE-584A-89B5-6AF26FB3454D}"/>
  </hyperlinks>
  <pageMargins left="0.7" right="0.7" top="0.75" bottom="0.75" header="0.3" footer="0.3"/>
  <legacyDrawing r:id="rId1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B42AE-5035-4242-88BF-1F8B78A912CD}">
  <dimension ref="A1:AR60"/>
  <sheetViews>
    <sheetView zoomScaleNormal="100" workbookViewId="0">
      <selection sqref="A1:AR1"/>
    </sheetView>
  </sheetViews>
  <sheetFormatPr baseColWidth="10" defaultColWidth="10.83203125" defaultRowHeight="16" x14ac:dyDescent="0.2"/>
  <cols>
    <col min="1" max="1" width="3.5" style="82" customWidth="1"/>
    <col min="2" max="2" width="19" style="82" customWidth="1"/>
    <col min="3" max="3" width="10.83203125" style="82"/>
    <col min="4" max="4" width="9.33203125" style="82" customWidth="1"/>
    <col min="5" max="5" width="10.83203125" style="82"/>
    <col min="6" max="6" width="8" style="82" customWidth="1"/>
    <col min="7" max="7" width="9" style="82" customWidth="1"/>
    <col min="8" max="8" width="5.83203125" style="82" customWidth="1"/>
    <col min="9" max="9" width="17.6640625" style="82" customWidth="1"/>
    <col min="10" max="10" width="11" style="82" customWidth="1"/>
    <col min="11" max="11" width="11.6640625" style="82" customWidth="1"/>
    <col min="12" max="12" width="4.83203125" style="82" customWidth="1"/>
    <col min="13" max="13" width="24.83203125" style="82" customWidth="1"/>
    <col min="14" max="14" width="20.83203125" style="82" customWidth="1"/>
    <col min="15" max="15" width="95.6640625" style="82" customWidth="1"/>
    <col min="16" max="16" width="13" style="82" customWidth="1"/>
    <col min="17" max="17" width="12.1640625" style="82" customWidth="1"/>
    <col min="18" max="19" width="12" style="82" customWidth="1"/>
    <col min="20" max="20" width="12.1640625" style="82" customWidth="1"/>
    <col min="21" max="21" width="11.6640625" style="82" bestFit="1" customWidth="1"/>
    <col min="22" max="22" width="56.33203125" style="82" customWidth="1"/>
    <col min="23" max="23" width="26.1640625" style="82" customWidth="1"/>
    <col min="24" max="24" width="9.6640625" style="82" customWidth="1"/>
    <col min="25" max="25" width="3.83203125" style="82" customWidth="1"/>
    <col min="26" max="26" width="7.6640625" style="82" customWidth="1"/>
    <col min="27" max="27" width="6.1640625" style="82" customWidth="1"/>
    <col min="28" max="28" width="6" style="82" customWidth="1"/>
    <col min="29" max="29" width="7.6640625" style="82" customWidth="1"/>
    <col min="30" max="30" width="5.6640625" style="82" customWidth="1"/>
    <col min="31" max="31" width="5.1640625" style="82" customWidth="1"/>
    <col min="32" max="32" width="6.5" style="82" customWidth="1"/>
    <col min="33" max="33" width="7.83203125" style="82" customWidth="1"/>
    <col min="34" max="34" width="5.33203125" style="82" customWidth="1"/>
    <col min="35" max="35" width="5" style="82" customWidth="1"/>
    <col min="36" max="36" width="7" style="82" customWidth="1"/>
    <col min="37" max="37" width="6.33203125" style="82" customWidth="1"/>
    <col min="38" max="38" width="6.1640625" style="82" customWidth="1"/>
    <col min="39" max="39" width="5.83203125" style="82" customWidth="1"/>
    <col min="40" max="40" width="4.5" style="82" customWidth="1"/>
    <col min="41" max="16384" width="10.83203125" style="82"/>
  </cols>
  <sheetData>
    <row r="1" spans="1:44" x14ac:dyDescent="0.2">
      <c r="A1" s="223" t="s">
        <v>2394</v>
      </c>
      <c r="B1" s="223" t="s">
        <v>2395</v>
      </c>
      <c r="C1" s="223" t="s">
        <v>2396</v>
      </c>
      <c r="D1" s="223" t="s">
        <v>2397</v>
      </c>
      <c r="E1" s="223" t="s">
        <v>2398</v>
      </c>
      <c r="F1" s="223" t="s">
        <v>2399</v>
      </c>
      <c r="G1" s="223" t="s">
        <v>2400</v>
      </c>
      <c r="H1" s="223" t="s">
        <v>2401</v>
      </c>
      <c r="I1" s="223" t="s">
        <v>2402</v>
      </c>
      <c r="J1" s="223" t="s">
        <v>2403</v>
      </c>
      <c r="K1" s="223" t="s">
        <v>2404</v>
      </c>
      <c r="L1" s="223" t="s">
        <v>2405</v>
      </c>
      <c r="M1" s="223" t="s">
        <v>2406</v>
      </c>
      <c r="N1" s="223" t="s">
        <v>2407</v>
      </c>
      <c r="O1" s="223" t="s">
        <v>2408</v>
      </c>
      <c r="P1" s="223" t="s">
        <v>2409</v>
      </c>
      <c r="Q1" s="223" t="s">
        <v>2410</v>
      </c>
      <c r="R1" s="223" t="s">
        <v>2411</v>
      </c>
      <c r="S1" s="223" t="s">
        <v>2412</v>
      </c>
      <c r="T1" s="223" t="s">
        <v>2413</v>
      </c>
      <c r="U1" s="223" t="s">
        <v>2414</v>
      </c>
      <c r="V1" s="223" t="s">
        <v>2415</v>
      </c>
      <c r="W1" s="223" t="s">
        <v>2416</v>
      </c>
      <c r="X1" s="223" t="s">
        <v>2433</v>
      </c>
      <c r="Y1" s="223" t="s">
        <v>2417</v>
      </c>
      <c r="Z1" s="223" t="s">
        <v>2418</v>
      </c>
      <c r="AA1" s="223" t="s">
        <v>2419</v>
      </c>
      <c r="AB1" s="223" t="s">
        <v>2420</v>
      </c>
      <c r="AC1" s="223" t="s">
        <v>2421</v>
      </c>
      <c r="AD1" s="223" t="s">
        <v>2422</v>
      </c>
      <c r="AE1" s="223" t="s">
        <v>2423</v>
      </c>
      <c r="AF1" s="223" t="s">
        <v>2424</v>
      </c>
      <c r="AG1" s="223" t="s">
        <v>2425</v>
      </c>
      <c r="AH1" s="223" t="s">
        <v>2426</v>
      </c>
      <c r="AI1" s="223" t="s">
        <v>2427</v>
      </c>
      <c r="AJ1" s="223" t="s">
        <v>2428</v>
      </c>
      <c r="AK1" s="223" t="s">
        <v>2429</v>
      </c>
      <c r="AL1" s="223" t="s">
        <v>2430</v>
      </c>
      <c r="AM1" s="223" t="s">
        <v>2431</v>
      </c>
      <c r="AN1" s="223" t="s">
        <v>2432</v>
      </c>
      <c r="AO1" s="224"/>
      <c r="AP1" s="225"/>
      <c r="AQ1" s="6"/>
      <c r="AR1" s="6"/>
    </row>
    <row r="2" spans="1:44" x14ac:dyDescent="0.2">
      <c r="A2" s="82">
        <v>0</v>
      </c>
      <c r="B2" s="82" t="s">
        <v>1740</v>
      </c>
      <c r="C2" s="82" t="s">
        <v>250</v>
      </c>
      <c r="D2" s="83">
        <v>62</v>
      </c>
      <c r="E2" s="83">
        <v>68</v>
      </c>
      <c r="F2" s="84">
        <v>195</v>
      </c>
      <c r="G2" s="85">
        <v>33069</v>
      </c>
      <c r="H2" s="86">
        <f t="shared" ref="H2:H11" ca="1" si="0">ROUNDDOWN(YEARFRAC($G$24,G2),1)</f>
        <v>30.2</v>
      </c>
      <c r="I2" s="82" t="s">
        <v>1741</v>
      </c>
      <c r="J2" s="82">
        <v>9</v>
      </c>
      <c r="K2" s="82">
        <v>2012</v>
      </c>
      <c r="L2" s="82">
        <v>6</v>
      </c>
      <c r="M2" s="82" t="s">
        <v>1742</v>
      </c>
      <c r="N2" s="82" t="s">
        <v>1743</v>
      </c>
      <c r="O2" s="82" t="s">
        <v>2175</v>
      </c>
      <c r="P2" s="87">
        <v>31626953</v>
      </c>
      <c r="Q2" s="87">
        <v>43750000</v>
      </c>
      <c r="R2" s="87">
        <v>47250000</v>
      </c>
      <c r="S2" s="87">
        <v>50750000</v>
      </c>
      <c r="T2" s="164">
        <v>54250000</v>
      </c>
      <c r="U2" s="165">
        <v>56962500</v>
      </c>
      <c r="W2" s="98" t="s">
        <v>291</v>
      </c>
      <c r="X2" s="97">
        <v>1</v>
      </c>
      <c r="Y2" s="97">
        <v>58</v>
      </c>
      <c r="Z2" s="96">
        <f>27/58</f>
        <v>0.46551724137931033</v>
      </c>
      <c r="AA2" s="86">
        <v>114.4</v>
      </c>
      <c r="AB2" s="86">
        <v>113.1</v>
      </c>
      <c r="AC2" s="86">
        <f t="shared" ref="AC2:AC11" si="1">AA2-AB2</f>
        <v>1.3000000000000114</v>
      </c>
      <c r="AD2" s="86">
        <v>36.9</v>
      </c>
      <c r="AE2" s="86">
        <v>26.2</v>
      </c>
      <c r="AF2" s="96">
        <v>0.61899999999999999</v>
      </c>
      <c r="AG2" s="86">
        <v>30.2</v>
      </c>
      <c r="AH2" s="86">
        <v>8.9</v>
      </c>
      <c r="AI2" s="86">
        <v>0.7</v>
      </c>
      <c r="AJ2" s="96">
        <v>0.215</v>
      </c>
      <c r="AK2" s="86">
        <v>7.9</v>
      </c>
      <c r="AL2" s="86">
        <v>-0.7</v>
      </c>
      <c r="AM2" s="86">
        <v>5</v>
      </c>
      <c r="AN2" s="86">
        <v>16.5</v>
      </c>
    </row>
    <row r="3" spans="1:44" x14ac:dyDescent="0.2">
      <c r="A3" s="82">
        <v>3</v>
      </c>
      <c r="B3" s="82" t="s">
        <v>1744</v>
      </c>
      <c r="C3" s="82" t="s">
        <v>232</v>
      </c>
      <c r="D3" s="83">
        <v>63</v>
      </c>
      <c r="E3" s="83">
        <v>66</v>
      </c>
      <c r="F3" s="84">
        <v>190</v>
      </c>
      <c r="G3" s="85">
        <v>33500</v>
      </c>
      <c r="H3" s="86">
        <f t="shared" ca="1" si="0"/>
        <v>29</v>
      </c>
      <c r="I3" s="82" t="s">
        <v>1745</v>
      </c>
      <c r="J3" s="82">
        <v>8</v>
      </c>
      <c r="K3" s="82">
        <v>2013</v>
      </c>
      <c r="L3" s="82">
        <v>10</v>
      </c>
      <c r="M3" s="82" t="s">
        <v>1746</v>
      </c>
      <c r="N3" s="82" t="s">
        <v>1743</v>
      </c>
      <c r="O3" s="82" t="s">
        <v>2372</v>
      </c>
      <c r="P3" s="87">
        <v>29354152</v>
      </c>
      <c r="Q3" s="87">
        <v>30864198</v>
      </c>
      <c r="R3" s="87">
        <v>33333333</v>
      </c>
      <c r="S3" s="87">
        <v>35802469</v>
      </c>
      <c r="T3" s="165">
        <v>49926100</v>
      </c>
      <c r="W3" s="82" t="s">
        <v>1747</v>
      </c>
      <c r="X3" s="97">
        <v>2</v>
      </c>
      <c r="Y3" s="97">
        <v>62</v>
      </c>
      <c r="Z3" s="96">
        <f>28/62</f>
        <v>0.45161290322580644</v>
      </c>
      <c r="AA3" s="86">
        <v>113</v>
      </c>
      <c r="AB3" s="86">
        <v>112.2</v>
      </c>
      <c r="AC3" s="86">
        <f t="shared" si="1"/>
        <v>0.79999999999999716</v>
      </c>
      <c r="AD3" s="86">
        <v>36</v>
      </c>
      <c r="AE3" s="86">
        <v>17.399999999999999</v>
      </c>
      <c r="AF3" s="96">
        <v>0.54300000000000004</v>
      </c>
      <c r="AG3" s="86">
        <v>26.7</v>
      </c>
      <c r="AH3" s="86">
        <v>3.1</v>
      </c>
      <c r="AI3" s="86">
        <v>0.6</v>
      </c>
      <c r="AJ3" s="96">
        <v>7.9000000000000001E-2</v>
      </c>
      <c r="AK3" s="86">
        <v>2.5</v>
      </c>
      <c r="AL3" s="86">
        <v>-1.7</v>
      </c>
      <c r="AM3" s="86">
        <v>1.6</v>
      </c>
      <c r="AN3" s="86">
        <v>10.5</v>
      </c>
    </row>
    <row r="4" spans="1:44" x14ac:dyDescent="0.2">
      <c r="A4" s="82">
        <v>27</v>
      </c>
      <c r="B4" s="82" t="s">
        <v>215</v>
      </c>
      <c r="C4" s="82" t="s">
        <v>236</v>
      </c>
      <c r="D4" s="83">
        <v>70</v>
      </c>
      <c r="E4" s="83">
        <v>72</v>
      </c>
      <c r="F4" s="84">
        <v>290</v>
      </c>
      <c r="G4" s="85">
        <v>34569</v>
      </c>
      <c r="H4" s="86">
        <f t="shared" ca="1" si="0"/>
        <v>26.1</v>
      </c>
      <c r="I4" s="82" t="s">
        <v>449</v>
      </c>
      <c r="J4" s="82">
        <v>7</v>
      </c>
      <c r="K4" s="82">
        <v>2014</v>
      </c>
      <c r="L4" s="82">
        <v>16</v>
      </c>
      <c r="M4" s="82" t="s">
        <v>1749</v>
      </c>
      <c r="N4" s="82" t="s">
        <v>1</v>
      </c>
      <c r="O4" s="82" t="s">
        <v>2176</v>
      </c>
      <c r="P4" s="87">
        <f>14138889-1250000</f>
        <v>12888889</v>
      </c>
      <c r="Q4" s="166">
        <f>13250000-1250000</f>
        <v>12000000</v>
      </c>
      <c r="R4" s="88">
        <f>Q4*1.5</f>
        <v>18000000</v>
      </c>
      <c r="V4" s="82" t="s">
        <v>2371</v>
      </c>
      <c r="W4" s="82" t="s">
        <v>634</v>
      </c>
      <c r="X4" s="97">
        <v>5</v>
      </c>
      <c r="Y4" s="97">
        <v>72</v>
      </c>
      <c r="Z4" s="96">
        <f>45/72</f>
        <v>0.625</v>
      </c>
      <c r="AA4" s="86">
        <v>117</v>
      </c>
      <c r="AB4" s="86">
        <v>106.5</v>
      </c>
      <c r="AC4" s="86">
        <f t="shared" si="1"/>
        <v>10.5</v>
      </c>
      <c r="AD4" s="86">
        <v>27.4</v>
      </c>
      <c r="AE4" s="86">
        <v>23.4</v>
      </c>
      <c r="AF4" s="96">
        <v>0.56999999999999995</v>
      </c>
      <c r="AG4" s="86">
        <v>24.7</v>
      </c>
      <c r="AH4" s="86">
        <v>4.4000000000000004</v>
      </c>
      <c r="AI4" s="86">
        <v>3.3</v>
      </c>
      <c r="AJ4" s="96">
        <v>0.189</v>
      </c>
      <c r="AK4" s="86">
        <v>2.1</v>
      </c>
      <c r="AL4" s="86">
        <v>1.7</v>
      </c>
      <c r="AM4" s="86">
        <v>2.8</v>
      </c>
      <c r="AN4" s="86">
        <v>14.6</v>
      </c>
    </row>
    <row r="5" spans="1:44" x14ac:dyDescent="0.2">
      <c r="A5" s="82">
        <v>8</v>
      </c>
      <c r="B5" s="70" t="s">
        <v>152</v>
      </c>
      <c r="C5" s="82" t="s">
        <v>255</v>
      </c>
      <c r="D5" s="83">
        <v>68</v>
      </c>
      <c r="E5" s="83">
        <v>72</v>
      </c>
      <c r="F5" s="84">
        <v>215</v>
      </c>
      <c r="G5" s="85">
        <v>31228</v>
      </c>
      <c r="H5" s="86">
        <f t="shared" ca="1" si="0"/>
        <v>35.299999999999997</v>
      </c>
      <c r="I5" s="82" t="s">
        <v>564</v>
      </c>
      <c r="J5" s="82">
        <v>17</v>
      </c>
      <c r="K5" s="82">
        <v>2004</v>
      </c>
      <c r="L5" s="82">
        <v>43</v>
      </c>
      <c r="M5" s="82" t="s">
        <v>1750</v>
      </c>
      <c r="N5" s="82" t="s">
        <v>242</v>
      </c>
      <c r="O5" s="204" t="s">
        <v>1751</v>
      </c>
      <c r="P5" s="166">
        <v>12800000</v>
      </c>
      <c r="Q5" s="88">
        <f>P5*1.3</f>
        <v>16640000</v>
      </c>
      <c r="W5" s="82" t="s">
        <v>1752</v>
      </c>
      <c r="X5" s="97">
        <v>3</v>
      </c>
      <c r="Y5" s="97">
        <v>21</v>
      </c>
      <c r="Z5" s="96">
        <f>10/21</f>
        <v>0.47619047619047616</v>
      </c>
      <c r="AA5" s="86">
        <v>116.7</v>
      </c>
      <c r="AB5" s="86">
        <v>114.1</v>
      </c>
      <c r="AC5" s="86">
        <f t="shared" si="1"/>
        <v>2.6000000000000085</v>
      </c>
      <c r="AD5" s="86">
        <v>33.4</v>
      </c>
      <c r="AE5" s="86">
        <v>12.8</v>
      </c>
      <c r="AF5" s="96">
        <v>0.64300000000000002</v>
      </c>
      <c r="AG5" s="86">
        <v>12.6</v>
      </c>
      <c r="AH5" s="86">
        <v>1</v>
      </c>
      <c r="AI5" s="86">
        <v>0.5</v>
      </c>
      <c r="AJ5" s="96">
        <v>0.10100000000000001</v>
      </c>
      <c r="AK5" s="86">
        <v>-1</v>
      </c>
      <c r="AL5" s="86">
        <v>0.5</v>
      </c>
      <c r="AM5" s="86">
        <v>0.3</v>
      </c>
      <c r="AN5" s="86">
        <v>7.6</v>
      </c>
    </row>
    <row r="6" spans="1:44" x14ac:dyDescent="0.2">
      <c r="A6" s="82">
        <v>5</v>
      </c>
      <c r="B6" s="82" t="s">
        <v>153</v>
      </c>
      <c r="C6" s="82" t="s">
        <v>244</v>
      </c>
      <c r="D6" s="83">
        <v>68</v>
      </c>
      <c r="E6" s="83">
        <v>68</v>
      </c>
      <c r="F6" s="84">
        <v>208</v>
      </c>
      <c r="G6" s="85">
        <v>33897</v>
      </c>
      <c r="H6" s="86">
        <f t="shared" ca="1" si="0"/>
        <v>28</v>
      </c>
      <c r="I6" s="82" t="s">
        <v>256</v>
      </c>
      <c r="J6" s="82">
        <v>7</v>
      </c>
      <c r="K6" s="82">
        <v>2014</v>
      </c>
      <c r="L6" s="82">
        <v>23</v>
      </c>
      <c r="M6" s="82" t="s">
        <v>1753</v>
      </c>
      <c r="N6" s="82" t="s">
        <v>796</v>
      </c>
      <c r="O6" s="204" t="s">
        <v>1754</v>
      </c>
      <c r="P6" s="164">
        <v>6003900</v>
      </c>
      <c r="Q6" s="88">
        <f>P6*1.9</f>
        <v>11407410</v>
      </c>
      <c r="W6" s="82" t="s">
        <v>1755</v>
      </c>
      <c r="X6" s="97">
        <v>3</v>
      </c>
      <c r="Y6" s="97">
        <v>21</v>
      </c>
      <c r="Z6" s="96">
        <f>8/21</f>
        <v>0.38095238095238093</v>
      </c>
      <c r="AA6" s="86">
        <v>112.3</v>
      </c>
      <c r="AB6" s="86">
        <v>111.6</v>
      </c>
      <c r="AC6" s="86">
        <f t="shared" si="1"/>
        <v>0.70000000000000284</v>
      </c>
      <c r="AD6" s="86">
        <v>29.5</v>
      </c>
      <c r="AE6" s="86">
        <v>12.2</v>
      </c>
      <c r="AF6" s="96">
        <v>0.625</v>
      </c>
      <c r="AG6" s="86">
        <v>13.9</v>
      </c>
      <c r="AH6" s="86">
        <v>0.9</v>
      </c>
      <c r="AI6" s="86">
        <v>0.2</v>
      </c>
      <c r="AJ6" s="96">
        <v>8.6999999999999994E-2</v>
      </c>
      <c r="AK6" s="86">
        <v>-0.4</v>
      </c>
      <c r="AL6" s="86">
        <v>-0.5</v>
      </c>
      <c r="AM6" s="86">
        <v>0.2</v>
      </c>
      <c r="AN6" s="86">
        <v>7.4</v>
      </c>
    </row>
    <row r="7" spans="1:44" x14ac:dyDescent="0.2">
      <c r="A7" s="82">
        <v>33</v>
      </c>
      <c r="B7" s="82" t="s">
        <v>1756</v>
      </c>
      <c r="C7" s="82" t="s">
        <v>236</v>
      </c>
      <c r="D7" s="83">
        <v>611</v>
      </c>
      <c r="E7" s="83">
        <v>71</v>
      </c>
      <c r="F7" s="84">
        <v>250</v>
      </c>
      <c r="G7" s="85">
        <v>35753</v>
      </c>
      <c r="H7" s="86">
        <f t="shared" ca="1" si="0"/>
        <v>22.9</v>
      </c>
      <c r="I7" s="82" t="s">
        <v>1036</v>
      </c>
      <c r="J7" s="82">
        <v>4</v>
      </c>
      <c r="K7" s="82">
        <v>2017</v>
      </c>
      <c r="L7" s="82">
        <v>10</v>
      </c>
      <c r="M7" s="82" t="s">
        <v>1757</v>
      </c>
      <c r="N7" s="82" t="s">
        <v>247</v>
      </c>
      <c r="O7" s="82" t="s">
        <v>2134</v>
      </c>
      <c r="P7" s="87">
        <v>5406255</v>
      </c>
      <c r="Q7" s="91">
        <f>P7*3</f>
        <v>16218765</v>
      </c>
      <c r="W7" s="82" t="s">
        <v>1758</v>
      </c>
      <c r="X7" s="97">
        <v>4</v>
      </c>
      <c r="Y7" s="97">
        <v>3</v>
      </c>
      <c r="Z7" s="96">
        <f>2/3</f>
        <v>0.66666666666666663</v>
      </c>
      <c r="AA7" s="86">
        <v>116.3</v>
      </c>
      <c r="AB7" s="86">
        <v>103.2</v>
      </c>
      <c r="AC7" s="86">
        <f t="shared" si="1"/>
        <v>13.099999999999994</v>
      </c>
      <c r="AD7" s="86">
        <v>28.8</v>
      </c>
      <c r="AE7" s="86">
        <v>9</v>
      </c>
      <c r="AF7" s="96">
        <v>0.624</v>
      </c>
      <c r="AG7" s="86">
        <v>13.6</v>
      </c>
      <c r="AH7" s="86">
        <v>0.1</v>
      </c>
      <c r="AI7" s="86">
        <v>0</v>
      </c>
      <c r="AJ7" s="96">
        <v>4.4999999999999998E-2</v>
      </c>
      <c r="AK7" s="86">
        <v>-1.1000000000000001</v>
      </c>
      <c r="AL7" s="86">
        <v>-0.7</v>
      </c>
      <c r="AM7" s="86">
        <v>0</v>
      </c>
      <c r="AN7" s="86">
        <v>5.0999999999999996</v>
      </c>
    </row>
    <row r="8" spans="1:44" x14ac:dyDescent="0.2">
      <c r="A8" s="82">
        <v>1</v>
      </c>
      <c r="B8" s="82" t="s">
        <v>1759</v>
      </c>
      <c r="C8" s="82" t="s">
        <v>232</v>
      </c>
      <c r="D8" s="83">
        <v>63</v>
      </c>
      <c r="E8" s="83">
        <v>69</v>
      </c>
      <c r="F8" s="84">
        <v>181</v>
      </c>
      <c r="G8" s="85">
        <v>36319</v>
      </c>
      <c r="H8" s="86">
        <f t="shared" ca="1" si="0"/>
        <v>21.3</v>
      </c>
      <c r="I8" s="82" t="s">
        <v>1760</v>
      </c>
      <c r="J8" s="82">
        <v>3</v>
      </c>
      <c r="K8" s="82">
        <v>2018</v>
      </c>
      <c r="L8" s="82">
        <v>24</v>
      </c>
      <c r="M8" s="82" t="s">
        <v>1761</v>
      </c>
      <c r="N8" s="82" t="s">
        <v>247</v>
      </c>
      <c r="O8" s="167" t="s">
        <v>2156</v>
      </c>
      <c r="P8" s="87">
        <v>2252040</v>
      </c>
      <c r="Q8" s="90">
        <v>3938818</v>
      </c>
      <c r="R8" s="91">
        <f>Q8*3</f>
        <v>11816454</v>
      </c>
      <c r="W8" s="82" t="s">
        <v>1762</v>
      </c>
      <c r="X8" s="97">
        <v>1</v>
      </c>
      <c r="Y8" s="97">
        <v>65</v>
      </c>
      <c r="Z8" s="96">
        <f>28/65</f>
        <v>0.43076923076923079</v>
      </c>
      <c r="AA8" s="86">
        <v>105.6</v>
      </c>
      <c r="AB8" s="86">
        <v>114.1</v>
      </c>
      <c r="AC8" s="86">
        <f t="shared" si="1"/>
        <v>-8.5</v>
      </c>
      <c r="AD8" s="86">
        <v>21.5</v>
      </c>
      <c r="AE8" s="86">
        <v>9.3000000000000007</v>
      </c>
      <c r="AF8" s="96">
        <v>0.50600000000000001</v>
      </c>
      <c r="AG8" s="86">
        <v>19</v>
      </c>
      <c r="AH8" s="86">
        <v>0.1</v>
      </c>
      <c r="AI8" s="86">
        <v>0.2</v>
      </c>
      <c r="AJ8" s="96">
        <v>0.01</v>
      </c>
      <c r="AK8" s="86">
        <v>-2.5</v>
      </c>
      <c r="AL8" s="86">
        <v>-1.8</v>
      </c>
      <c r="AM8" s="86">
        <v>-0.8</v>
      </c>
      <c r="AN8" s="86">
        <v>5.7</v>
      </c>
    </row>
    <row r="9" spans="1:44" x14ac:dyDescent="0.2">
      <c r="A9" s="82">
        <v>9</v>
      </c>
      <c r="B9" s="82" t="s">
        <v>1763</v>
      </c>
      <c r="C9" s="82" t="s">
        <v>244</v>
      </c>
      <c r="D9" s="83">
        <v>65</v>
      </c>
      <c r="E9" s="83">
        <v>72</v>
      </c>
      <c r="F9" s="84">
        <v>220</v>
      </c>
      <c r="G9" s="85">
        <v>36567</v>
      </c>
      <c r="H9" s="86">
        <f t="shared" ca="1" si="0"/>
        <v>20.7</v>
      </c>
      <c r="I9" s="82" t="s">
        <v>281</v>
      </c>
      <c r="J9" s="82">
        <v>2</v>
      </c>
      <c r="K9" s="82">
        <v>2019</v>
      </c>
      <c r="L9" s="82">
        <v>25</v>
      </c>
      <c r="M9" s="82" t="s">
        <v>1764</v>
      </c>
      <c r="N9" s="82" t="s">
        <v>247</v>
      </c>
      <c r="O9" s="87" t="s">
        <v>2100</v>
      </c>
      <c r="P9" s="87">
        <v>2210640</v>
      </c>
      <c r="Q9" s="90">
        <v>2316240</v>
      </c>
      <c r="R9" s="90">
        <v>4171548</v>
      </c>
      <c r="S9" s="91">
        <f>R9*3</f>
        <v>12514644</v>
      </c>
      <c r="W9" s="82" t="s">
        <v>1765</v>
      </c>
      <c r="X9" s="97">
        <v>4</v>
      </c>
      <c r="Y9" s="97">
        <v>48</v>
      </c>
      <c r="Z9" s="96">
        <f>22/48</f>
        <v>0.45833333333333331</v>
      </c>
      <c r="AA9" s="86">
        <v>109.5</v>
      </c>
      <c r="AB9" s="86">
        <v>112.7</v>
      </c>
      <c r="AC9" s="86">
        <f t="shared" si="1"/>
        <v>-3.2000000000000028</v>
      </c>
      <c r="AD9" s="86">
        <v>11.9</v>
      </c>
      <c r="AE9" s="86">
        <v>9.6999999999999993</v>
      </c>
      <c r="AF9" s="96">
        <v>0.505</v>
      </c>
      <c r="AG9" s="86">
        <v>13.7</v>
      </c>
      <c r="AH9" s="86">
        <v>0.3</v>
      </c>
      <c r="AI9" s="86">
        <v>0.3</v>
      </c>
      <c r="AJ9" s="96">
        <v>0.05</v>
      </c>
      <c r="AK9" s="86">
        <v>-2.9</v>
      </c>
      <c r="AL9" s="86">
        <v>-0.6</v>
      </c>
      <c r="AM9" s="86">
        <v>-0.2</v>
      </c>
      <c r="AN9" s="86">
        <v>5</v>
      </c>
    </row>
    <row r="10" spans="1:44" x14ac:dyDescent="0.2">
      <c r="A10" s="82">
        <v>44</v>
      </c>
      <c r="B10" s="82" t="s">
        <v>154</v>
      </c>
      <c r="C10" s="82" t="s">
        <v>244</v>
      </c>
      <c r="D10" s="83">
        <v>68</v>
      </c>
      <c r="E10" s="83">
        <v>610</v>
      </c>
      <c r="F10" s="84">
        <v>220</v>
      </c>
      <c r="G10" s="85">
        <v>34755</v>
      </c>
      <c r="H10" s="86">
        <f t="shared" ca="1" si="0"/>
        <v>25.6</v>
      </c>
      <c r="I10" s="82" t="s">
        <v>453</v>
      </c>
      <c r="J10" s="82">
        <v>6</v>
      </c>
      <c r="K10" s="82">
        <v>2015</v>
      </c>
      <c r="L10" s="82">
        <v>5</v>
      </c>
      <c r="M10" s="82" t="s">
        <v>1767</v>
      </c>
      <c r="N10" s="82" t="s">
        <v>282</v>
      </c>
      <c r="O10" s="204" t="s">
        <v>735</v>
      </c>
      <c r="P10" s="164">
        <v>1977011</v>
      </c>
      <c r="Q10" s="88">
        <v>1856061</v>
      </c>
      <c r="W10" s="82" t="s">
        <v>1768</v>
      </c>
      <c r="X10" s="97">
        <v>4</v>
      </c>
      <c r="Y10" s="97">
        <v>47</v>
      </c>
      <c r="Z10" s="96">
        <f>20/47</f>
        <v>0.42553191489361702</v>
      </c>
      <c r="AA10" s="86">
        <v>103.7</v>
      </c>
      <c r="AB10" s="86">
        <v>112.7</v>
      </c>
      <c r="AC10" s="86">
        <f t="shared" si="1"/>
        <v>-9</v>
      </c>
      <c r="AD10" s="86">
        <v>16.3</v>
      </c>
      <c r="AE10" s="86">
        <v>9.5</v>
      </c>
      <c r="AF10" s="96">
        <v>0.53200000000000003</v>
      </c>
      <c r="AG10" s="86">
        <v>13.7</v>
      </c>
      <c r="AH10" s="86">
        <v>0.1</v>
      </c>
      <c r="AI10" s="86">
        <v>0.6</v>
      </c>
      <c r="AJ10" s="96">
        <v>4.5999999999999999E-2</v>
      </c>
      <c r="AK10" s="86">
        <v>-3.1</v>
      </c>
      <c r="AL10" s="86">
        <v>0.2</v>
      </c>
      <c r="AM10" s="86">
        <v>-0.2</v>
      </c>
      <c r="AN10" s="86">
        <v>6.8</v>
      </c>
    </row>
    <row r="11" spans="1:44" x14ac:dyDescent="0.2">
      <c r="A11" s="82">
        <v>2</v>
      </c>
      <c r="B11" s="82" t="s">
        <v>1770</v>
      </c>
      <c r="C11" s="82" t="s">
        <v>255</v>
      </c>
      <c r="D11" s="83">
        <v>65</v>
      </c>
      <c r="E11" s="83">
        <v>69</v>
      </c>
      <c r="F11" s="84">
        <v>209</v>
      </c>
      <c r="G11" s="85">
        <v>36178</v>
      </c>
      <c r="H11" s="86">
        <f t="shared" ca="1" si="0"/>
        <v>21.7</v>
      </c>
      <c r="I11" s="82" t="s">
        <v>256</v>
      </c>
      <c r="J11" s="82">
        <v>3</v>
      </c>
      <c r="K11" s="82">
        <v>2018</v>
      </c>
      <c r="L11" s="82">
        <v>37</v>
      </c>
      <c r="M11" s="82" t="s">
        <v>1771</v>
      </c>
      <c r="N11" s="82" t="s">
        <v>521</v>
      </c>
      <c r="O11" s="82" t="s">
        <v>2177</v>
      </c>
      <c r="P11" s="87">
        <v>1663861</v>
      </c>
      <c r="Q11" s="99">
        <v>2122822</v>
      </c>
      <c r="W11" s="82" t="s">
        <v>1772</v>
      </c>
      <c r="X11" s="97">
        <v>3</v>
      </c>
      <c r="Y11" s="97">
        <v>53</v>
      </c>
      <c r="Z11" s="96">
        <f>23/53</f>
        <v>0.43396226415094341</v>
      </c>
      <c r="AA11" s="86">
        <v>108.8</v>
      </c>
      <c r="AB11" s="86">
        <v>113.2</v>
      </c>
      <c r="AC11" s="86">
        <f t="shared" si="1"/>
        <v>-4.4000000000000057</v>
      </c>
      <c r="AD11" s="86">
        <v>20</v>
      </c>
      <c r="AE11" s="86">
        <v>11.8</v>
      </c>
      <c r="AF11" s="96">
        <v>0.55500000000000005</v>
      </c>
      <c r="AG11" s="86">
        <v>15.4</v>
      </c>
      <c r="AH11" s="86">
        <v>1.2</v>
      </c>
      <c r="AI11" s="86">
        <v>0.4</v>
      </c>
      <c r="AJ11" s="96">
        <v>7.0999999999999994E-2</v>
      </c>
      <c r="AK11" s="86">
        <v>-0.5</v>
      </c>
      <c r="AL11" s="86">
        <v>-0.6</v>
      </c>
      <c r="AM11" s="86">
        <v>0.3</v>
      </c>
      <c r="AN11" s="86">
        <v>6.6</v>
      </c>
    </row>
    <row r="12" spans="1:44" x14ac:dyDescent="0.2">
      <c r="B12" s="82" t="s">
        <v>297</v>
      </c>
      <c r="P12" s="93">
        <f>2844430+1913345</f>
        <v>4757775</v>
      </c>
      <c r="Q12" s="94">
        <v>2844430</v>
      </c>
      <c r="R12" s="94">
        <v>2844430</v>
      </c>
      <c r="S12" s="94">
        <v>2844430</v>
      </c>
      <c r="X12" s="97"/>
      <c r="Y12" s="97"/>
      <c r="Z12" s="96"/>
      <c r="AA12" s="86"/>
      <c r="AB12" s="86"/>
      <c r="AC12" s="86"/>
      <c r="AD12" s="86"/>
      <c r="AE12" s="86"/>
      <c r="AF12" s="96"/>
      <c r="AG12" s="86"/>
      <c r="AH12" s="86"/>
      <c r="AI12" s="86"/>
      <c r="AJ12" s="96"/>
      <c r="AK12" s="86"/>
      <c r="AL12" s="86"/>
      <c r="AM12" s="86"/>
      <c r="AN12" s="86"/>
    </row>
    <row r="13" spans="1:44" x14ac:dyDescent="0.2">
      <c r="B13" s="70" t="s">
        <v>2173</v>
      </c>
      <c r="P13" s="87">
        <v>3121080</v>
      </c>
      <c r="Q13" s="87">
        <v>3277080</v>
      </c>
      <c r="R13" s="169">
        <v>3433320</v>
      </c>
      <c r="S13" s="169">
        <f>R13*1.534</f>
        <v>5266712.88</v>
      </c>
      <c r="T13" s="170">
        <f>S13*3</f>
        <v>15800138.640000001</v>
      </c>
      <c r="X13" s="97"/>
      <c r="Y13" s="97"/>
      <c r="Z13" s="96"/>
      <c r="AA13" s="86"/>
      <c r="AB13" s="86"/>
      <c r="AC13" s="86"/>
      <c r="AD13" s="86"/>
      <c r="AE13" s="86"/>
      <c r="AF13" s="96"/>
      <c r="AG13" s="86"/>
      <c r="AH13" s="86"/>
      <c r="AI13" s="86"/>
      <c r="AJ13" s="96"/>
      <c r="AK13" s="86"/>
      <c r="AL13" s="86"/>
      <c r="AM13" s="86"/>
      <c r="AN13" s="86"/>
    </row>
    <row r="14" spans="1:44" x14ac:dyDescent="0.2">
      <c r="B14" s="70" t="s">
        <v>2174</v>
      </c>
      <c r="P14" s="194">
        <v>898310</v>
      </c>
      <c r="X14" s="97"/>
      <c r="Y14" s="97"/>
      <c r="AA14" s="86"/>
      <c r="AB14" s="86"/>
      <c r="AC14" s="86"/>
      <c r="AD14" s="86"/>
      <c r="AE14" s="86"/>
      <c r="AF14" s="96"/>
      <c r="AG14" s="86"/>
      <c r="AH14" s="86"/>
      <c r="AI14" s="86"/>
      <c r="AJ14" s="96"/>
      <c r="AK14" s="86"/>
      <c r="AL14" s="86"/>
      <c r="AM14" s="86"/>
      <c r="AN14" s="86"/>
    </row>
    <row r="15" spans="1:44" x14ac:dyDescent="0.2">
      <c r="P15" s="87"/>
      <c r="X15" s="97"/>
      <c r="Y15" s="97"/>
      <c r="AA15" s="86"/>
      <c r="AB15" s="86"/>
      <c r="AC15" s="86"/>
      <c r="AD15" s="86"/>
      <c r="AE15" s="86"/>
      <c r="AF15" s="96"/>
      <c r="AG15" s="86"/>
      <c r="AH15" s="86"/>
      <c r="AI15" s="86"/>
      <c r="AJ15" s="96"/>
      <c r="AK15" s="86"/>
      <c r="AL15" s="86"/>
      <c r="AM15" s="86"/>
      <c r="AN15" s="86"/>
    </row>
    <row r="16" spans="1:44" x14ac:dyDescent="0.2">
      <c r="A16" s="82">
        <v>21</v>
      </c>
      <c r="B16" s="82" t="s">
        <v>151</v>
      </c>
      <c r="C16" s="82" t="s">
        <v>236</v>
      </c>
      <c r="D16" s="83">
        <v>70</v>
      </c>
      <c r="E16" s="83">
        <v>77</v>
      </c>
      <c r="F16" s="84">
        <v>265</v>
      </c>
      <c r="G16" s="85">
        <v>32672</v>
      </c>
      <c r="H16" s="86">
        <f t="shared" ref="H16:H22" ca="1" si="2">ROUNDDOWN(YEARFRAC($G$24,G16),1)</f>
        <v>31.3</v>
      </c>
      <c r="I16" s="82" t="s">
        <v>1748</v>
      </c>
      <c r="J16" s="82">
        <v>9</v>
      </c>
      <c r="K16" s="82">
        <v>2010</v>
      </c>
      <c r="L16" s="82">
        <v>33</v>
      </c>
      <c r="M16" s="82" t="s">
        <v>1654</v>
      </c>
      <c r="P16" s="88">
        <v>34800000</v>
      </c>
      <c r="W16" s="98" t="s">
        <v>240</v>
      </c>
      <c r="X16" s="97">
        <v>5</v>
      </c>
      <c r="Y16" s="97">
        <v>61</v>
      </c>
      <c r="Z16" s="96">
        <f>29/61</f>
        <v>0.47540983606557374</v>
      </c>
      <c r="AA16" s="86">
        <v>114.5</v>
      </c>
      <c r="AB16" s="86">
        <v>112.2</v>
      </c>
      <c r="AC16" s="86">
        <f t="shared" ref="AC16:AC19" si="3">AA16-AB16</f>
        <v>2.2999999999999972</v>
      </c>
      <c r="AD16" s="86">
        <v>31.3</v>
      </c>
      <c r="AE16" s="86">
        <v>25</v>
      </c>
      <c r="AF16" s="96">
        <v>0.64100000000000001</v>
      </c>
      <c r="AG16" s="86">
        <v>19.8</v>
      </c>
      <c r="AH16" s="86">
        <v>5.0999999999999996</v>
      </c>
      <c r="AI16" s="86">
        <v>3</v>
      </c>
      <c r="AJ16" s="96">
        <v>0.20399999999999999</v>
      </c>
      <c r="AK16" s="86">
        <v>2.5</v>
      </c>
      <c r="AL16" s="86">
        <v>0.7</v>
      </c>
      <c r="AM16" s="86">
        <v>2.5</v>
      </c>
      <c r="AN16" s="86">
        <v>16</v>
      </c>
    </row>
    <row r="17" spans="1:40" x14ac:dyDescent="0.2">
      <c r="A17" s="82">
        <v>50</v>
      </c>
      <c r="B17" s="82" t="s">
        <v>1766</v>
      </c>
      <c r="C17" s="82" t="s">
        <v>236</v>
      </c>
      <c r="D17" s="83">
        <v>69</v>
      </c>
      <c r="E17" s="83">
        <v>73</v>
      </c>
      <c r="F17" s="84">
        <v>260</v>
      </c>
      <c r="G17" s="85">
        <v>35538</v>
      </c>
      <c r="H17" s="86">
        <f t="shared" ca="1" si="2"/>
        <v>23.5</v>
      </c>
      <c r="I17" s="82" t="s">
        <v>397</v>
      </c>
      <c r="J17" s="82">
        <v>4</v>
      </c>
      <c r="K17" s="82">
        <v>2017</v>
      </c>
      <c r="L17" s="82">
        <v>26</v>
      </c>
      <c r="M17" s="82" t="s">
        <v>1750</v>
      </c>
      <c r="P17" s="88">
        <v>3665787</v>
      </c>
      <c r="W17" s="82" t="s">
        <v>575</v>
      </c>
      <c r="X17" s="97">
        <v>5</v>
      </c>
      <c r="Y17" s="97">
        <v>20</v>
      </c>
      <c r="Z17" s="96">
        <f>9/20</f>
        <v>0.45</v>
      </c>
      <c r="AA17" s="86">
        <v>110.7</v>
      </c>
      <c r="AB17" s="86">
        <v>115.4</v>
      </c>
      <c r="AC17" s="86">
        <f t="shared" si="3"/>
        <v>-4.7000000000000028</v>
      </c>
      <c r="AD17" s="86">
        <v>13.3</v>
      </c>
      <c r="AE17" s="86">
        <v>8.3000000000000007</v>
      </c>
      <c r="AF17" s="96">
        <v>0.60499999999999998</v>
      </c>
      <c r="AG17" s="86">
        <v>12.9</v>
      </c>
      <c r="AH17" s="86">
        <v>-0.1</v>
      </c>
      <c r="AI17" s="86">
        <v>0.2</v>
      </c>
      <c r="AJ17" s="96">
        <v>2.3E-2</v>
      </c>
      <c r="AK17" s="86">
        <v>-5.5</v>
      </c>
      <c r="AL17" s="86">
        <v>0</v>
      </c>
      <c r="AM17" s="86">
        <v>-0.2</v>
      </c>
      <c r="AN17" s="86">
        <v>6</v>
      </c>
    </row>
    <row r="18" spans="1:40" x14ac:dyDescent="0.2">
      <c r="A18" s="82">
        <v>35</v>
      </c>
      <c r="B18" s="82" t="s">
        <v>155</v>
      </c>
      <c r="C18" s="82" t="s">
        <v>236</v>
      </c>
      <c r="D18" s="83">
        <v>69</v>
      </c>
      <c r="E18" s="83">
        <v>71</v>
      </c>
      <c r="F18" s="84">
        <v>205</v>
      </c>
      <c r="G18" s="85">
        <v>35515</v>
      </c>
      <c r="H18" s="86">
        <f t="shared" ca="1" si="2"/>
        <v>23.5</v>
      </c>
      <c r="I18" s="82" t="s">
        <v>270</v>
      </c>
      <c r="J18" s="82">
        <v>3</v>
      </c>
      <c r="K18" s="82">
        <v>2018</v>
      </c>
      <c r="M18" s="82" t="s">
        <v>1750</v>
      </c>
      <c r="P18" s="91">
        <v>1922425</v>
      </c>
      <c r="W18" s="82" t="s">
        <v>1769</v>
      </c>
      <c r="X18" s="97">
        <v>4</v>
      </c>
      <c r="Y18" s="97">
        <v>17</v>
      </c>
      <c r="Z18" s="96">
        <f>7/17</f>
        <v>0.41176470588235292</v>
      </c>
      <c r="AA18" s="86">
        <v>107.7</v>
      </c>
      <c r="AB18" s="86">
        <v>111.5</v>
      </c>
      <c r="AC18" s="86">
        <f t="shared" si="3"/>
        <v>-3.7999999999999972</v>
      </c>
      <c r="AD18" s="86">
        <v>8.8000000000000007</v>
      </c>
      <c r="AE18" s="86">
        <v>10.5</v>
      </c>
      <c r="AF18" s="96">
        <v>0.61399999999999999</v>
      </c>
      <c r="AG18" s="86">
        <v>12.6</v>
      </c>
      <c r="AH18" s="86">
        <v>0.1</v>
      </c>
      <c r="AI18" s="86">
        <v>0.1</v>
      </c>
      <c r="AJ18" s="96">
        <v>7.1999999999999995E-2</v>
      </c>
      <c r="AK18" s="86">
        <v>-3.7</v>
      </c>
      <c r="AL18" s="86">
        <v>-0.2</v>
      </c>
      <c r="AM18" s="86">
        <v>-0.1</v>
      </c>
      <c r="AN18" s="86">
        <v>4.9000000000000004</v>
      </c>
    </row>
    <row r="19" spans="1:40" x14ac:dyDescent="0.2">
      <c r="A19" s="97" t="s">
        <v>231</v>
      </c>
      <c r="B19" s="82" t="s">
        <v>156</v>
      </c>
      <c r="C19" s="82" t="s">
        <v>236</v>
      </c>
      <c r="D19" s="83">
        <v>68</v>
      </c>
      <c r="E19" s="83">
        <v>70</v>
      </c>
      <c r="F19" s="84">
        <v>238</v>
      </c>
      <c r="G19" s="85">
        <v>30831</v>
      </c>
      <c r="H19" s="86">
        <f t="shared" ca="1" si="2"/>
        <v>36.4</v>
      </c>
      <c r="I19" s="82" t="s">
        <v>777</v>
      </c>
      <c r="J19" s="82">
        <v>18</v>
      </c>
      <c r="K19" s="82">
        <v>2003</v>
      </c>
      <c r="L19" s="82">
        <v>3</v>
      </c>
      <c r="M19" s="82" t="s">
        <v>1773</v>
      </c>
      <c r="P19" s="88">
        <v>1707576</v>
      </c>
      <c r="W19" s="82" t="s">
        <v>1774</v>
      </c>
      <c r="X19" s="97">
        <v>4</v>
      </c>
      <c r="Y19" s="97">
        <v>50</v>
      </c>
      <c r="Z19" s="96">
        <f>22/50</f>
        <v>0.44</v>
      </c>
      <c r="AA19" s="86">
        <v>112.8</v>
      </c>
      <c r="AB19" s="86">
        <v>112.5</v>
      </c>
      <c r="AC19" s="86">
        <f t="shared" si="3"/>
        <v>0.29999999999999716</v>
      </c>
      <c r="AD19" s="86">
        <v>32.5</v>
      </c>
      <c r="AE19" s="86">
        <v>12.2</v>
      </c>
      <c r="AF19" s="96">
        <v>0.51700000000000002</v>
      </c>
      <c r="AG19" s="86">
        <v>21.6</v>
      </c>
      <c r="AH19" s="86">
        <v>0.1</v>
      </c>
      <c r="AI19" s="86">
        <v>0.9</v>
      </c>
      <c r="AJ19" s="96">
        <v>2.9000000000000001E-2</v>
      </c>
      <c r="AK19" s="86">
        <v>-1.9</v>
      </c>
      <c r="AL19" s="86">
        <v>-1.8</v>
      </c>
      <c r="AM19" s="86">
        <v>-0.7</v>
      </c>
      <c r="AN19" s="86">
        <v>7.8</v>
      </c>
    </row>
    <row r="20" spans="1:40" x14ac:dyDescent="0.2">
      <c r="A20" s="97">
        <v>10</v>
      </c>
      <c r="B20" s="82" t="s">
        <v>2081</v>
      </c>
      <c r="C20" s="82" t="s">
        <v>250</v>
      </c>
      <c r="D20" s="83">
        <v>60</v>
      </c>
      <c r="E20" s="83">
        <v>66</v>
      </c>
      <c r="F20" s="84">
        <v>225</v>
      </c>
      <c r="G20" s="85">
        <v>35189</v>
      </c>
      <c r="H20" s="86">
        <f t="shared" ca="1" si="2"/>
        <v>24.4</v>
      </c>
      <c r="I20" s="82" t="s">
        <v>2082</v>
      </c>
      <c r="J20" s="82">
        <v>3</v>
      </c>
      <c r="K20" s="82">
        <v>2018</v>
      </c>
      <c r="M20" s="82" t="s">
        <v>2149</v>
      </c>
      <c r="P20" s="88"/>
      <c r="T20" s="206"/>
      <c r="X20" s="97"/>
      <c r="Y20" s="97"/>
      <c r="Z20" s="96"/>
      <c r="AA20" s="86"/>
      <c r="AB20" s="86"/>
      <c r="AC20" s="86"/>
      <c r="AD20" s="86"/>
      <c r="AE20" s="86"/>
      <c r="AF20" s="96"/>
      <c r="AG20" s="86"/>
      <c r="AH20" s="86"/>
      <c r="AI20" s="86"/>
      <c r="AJ20" s="96"/>
      <c r="AK20" s="86"/>
      <c r="AL20" s="86"/>
      <c r="AM20" s="86"/>
      <c r="AN20" s="86"/>
    </row>
    <row r="21" spans="1:40" x14ac:dyDescent="0.2">
      <c r="A21" s="82">
        <v>4</v>
      </c>
      <c r="B21" s="82" t="s">
        <v>1775</v>
      </c>
      <c r="C21" s="82" t="s">
        <v>236</v>
      </c>
      <c r="D21" s="83">
        <v>72</v>
      </c>
      <c r="E21" s="83">
        <v>74</v>
      </c>
      <c r="F21" s="84">
        <v>245</v>
      </c>
      <c r="G21" s="85">
        <v>36446</v>
      </c>
      <c r="H21" s="86">
        <f t="shared" ca="1" si="2"/>
        <v>21</v>
      </c>
      <c r="I21" s="82" t="s">
        <v>564</v>
      </c>
      <c r="J21" s="82">
        <v>2</v>
      </c>
      <c r="K21" s="82">
        <v>2019</v>
      </c>
      <c r="M21" s="82" t="s">
        <v>1776</v>
      </c>
      <c r="P21" s="168"/>
      <c r="W21" s="98" t="s">
        <v>240</v>
      </c>
      <c r="X21" s="97">
        <v>5</v>
      </c>
      <c r="Y21" s="97">
        <v>9</v>
      </c>
      <c r="Z21" s="96">
        <f>4/9</f>
        <v>0.44444444444444442</v>
      </c>
      <c r="AA21" s="86">
        <v>90.8</v>
      </c>
      <c r="AB21" s="86">
        <v>141.69999999999999</v>
      </c>
      <c r="AC21" s="86">
        <f t="shared" ref="AC21:AC22" si="4">AA21-AB21</f>
        <v>-50.899999999999991</v>
      </c>
      <c r="AD21" s="86">
        <v>3.6</v>
      </c>
      <c r="AE21" s="86">
        <v>6.7</v>
      </c>
      <c r="AF21" s="96">
        <v>0.40699999999999997</v>
      </c>
      <c r="AG21" s="86">
        <v>21.2</v>
      </c>
      <c r="AH21" s="86">
        <v>-0.1</v>
      </c>
      <c r="AI21" s="86">
        <v>0</v>
      </c>
      <c r="AJ21" s="96">
        <v>-6.2E-2</v>
      </c>
      <c r="AK21" s="86">
        <v>-8.1999999999999993</v>
      </c>
      <c r="AL21" s="86">
        <v>-1.7</v>
      </c>
      <c r="AM21" s="86">
        <v>-0.1</v>
      </c>
      <c r="AN21" s="86">
        <v>3.2</v>
      </c>
    </row>
    <row r="22" spans="1:40" x14ac:dyDescent="0.2">
      <c r="A22" s="82">
        <v>6</v>
      </c>
      <c r="B22" s="82" t="s">
        <v>1777</v>
      </c>
      <c r="C22" s="82" t="s">
        <v>236</v>
      </c>
      <c r="D22" s="83">
        <v>68</v>
      </c>
      <c r="E22" s="83">
        <v>71</v>
      </c>
      <c r="F22" s="84">
        <v>216</v>
      </c>
      <c r="G22" s="85">
        <v>36249</v>
      </c>
      <c r="H22" s="86">
        <f t="shared" ca="1" si="2"/>
        <v>21.5</v>
      </c>
      <c r="I22" s="82" t="s">
        <v>233</v>
      </c>
      <c r="J22" s="82">
        <v>2</v>
      </c>
      <c r="K22" s="82">
        <v>2019</v>
      </c>
      <c r="M22" s="82" t="s">
        <v>1061</v>
      </c>
      <c r="P22" s="168"/>
      <c r="W22" s="82" t="s">
        <v>1778</v>
      </c>
      <c r="X22" s="97">
        <v>3</v>
      </c>
      <c r="Y22" s="97">
        <v>13</v>
      </c>
      <c r="Z22" s="96">
        <f>7/13</f>
        <v>0.53846153846153844</v>
      </c>
      <c r="AA22" s="86">
        <v>112.1</v>
      </c>
      <c r="AB22" s="86">
        <v>109.1</v>
      </c>
      <c r="AC22" s="86">
        <f t="shared" si="4"/>
        <v>3</v>
      </c>
      <c r="AD22" s="86">
        <v>7.9</v>
      </c>
      <c r="AE22" s="86">
        <v>14.9</v>
      </c>
      <c r="AF22" s="96">
        <v>0.504</v>
      </c>
      <c r="AG22" s="86">
        <v>17.2</v>
      </c>
      <c r="AH22" s="86">
        <v>0.1</v>
      </c>
      <c r="AI22" s="86">
        <v>0.1</v>
      </c>
      <c r="AJ22" s="96">
        <v>9.6000000000000002E-2</v>
      </c>
      <c r="AK22" s="86">
        <v>-0.9</v>
      </c>
      <c r="AL22" s="86">
        <v>-1.1000000000000001</v>
      </c>
      <c r="AM22" s="86">
        <v>0</v>
      </c>
      <c r="AN22" s="86">
        <v>8.8000000000000007</v>
      </c>
    </row>
    <row r="23" spans="1:40" x14ac:dyDescent="0.2">
      <c r="P23" s="87"/>
      <c r="X23" s="97"/>
      <c r="Y23" s="97"/>
      <c r="AA23" s="86"/>
      <c r="AB23" s="86"/>
      <c r="AC23" s="86"/>
      <c r="AD23" s="86"/>
      <c r="AE23" s="86"/>
      <c r="AF23" s="96"/>
      <c r="AG23" s="86"/>
      <c r="AH23" s="86"/>
      <c r="AI23" s="86"/>
      <c r="AJ23" s="96"/>
      <c r="AK23" s="86"/>
      <c r="AL23" s="86"/>
      <c r="AM23" s="86"/>
      <c r="AN23" s="86"/>
    </row>
    <row r="24" spans="1:40" x14ac:dyDescent="0.2">
      <c r="G24" s="85">
        <f ca="1">TODAY()</f>
        <v>44128</v>
      </c>
      <c r="H24" s="95">
        <f ca="1">AVERAGE(H2:H11)</f>
        <v>26.080000000000002</v>
      </c>
      <c r="J24" s="95">
        <f>AVERAGE(J2:J11)</f>
        <v>6.6</v>
      </c>
      <c r="X24" s="97"/>
      <c r="Y24" s="97"/>
      <c r="AA24" s="86"/>
      <c r="AB24" s="86"/>
      <c r="AC24" s="86"/>
      <c r="AD24" s="86"/>
      <c r="AE24" s="86"/>
      <c r="AF24" s="96"/>
      <c r="AG24" s="86"/>
      <c r="AH24" s="86"/>
      <c r="AI24" s="86"/>
      <c r="AJ24" s="86"/>
      <c r="AK24" s="86"/>
      <c r="AL24" s="86"/>
      <c r="AM24" s="86"/>
      <c r="AN24" s="86"/>
    </row>
    <row r="25" spans="1:40" x14ac:dyDescent="0.2">
      <c r="H25" s="95">
        <f ca="1">MEDIAN(H2:H11)</f>
        <v>25.85</v>
      </c>
      <c r="J25" s="97">
        <f>MEDIAN(J2:J11)</f>
        <v>6.5</v>
      </c>
      <c r="P25" s="87"/>
      <c r="AA25" s="86"/>
      <c r="AB25" s="86"/>
      <c r="AC25" s="86"/>
      <c r="AD25" s="86"/>
      <c r="AE25" s="86"/>
      <c r="AF25" s="96"/>
      <c r="AG25" s="86"/>
      <c r="AH25" s="86"/>
      <c r="AI25" s="86"/>
      <c r="AJ25" s="86"/>
      <c r="AK25" s="86"/>
      <c r="AL25" s="86"/>
      <c r="AM25" s="86"/>
      <c r="AN25" s="86"/>
    </row>
    <row r="26" spans="1:40" x14ac:dyDescent="0.2">
      <c r="B26" s="209" t="s">
        <v>2224</v>
      </c>
      <c r="P26" s="87">
        <f>P2+P3+P4+1800000+P7+P8+P9+P11+P12+P13</f>
        <v>95081645</v>
      </c>
      <c r="AF26" s="96"/>
    </row>
    <row r="27" spans="1:40" x14ac:dyDescent="0.2">
      <c r="B27" s="3" t="s">
        <v>2085</v>
      </c>
      <c r="C27" s="82">
        <v>7</v>
      </c>
      <c r="P27" s="140">
        <f>P2+P3+P4+1800000+P6+P7+P8+P9+P10+P11+P12+P13</f>
        <v>103062556</v>
      </c>
      <c r="AF27" s="96"/>
    </row>
    <row r="28" spans="1:40" x14ac:dyDescent="0.2">
      <c r="B28" s="3" t="s">
        <v>2088</v>
      </c>
      <c r="C28" s="82">
        <v>3</v>
      </c>
      <c r="I28" s="209"/>
      <c r="P28" s="87">
        <f>P2+P3+P4+P5+P6+P7+P8+P9+P10+P11+P12+P13</f>
        <v>114062556</v>
      </c>
      <c r="AF28" s="96"/>
    </row>
    <row r="29" spans="1:40" x14ac:dyDescent="0.2">
      <c r="B29" s="3" t="s">
        <v>2086</v>
      </c>
      <c r="C29" s="82">
        <v>2</v>
      </c>
      <c r="D29" s="85"/>
      <c r="I29" s="3"/>
      <c r="P29" s="93"/>
      <c r="AF29" s="96"/>
    </row>
    <row r="30" spans="1:40" x14ac:dyDescent="0.2">
      <c r="B30" s="3" t="s">
        <v>2219</v>
      </c>
      <c r="C30" s="82" t="s">
        <v>2369</v>
      </c>
      <c r="D30" s="85"/>
      <c r="I30" s="3"/>
      <c r="O30" s="82" t="s">
        <v>300</v>
      </c>
      <c r="P30" s="93">
        <v>109140000</v>
      </c>
    </row>
    <row r="31" spans="1:40" x14ac:dyDescent="0.2">
      <c r="B31" s="3" t="s">
        <v>301</v>
      </c>
      <c r="C31" s="94">
        <v>0</v>
      </c>
      <c r="D31" s="85"/>
      <c r="I31" s="3"/>
      <c r="O31" s="82" t="s">
        <v>302</v>
      </c>
      <c r="P31" s="87">
        <v>132627000</v>
      </c>
    </row>
    <row r="32" spans="1:40" x14ac:dyDescent="0.2">
      <c r="B32" s="3" t="s">
        <v>303</v>
      </c>
      <c r="C32" s="94">
        <v>0</v>
      </c>
      <c r="I32" s="3"/>
    </row>
    <row r="33" spans="2:10" x14ac:dyDescent="0.2">
      <c r="B33" s="3"/>
      <c r="I33" s="3"/>
      <c r="J33" s="94"/>
    </row>
    <row r="34" spans="2:10" x14ac:dyDescent="0.2">
      <c r="B34" s="5" t="s">
        <v>2084</v>
      </c>
      <c r="I34" s="3"/>
      <c r="J34" s="94"/>
    </row>
    <row r="35" spans="2:10" x14ac:dyDescent="0.2">
      <c r="B35" s="3" t="s">
        <v>304</v>
      </c>
      <c r="C35" s="82">
        <f>35/(35+39)</f>
        <v>0.47297297297297297</v>
      </c>
      <c r="I35" s="3"/>
    </row>
    <row r="36" spans="2:10" x14ac:dyDescent="0.2">
      <c r="B36" s="3" t="s">
        <v>306</v>
      </c>
      <c r="C36" s="82">
        <v>113.2</v>
      </c>
      <c r="D36" s="82" t="s">
        <v>2178</v>
      </c>
      <c r="I36" s="5"/>
    </row>
    <row r="37" spans="2:10" x14ac:dyDescent="0.2">
      <c r="B37" s="3" t="s">
        <v>307</v>
      </c>
      <c r="C37" s="82">
        <v>114.3</v>
      </c>
      <c r="D37" s="82" t="s">
        <v>2179</v>
      </c>
      <c r="I37" s="3"/>
    </row>
    <row r="38" spans="2:10" x14ac:dyDescent="0.2">
      <c r="B38" s="3" t="s">
        <v>308</v>
      </c>
      <c r="C38" s="82">
        <f>C36-C37</f>
        <v>-1.0999999999999943</v>
      </c>
      <c r="D38" s="70" t="s">
        <v>2180</v>
      </c>
      <c r="I38" s="3"/>
    </row>
    <row r="39" spans="2:10" x14ac:dyDescent="0.2">
      <c r="B39" s="3" t="s">
        <v>309</v>
      </c>
      <c r="C39" s="82">
        <v>101.17</v>
      </c>
      <c r="D39" s="70" t="s">
        <v>2181</v>
      </c>
      <c r="I39" s="3"/>
    </row>
    <row r="41" spans="2:10" x14ac:dyDescent="0.2">
      <c r="B41" s="82" t="s">
        <v>310</v>
      </c>
    </row>
    <row r="42" spans="2:10" x14ac:dyDescent="0.2">
      <c r="B42" s="82" t="s">
        <v>1780</v>
      </c>
    </row>
    <row r="44" spans="2:10" x14ac:dyDescent="0.2">
      <c r="B44" s="82" t="s">
        <v>318</v>
      </c>
    </row>
    <row r="45" spans="2:10" x14ac:dyDescent="0.2">
      <c r="B45" s="82" t="s">
        <v>1781</v>
      </c>
    </row>
    <row r="46" spans="2:10" x14ac:dyDescent="0.2">
      <c r="B46" s="82" t="s">
        <v>1782</v>
      </c>
    </row>
    <row r="47" spans="2:10" x14ac:dyDescent="0.2">
      <c r="B47" s="82" t="s">
        <v>1783</v>
      </c>
    </row>
    <row r="48" spans="2:10" x14ac:dyDescent="0.2">
      <c r="B48" s="82" t="s">
        <v>1784</v>
      </c>
    </row>
    <row r="50" spans="2:10" x14ac:dyDescent="0.2">
      <c r="B50" s="171" t="s">
        <v>322</v>
      </c>
      <c r="C50" s="82">
        <v>35</v>
      </c>
      <c r="D50" s="82">
        <v>39</v>
      </c>
      <c r="E50" s="82" t="s">
        <v>763</v>
      </c>
      <c r="G50" s="82" t="s">
        <v>1779</v>
      </c>
      <c r="J50" s="82" t="s">
        <v>2370</v>
      </c>
    </row>
    <row r="51" spans="2:10" x14ac:dyDescent="0.2">
      <c r="B51" s="171" t="s">
        <v>325</v>
      </c>
      <c r="C51" s="82">
        <v>53</v>
      </c>
      <c r="D51" s="82">
        <v>29</v>
      </c>
      <c r="E51" s="82" t="s">
        <v>767</v>
      </c>
      <c r="G51" s="82" t="s">
        <v>1779</v>
      </c>
      <c r="J51" s="82" t="s">
        <v>1785</v>
      </c>
    </row>
    <row r="52" spans="2:10" x14ac:dyDescent="0.2">
      <c r="B52" s="171" t="s">
        <v>327</v>
      </c>
      <c r="C52" s="82">
        <v>49</v>
      </c>
      <c r="D52" s="82">
        <v>33</v>
      </c>
      <c r="E52" s="82" t="s">
        <v>767</v>
      </c>
      <c r="G52" s="82" t="s">
        <v>1779</v>
      </c>
      <c r="J52" s="82" t="s">
        <v>1786</v>
      </c>
    </row>
    <row r="53" spans="2:10" x14ac:dyDescent="0.2">
      <c r="B53" s="171" t="s">
        <v>330</v>
      </c>
      <c r="C53" s="82">
        <v>41</v>
      </c>
      <c r="D53" s="82">
        <v>41</v>
      </c>
      <c r="E53" s="82" t="s">
        <v>763</v>
      </c>
      <c r="G53" s="82" t="s">
        <v>1779</v>
      </c>
      <c r="J53" s="82" t="s">
        <v>1465</v>
      </c>
    </row>
    <row r="54" spans="2:10" x14ac:dyDescent="0.2">
      <c r="B54" s="171" t="s">
        <v>333</v>
      </c>
      <c r="C54" s="82">
        <v>44</v>
      </c>
      <c r="D54" s="82">
        <v>38</v>
      </c>
      <c r="E54" s="82" t="s">
        <v>826</v>
      </c>
      <c r="G54" s="82" t="s">
        <v>1779</v>
      </c>
      <c r="J54" s="82" t="s">
        <v>1787</v>
      </c>
    </row>
    <row r="55" spans="2:10" x14ac:dyDescent="0.2">
      <c r="B55" s="171" t="s">
        <v>336</v>
      </c>
      <c r="C55" s="82">
        <v>51</v>
      </c>
      <c r="D55" s="82">
        <v>31</v>
      </c>
      <c r="E55" s="82" t="s">
        <v>1006</v>
      </c>
      <c r="G55" s="82" t="s">
        <v>1779</v>
      </c>
      <c r="J55" s="82" t="s">
        <v>1788</v>
      </c>
    </row>
    <row r="56" spans="2:10" x14ac:dyDescent="0.2">
      <c r="B56" s="171" t="s">
        <v>339</v>
      </c>
      <c r="C56" s="82">
        <v>54</v>
      </c>
      <c r="D56" s="82">
        <v>28</v>
      </c>
      <c r="E56" s="82" t="s">
        <v>826</v>
      </c>
      <c r="G56" s="82" t="s">
        <v>1779</v>
      </c>
      <c r="J56" s="82" t="s">
        <v>1789</v>
      </c>
    </row>
    <row r="57" spans="2:10" x14ac:dyDescent="0.2">
      <c r="B57" s="171" t="s">
        <v>342</v>
      </c>
      <c r="C57" s="82">
        <v>33</v>
      </c>
      <c r="D57" s="82">
        <v>49</v>
      </c>
      <c r="E57" s="82" t="s">
        <v>759</v>
      </c>
      <c r="G57" s="82" t="s">
        <v>1779</v>
      </c>
      <c r="I57" s="114"/>
      <c r="J57" s="114" t="s">
        <v>324</v>
      </c>
    </row>
    <row r="58" spans="2:10" x14ac:dyDescent="0.2">
      <c r="B58" s="171" t="s">
        <v>346</v>
      </c>
      <c r="C58" s="82">
        <v>28</v>
      </c>
      <c r="D58" s="82">
        <v>38</v>
      </c>
      <c r="E58" s="82" t="s">
        <v>759</v>
      </c>
      <c r="G58" s="82" t="s">
        <v>1790</v>
      </c>
      <c r="J58" s="114" t="s">
        <v>324</v>
      </c>
    </row>
    <row r="59" spans="2:10" x14ac:dyDescent="0.2">
      <c r="B59" s="171" t="s">
        <v>348</v>
      </c>
      <c r="C59" s="82">
        <v>48</v>
      </c>
      <c r="D59" s="82">
        <v>34</v>
      </c>
      <c r="E59" s="82" t="s">
        <v>760</v>
      </c>
      <c r="G59" s="82" t="s">
        <v>1063</v>
      </c>
      <c r="J59" s="82" t="s">
        <v>1791</v>
      </c>
    </row>
    <row r="60" spans="2:10" x14ac:dyDescent="0.2">
      <c r="B60" s="82" t="s">
        <v>350</v>
      </c>
      <c r="C60" s="82">
        <f>SUM(C50:C59)</f>
        <v>436</v>
      </c>
      <c r="D60" s="82">
        <f>SUM(D50:D59)</f>
        <v>360</v>
      </c>
      <c r="E60" s="96">
        <f>C60/(C60+D60)</f>
        <v>0.54773869346733672</v>
      </c>
    </row>
  </sheetData>
  <hyperlinks>
    <hyperlink ref="B50" r:id="rId1" xr:uid="{0DD52442-BBFE-854C-991B-91169536BB14}"/>
    <hyperlink ref="B51" r:id="rId2" xr:uid="{915666A9-EF83-7B4E-9E28-A67D8922E307}"/>
    <hyperlink ref="B52" r:id="rId3" xr:uid="{81CC84F9-F266-F541-BD95-3A9E30B81C02}"/>
    <hyperlink ref="B53" r:id="rId4" xr:uid="{5BD94FA0-8446-134C-A833-E17C6DB9F323}"/>
    <hyperlink ref="B54" r:id="rId5" xr:uid="{EC632B63-77DC-E04D-9790-3A0AD1EF19F7}"/>
    <hyperlink ref="B55" r:id="rId6" xr:uid="{DB3850AB-BB98-064C-A615-0E1C2F664153}"/>
    <hyperlink ref="B56" r:id="rId7" xr:uid="{A32D12AE-DA14-F04E-BA06-50D379A33B8B}"/>
    <hyperlink ref="B57" r:id="rId8" xr:uid="{DB4DAF8E-E2DF-F14E-B1CC-5A88F17C121A}"/>
    <hyperlink ref="B58" r:id="rId9" xr:uid="{F5503ADC-0071-914C-8B42-FF02B81AC08B}"/>
    <hyperlink ref="B59" r:id="rId10" xr:uid="{95EFB10B-9962-9243-85AD-78AC71D04491}"/>
  </hyperlinks>
  <pageMargins left="0.7" right="0.7" top="0.75" bottom="0.75" header="0.3" footer="0.3"/>
  <ignoredErrors>
    <ignoredError sqref="A19" numberStoredAsText="1"/>
  </ignoredErrors>
  <legacyDrawing r:id="rId1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4D3DF-BC5D-EB45-BB2A-DF66531E51AC}">
  <dimension ref="A1:AR62"/>
  <sheetViews>
    <sheetView zoomScaleNormal="100" workbookViewId="0">
      <selection sqref="A1:AR1"/>
    </sheetView>
  </sheetViews>
  <sheetFormatPr baseColWidth="10" defaultColWidth="10.83203125" defaultRowHeight="16" x14ac:dyDescent="0.2"/>
  <cols>
    <col min="1" max="1" width="3.1640625" style="60" customWidth="1"/>
    <col min="2" max="2" width="18.33203125" style="60" customWidth="1"/>
    <col min="3" max="3" width="10.83203125" style="60" customWidth="1"/>
    <col min="4" max="4" width="7.5" style="60" customWidth="1"/>
    <col min="5" max="5" width="10.83203125" style="60"/>
    <col min="6" max="6" width="8.5" style="60" customWidth="1"/>
    <col min="7" max="7" width="10.5" style="60" customWidth="1"/>
    <col min="8" max="8" width="5.5" style="60" customWidth="1"/>
    <col min="9" max="9" width="17.83203125" style="60" customWidth="1"/>
    <col min="10" max="10" width="11.5" style="60" customWidth="1"/>
    <col min="11" max="11" width="12" style="60" customWidth="1"/>
    <col min="12" max="12" width="5.1640625" style="60" customWidth="1"/>
    <col min="13" max="13" width="27.6640625" style="60" customWidth="1"/>
    <col min="14" max="14" width="18.83203125" style="60" customWidth="1"/>
    <col min="15" max="15" width="46.33203125" style="60" customWidth="1"/>
    <col min="16" max="16" width="13.33203125" style="60" bestFit="1" customWidth="1"/>
    <col min="17" max="20" width="12.33203125" style="60" bestFit="1" customWidth="1"/>
    <col min="21" max="21" width="10.1640625" style="60" bestFit="1" customWidth="1"/>
    <col min="22" max="22" width="216.33203125" style="60" customWidth="1"/>
    <col min="23" max="23" width="31.6640625" style="60" customWidth="1"/>
    <col min="24" max="24" width="9.83203125" style="60" customWidth="1"/>
    <col min="25" max="25" width="3.33203125" style="60" customWidth="1"/>
    <col min="26" max="26" width="7.83203125" style="60" customWidth="1"/>
    <col min="27" max="27" width="5.6640625" style="60" customWidth="1"/>
    <col min="28" max="28" width="5.83203125" style="60" customWidth="1"/>
    <col min="29" max="29" width="7.1640625" style="60" customWidth="1"/>
    <col min="30" max="30" width="5" style="60" customWidth="1"/>
    <col min="31" max="31" width="4.6640625" style="60" customWidth="1"/>
    <col min="32" max="32" width="6" style="60" customWidth="1"/>
    <col min="33" max="33" width="7.5" style="60" customWidth="1"/>
    <col min="34" max="34" width="5.1640625" style="60" customWidth="1"/>
    <col min="35" max="35" width="5" style="60" customWidth="1"/>
    <col min="36" max="36" width="6.5" style="60" customWidth="1"/>
    <col min="37" max="38" width="6" style="60" customWidth="1"/>
    <col min="39" max="39" width="5.5" style="60" customWidth="1"/>
    <col min="40" max="40" width="5" style="60" customWidth="1"/>
    <col min="41" max="16384" width="10.83203125" style="60"/>
  </cols>
  <sheetData>
    <row r="1" spans="1:44" x14ac:dyDescent="0.2">
      <c r="A1" s="223" t="s">
        <v>2394</v>
      </c>
      <c r="B1" s="223" t="s">
        <v>2395</v>
      </c>
      <c r="C1" s="223" t="s">
        <v>2396</v>
      </c>
      <c r="D1" s="223" t="s">
        <v>2397</v>
      </c>
      <c r="E1" s="223" t="s">
        <v>2398</v>
      </c>
      <c r="F1" s="223" t="s">
        <v>2399</v>
      </c>
      <c r="G1" s="223" t="s">
        <v>2400</v>
      </c>
      <c r="H1" s="223" t="s">
        <v>2401</v>
      </c>
      <c r="I1" s="223" t="s">
        <v>2402</v>
      </c>
      <c r="J1" s="223" t="s">
        <v>2403</v>
      </c>
      <c r="K1" s="223" t="s">
        <v>2404</v>
      </c>
      <c r="L1" s="223" t="s">
        <v>2405</v>
      </c>
      <c r="M1" s="223" t="s">
        <v>2406</v>
      </c>
      <c r="N1" s="223" t="s">
        <v>2407</v>
      </c>
      <c r="O1" s="223" t="s">
        <v>2408</v>
      </c>
      <c r="P1" s="223" t="s">
        <v>2409</v>
      </c>
      <c r="Q1" s="223" t="s">
        <v>2410</v>
      </c>
      <c r="R1" s="223" t="s">
        <v>2411</v>
      </c>
      <c r="S1" s="223" t="s">
        <v>2412</v>
      </c>
      <c r="T1" s="223" t="s">
        <v>2413</v>
      </c>
      <c r="U1" s="223" t="s">
        <v>2414</v>
      </c>
      <c r="V1" s="223" t="s">
        <v>2415</v>
      </c>
      <c r="W1" s="223" t="s">
        <v>2416</v>
      </c>
      <c r="X1" s="223" t="s">
        <v>2433</v>
      </c>
      <c r="Y1" s="223" t="s">
        <v>2417</v>
      </c>
      <c r="Z1" s="223" t="s">
        <v>2418</v>
      </c>
      <c r="AA1" s="223" t="s">
        <v>2419</v>
      </c>
      <c r="AB1" s="223" t="s">
        <v>2420</v>
      </c>
      <c r="AC1" s="223" t="s">
        <v>2421</v>
      </c>
      <c r="AD1" s="223" t="s">
        <v>2422</v>
      </c>
      <c r="AE1" s="223" t="s">
        <v>2423</v>
      </c>
      <c r="AF1" s="223" t="s">
        <v>2424</v>
      </c>
      <c r="AG1" s="223" t="s">
        <v>2425</v>
      </c>
      <c r="AH1" s="223" t="s">
        <v>2426</v>
      </c>
      <c r="AI1" s="223" t="s">
        <v>2427</v>
      </c>
      <c r="AJ1" s="223" t="s">
        <v>2428</v>
      </c>
      <c r="AK1" s="223" t="s">
        <v>2429</v>
      </c>
      <c r="AL1" s="223" t="s">
        <v>2430</v>
      </c>
      <c r="AM1" s="223" t="s">
        <v>2431</v>
      </c>
      <c r="AN1" s="223" t="s">
        <v>2432</v>
      </c>
      <c r="AO1" s="224"/>
      <c r="AP1" s="225"/>
      <c r="AQ1" s="6"/>
      <c r="AR1" s="6"/>
    </row>
    <row r="2" spans="1:44" x14ac:dyDescent="0.2">
      <c r="A2" s="3">
        <v>24</v>
      </c>
      <c r="B2" s="3" t="s">
        <v>216</v>
      </c>
      <c r="C2" s="3" t="s">
        <v>255</v>
      </c>
      <c r="D2" s="108">
        <v>64</v>
      </c>
      <c r="E2" s="108">
        <v>69</v>
      </c>
      <c r="F2" s="109">
        <v>220</v>
      </c>
      <c r="G2" s="4">
        <v>33955</v>
      </c>
      <c r="H2" s="113">
        <f t="shared" ref="H2:H11" ca="1" si="0">ROUNDDOWN(YEARFRAC($G$26,G2),1)</f>
        <v>27.8</v>
      </c>
      <c r="I2" s="3" t="s">
        <v>251</v>
      </c>
      <c r="J2" s="3">
        <v>5</v>
      </c>
      <c r="K2" s="3">
        <v>2016</v>
      </c>
      <c r="L2" s="3">
        <v>6</v>
      </c>
      <c r="M2" s="3" t="s">
        <v>1814</v>
      </c>
      <c r="N2" s="3" t="s">
        <v>1</v>
      </c>
      <c r="O2" s="3" t="s">
        <v>2090</v>
      </c>
      <c r="P2" s="11">
        <v>26431818</v>
      </c>
      <c r="Q2" s="11">
        <v>24477273</v>
      </c>
      <c r="R2" s="11">
        <v>22522727</v>
      </c>
      <c r="S2" s="11">
        <v>20568182</v>
      </c>
      <c r="T2" s="14">
        <f>S2*1.5</f>
        <v>30852273</v>
      </c>
      <c r="U2" s="3"/>
      <c r="V2" s="3" t="s">
        <v>1815</v>
      </c>
      <c r="W2" s="3" t="s">
        <v>1816</v>
      </c>
      <c r="X2" s="110">
        <v>2</v>
      </c>
      <c r="Y2" s="110">
        <v>64</v>
      </c>
      <c r="Z2" s="41">
        <f>28/64</f>
        <v>0.4375</v>
      </c>
      <c r="AA2" s="113">
        <v>109</v>
      </c>
      <c r="AB2" s="113">
        <v>111</v>
      </c>
      <c r="AC2" s="113">
        <f t="shared" ref="AC2:AC11" si="1">AA2-AB2</f>
        <v>-2</v>
      </c>
      <c r="AD2" s="113">
        <v>32</v>
      </c>
      <c r="AE2" s="113">
        <v>16.3</v>
      </c>
      <c r="AF2" s="41">
        <v>0.56599999999999995</v>
      </c>
      <c r="AG2" s="113">
        <v>27.1</v>
      </c>
      <c r="AH2" s="113">
        <v>1.6</v>
      </c>
      <c r="AI2" s="113">
        <v>1.5</v>
      </c>
      <c r="AJ2" s="41">
        <v>7.3999999999999996E-2</v>
      </c>
      <c r="AK2" s="113">
        <v>2.6</v>
      </c>
      <c r="AL2" s="113">
        <v>-1.3</v>
      </c>
      <c r="AM2" s="113">
        <v>1.7</v>
      </c>
      <c r="AN2" s="113">
        <v>10.6</v>
      </c>
    </row>
    <row r="3" spans="1:44" x14ac:dyDescent="0.2">
      <c r="A3" s="3">
        <v>40</v>
      </c>
      <c r="B3" s="3" t="s">
        <v>1792</v>
      </c>
      <c r="C3" s="3" t="s">
        <v>244</v>
      </c>
      <c r="D3" s="108">
        <v>68</v>
      </c>
      <c r="E3" s="108">
        <v>611</v>
      </c>
      <c r="F3" s="109">
        <v>225</v>
      </c>
      <c r="G3" s="4">
        <v>33754</v>
      </c>
      <c r="H3" s="113">
        <f t="shared" ca="1" si="0"/>
        <v>28.4</v>
      </c>
      <c r="I3" s="3" t="s">
        <v>281</v>
      </c>
      <c r="J3" s="3">
        <v>9</v>
      </c>
      <c r="K3" s="3">
        <v>2012</v>
      </c>
      <c r="L3" s="3">
        <v>7</v>
      </c>
      <c r="M3" s="3" t="s">
        <v>1793</v>
      </c>
      <c r="N3" s="3" t="s">
        <v>1</v>
      </c>
      <c r="O3" s="3" t="s">
        <v>2089</v>
      </c>
      <c r="P3" s="11">
        <v>22215909</v>
      </c>
      <c r="Q3" s="11">
        <v>20284091</v>
      </c>
      <c r="R3" s="11">
        <v>18352273</v>
      </c>
      <c r="S3" s="14">
        <f>R3*1.5</f>
        <v>27528409.5</v>
      </c>
      <c r="T3" s="3"/>
      <c r="U3" s="3"/>
      <c r="V3" s="3"/>
      <c r="W3" s="3" t="s">
        <v>1794</v>
      </c>
      <c r="X3" s="110">
        <v>4</v>
      </c>
      <c r="Y3" s="110">
        <v>64</v>
      </c>
      <c r="Z3" s="41">
        <f>28/64</f>
        <v>0.4375</v>
      </c>
      <c r="AA3" s="113">
        <v>109.1</v>
      </c>
      <c r="AB3" s="113">
        <v>110.3</v>
      </c>
      <c r="AC3" s="113">
        <f t="shared" si="1"/>
        <v>-1.2000000000000028</v>
      </c>
      <c r="AD3" s="113">
        <v>34.9</v>
      </c>
      <c r="AE3" s="113">
        <v>13.3</v>
      </c>
      <c r="AF3" s="41">
        <v>0.57499999999999996</v>
      </c>
      <c r="AG3" s="113">
        <v>17.600000000000001</v>
      </c>
      <c r="AH3" s="113">
        <v>3.1</v>
      </c>
      <c r="AI3" s="113">
        <v>1.1000000000000001</v>
      </c>
      <c r="AJ3" s="41">
        <v>9.0999999999999998E-2</v>
      </c>
      <c r="AK3" s="113">
        <v>0</v>
      </c>
      <c r="AL3" s="113">
        <v>-1.2</v>
      </c>
      <c r="AM3" s="113">
        <v>0.5</v>
      </c>
      <c r="AN3" s="113">
        <v>9</v>
      </c>
    </row>
    <row r="4" spans="1:44" x14ac:dyDescent="0.2">
      <c r="A4" s="3">
        <v>9</v>
      </c>
      <c r="B4" s="3" t="s">
        <v>1799</v>
      </c>
      <c r="C4" s="3" t="s">
        <v>232</v>
      </c>
      <c r="D4" s="108">
        <v>63</v>
      </c>
      <c r="E4" s="108">
        <v>66</v>
      </c>
      <c r="F4" s="109">
        <v>200</v>
      </c>
      <c r="G4" s="4">
        <v>33470</v>
      </c>
      <c r="H4" s="113">
        <f t="shared" ca="1" si="0"/>
        <v>29.1</v>
      </c>
      <c r="I4" s="3" t="s">
        <v>424</v>
      </c>
      <c r="J4" s="3">
        <v>10</v>
      </c>
      <c r="K4" s="3">
        <v>2011</v>
      </c>
      <c r="L4" s="3">
        <v>29</v>
      </c>
      <c r="M4" s="3" t="s">
        <v>1800</v>
      </c>
      <c r="N4" s="3" t="s">
        <v>285</v>
      </c>
      <c r="O4" s="3" t="s">
        <v>2091</v>
      </c>
      <c r="P4" s="11">
        <v>12600000</v>
      </c>
      <c r="Q4" s="15">
        <v>12600000</v>
      </c>
      <c r="R4" s="14">
        <f>Q4*1.5</f>
        <v>18900000</v>
      </c>
      <c r="S4" s="3"/>
      <c r="T4" s="3"/>
      <c r="U4" s="3"/>
      <c r="V4" s="3"/>
      <c r="W4" s="3" t="s">
        <v>1801</v>
      </c>
      <c r="X4" s="110">
        <v>1</v>
      </c>
      <c r="Y4" s="110">
        <v>64</v>
      </c>
      <c r="Z4" s="41">
        <f>28/64</f>
        <v>0.4375</v>
      </c>
      <c r="AA4" s="113">
        <v>107.2</v>
      </c>
      <c r="AB4" s="113">
        <v>107.6</v>
      </c>
      <c r="AC4" s="113">
        <f t="shared" si="1"/>
        <v>-0.39999999999999147</v>
      </c>
      <c r="AD4" s="113">
        <v>24</v>
      </c>
      <c r="AE4" s="113">
        <v>10.3</v>
      </c>
      <c r="AF4" s="41">
        <v>0.51300000000000001</v>
      </c>
      <c r="AG4" s="113">
        <v>13</v>
      </c>
      <c r="AH4" s="113">
        <v>1.1000000000000001</v>
      </c>
      <c r="AI4" s="113">
        <v>1</v>
      </c>
      <c r="AJ4" s="41">
        <v>6.7000000000000004E-2</v>
      </c>
      <c r="AK4" s="113">
        <v>-2.1</v>
      </c>
      <c r="AL4" s="113">
        <v>0.3</v>
      </c>
      <c r="AM4" s="113">
        <v>0.1</v>
      </c>
      <c r="AN4" s="113">
        <v>7</v>
      </c>
    </row>
    <row r="5" spans="1:44" x14ac:dyDescent="0.2">
      <c r="A5" s="3">
        <v>35</v>
      </c>
      <c r="B5" s="3" t="s">
        <v>1802</v>
      </c>
      <c r="C5" s="3" t="s">
        <v>236</v>
      </c>
      <c r="D5" s="108">
        <v>611</v>
      </c>
      <c r="E5" s="108">
        <v>71</v>
      </c>
      <c r="F5" s="109">
        <v>235</v>
      </c>
      <c r="G5" s="4">
        <v>36233</v>
      </c>
      <c r="H5" s="113">
        <f t="shared" ca="1" si="0"/>
        <v>21.6</v>
      </c>
      <c r="I5" s="3" t="s">
        <v>256</v>
      </c>
      <c r="J5" s="3">
        <v>3</v>
      </c>
      <c r="K5" s="3">
        <v>2018</v>
      </c>
      <c r="L5" s="3">
        <v>2</v>
      </c>
      <c r="M5" s="3" t="s">
        <v>1803</v>
      </c>
      <c r="N5" s="3" t="s">
        <v>247</v>
      </c>
      <c r="O5" s="3" t="s">
        <v>2092</v>
      </c>
      <c r="P5" s="11">
        <v>8963640</v>
      </c>
      <c r="Q5" s="51">
        <v>11312114</v>
      </c>
      <c r="R5" s="50">
        <f>Q5*2.5</f>
        <v>28280285</v>
      </c>
      <c r="S5" s="12"/>
      <c r="T5" s="12"/>
      <c r="U5" s="3"/>
      <c r="V5" s="3"/>
      <c r="W5" s="3" t="s">
        <v>1804</v>
      </c>
      <c r="X5" s="110">
        <v>5</v>
      </c>
      <c r="Y5" s="110">
        <v>13</v>
      </c>
      <c r="Z5" s="41">
        <f>2/13</f>
        <v>0.15384615384615385</v>
      </c>
      <c r="AA5" s="113">
        <v>102</v>
      </c>
      <c r="AB5" s="113">
        <v>114.6</v>
      </c>
      <c r="AC5" s="113">
        <f t="shared" si="1"/>
        <v>-12.599999999999994</v>
      </c>
      <c r="AD5" s="113">
        <v>25.7</v>
      </c>
      <c r="AE5" s="113">
        <v>15.7</v>
      </c>
      <c r="AF5" s="41">
        <v>0.51200000000000001</v>
      </c>
      <c r="AG5" s="113">
        <v>25.9</v>
      </c>
      <c r="AH5" s="113">
        <v>0</v>
      </c>
      <c r="AI5" s="113">
        <v>0.4</v>
      </c>
      <c r="AJ5" s="41">
        <v>5.5E-2</v>
      </c>
      <c r="AK5" s="113">
        <v>-2.1</v>
      </c>
      <c r="AL5" s="113">
        <v>-1.3</v>
      </c>
      <c r="AM5" s="113">
        <v>-0.1</v>
      </c>
      <c r="AN5" s="113">
        <v>9.6999999999999993</v>
      </c>
    </row>
    <row r="6" spans="1:44" x14ac:dyDescent="0.2">
      <c r="A6" s="3">
        <v>5</v>
      </c>
      <c r="B6" s="3" t="s">
        <v>1811</v>
      </c>
      <c r="C6" s="3" t="s">
        <v>250</v>
      </c>
      <c r="D6" s="108">
        <v>63</v>
      </c>
      <c r="E6" s="108">
        <v>67</v>
      </c>
      <c r="F6" s="109">
        <v>185</v>
      </c>
      <c r="G6" s="4">
        <v>35784</v>
      </c>
      <c r="H6" s="113">
        <f t="shared" ca="1" si="0"/>
        <v>22.8</v>
      </c>
      <c r="I6" s="3" t="s">
        <v>270</v>
      </c>
      <c r="J6" s="3">
        <v>4</v>
      </c>
      <c r="K6" s="3">
        <v>2017</v>
      </c>
      <c r="L6" s="3">
        <v>5</v>
      </c>
      <c r="M6" s="3" t="s">
        <v>1812</v>
      </c>
      <c r="N6" s="3" t="s">
        <v>247</v>
      </c>
      <c r="O6" s="3" t="s">
        <v>2093</v>
      </c>
      <c r="P6" s="11">
        <v>8099627</v>
      </c>
      <c r="Q6" s="50">
        <f>P6*3</f>
        <v>24298881</v>
      </c>
      <c r="R6" s="12"/>
      <c r="S6" s="147"/>
      <c r="T6" s="12"/>
      <c r="U6" s="3"/>
      <c r="V6" s="3"/>
      <c r="W6" s="3" t="s">
        <v>1813</v>
      </c>
      <c r="X6" s="110">
        <v>1</v>
      </c>
      <c r="Y6" s="110">
        <v>45</v>
      </c>
      <c r="Z6" s="41">
        <f>19/45</f>
        <v>0.42222222222222222</v>
      </c>
      <c r="AA6" s="113">
        <v>110.8</v>
      </c>
      <c r="AB6" s="113">
        <v>113.7</v>
      </c>
      <c r="AC6" s="113">
        <f t="shared" si="1"/>
        <v>-2.9000000000000057</v>
      </c>
      <c r="AD6" s="113">
        <v>31.7</v>
      </c>
      <c r="AE6" s="113">
        <v>20.3</v>
      </c>
      <c r="AF6" s="41">
        <v>0.55600000000000005</v>
      </c>
      <c r="AG6" s="113">
        <v>29.6</v>
      </c>
      <c r="AH6" s="113">
        <v>2.1</v>
      </c>
      <c r="AI6" s="113">
        <v>1.3</v>
      </c>
      <c r="AJ6" s="41">
        <v>0.11700000000000001</v>
      </c>
      <c r="AK6" s="113">
        <v>2.1</v>
      </c>
      <c r="AL6" s="113">
        <v>-0.3</v>
      </c>
      <c r="AM6" s="113">
        <v>1.4</v>
      </c>
      <c r="AN6" s="113">
        <v>12.3</v>
      </c>
    </row>
    <row r="7" spans="1:44" x14ac:dyDescent="0.2">
      <c r="A7" s="3">
        <v>88</v>
      </c>
      <c r="B7" s="3" t="s">
        <v>159</v>
      </c>
      <c r="C7" s="3" t="s">
        <v>236</v>
      </c>
      <c r="D7" s="108">
        <v>610</v>
      </c>
      <c r="E7" s="108">
        <v>70</v>
      </c>
      <c r="F7" s="109">
        <v>234</v>
      </c>
      <c r="G7" s="4">
        <v>32272</v>
      </c>
      <c r="H7" s="113">
        <f t="shared" ca="1" si="0"/>
        <v>32.4</v>
      </c>
      <c r="I7" s="3" t="s">
        <v>393</v>
      </c>
      <c r="J7" s="3">
        <v>6</v>
      </c>
      <c r="K7" s="3">
        <v>2010</v>
      </c>
      <c r="L7" s="3">
        <v>35</v>
      </c>
      <c r="M7" s="3" t="s">
        <v>1806</v>
      </c>
      <c r="N7" s="3" t="s">
        <v>285</v>
      </c>
      <c r="O7" s="163" t="s">
        <v>1807</v>
      </c>
      <c r="P7" s="15">
        <v>7150000</v>
      </c>
      <c r="Q7" s="14">
        <f>P7*1.9</f>
        <v>13585000</v>
      </c>
      <c r="R7" s="12"/>
      <c r="S7" s="12"/>
      <c r="T7" s="12"/>
      <c r="U7" s="3"/>
      <c r="V7" s="3"/>
      <c r="W7" s="3" t="s">
        <v>1808</v>
      </c>
      <c r="X7" s="110">
        <v>4</v>
      </c>
      <c r="Y7" s="110">
        <v>64</v>
      </c>
      <c r="Z7" s="41">
        <f>28/64</f>
        <v>0.4375</v>
      </c>
      <c r="AA7" s="113">
        <v>109.4</v>
      </c>
      <c r="AB7" s="113">
        <v>111.6</v>
      </c>
      <c r="AC7" s="113">
        <f t="shared" si="1"/>
        <v>-2.1999999999999886</v>
      </c>
      <c r="AD7" s="113">
        <v>28.5</v>
      </c>
      <c r="AE7" s="113">
        <v>15.6</v>
      </c>
      <c r="AF7" s="41">
        <v>0.59699999999999998</v>
      </c>
      <c r="AG7" s="113">
        <v>17.399999999999999</v>
      </c>
      <c r="AH7" s="113">
        <v>3</v>
      </c>
      <c r="AI7" s="113">
        <v>1.7</v>
      </c>
      <c r="AJ7" s="41">
        <v>0.125</v>
      </c>
      <c r="AK7" s="113">
        <v>1.2</v>
      </c>
      <c r="AL7" s="113">
        <v>0.4</v>
      </c>
      <c r="AM7" s="113">
        <v>1.7</v>
      </c>
      <c r="AN7" s="113">
        <v>10.1</v>
      </c>
    </row>
    <row r="8" spans="1:44" x14ac:dyDescent="0.2">
      <c r="A8" s="3">
        <v>33</v>
      </c>
      <c r="B8" s="3" t="s">
        <v>160</v>
      </c>
      <c r="C8" s="3" t="s">
        <v>236</v>
      </c>
      <c r="D8" s="108">
        <v>68</v>
      </c>
      <c r="E8" s="108">
        <v>70</v>
      </c>
      <c r="F8" s="109">
        <v>245</v>
      </c>
      <c r="G8" s="4">
        <v>34773</v>
      </c>
      <c r="H8" s="113">
        <f t="shared" ca="1" si="0"/>
        <v>25.6</v>
      </c>
      <c r="I8" s="3" t="s">
        <v>256</v>
      </c>
      <c r="J8" s="3">
        <v>5</v>
      </c>
      <c r="K8" s="3">
        <v>2014</v>
      </c>
      <c r="L8" s="3">
        <v>2</v>
      </c>
      <c r="M8" s="3" t="s">
        <v>1809</v>
      </c>
      <c r="N8" s="3" t="s">
        <v>1797</v>
      </c>
      <c r="O8" s="163" t="s">
        <v>1810</v>
      </c>
      <c r="P8" s="48">
        <v>6500000</v>
      </c>
      <c r="Q8" s="14">
        <f>P8*1.3</f>
        <v>8450000</v>
      </c>
      <c r="R8" s="3"/>
      <c r="S8" s="12"/>
      <c r="T8" s="3"/>
      <c r="U8" s="3"/>
      <c r="V8" s="3"/>
      <c r="W8" s="3" t="s">
        <v>365</v>
      </c>
      <c r="X8" s="110">
        <v>4</v>
      </c>
      <c r="Y8" s="110">
        <v>32</v>
      </c>
      <c r="Z8" s="41">
        <f>6/32</f>
        <v>0.1875</v>
      </c>
      <c r="AA8" s="113">
        <v>108.9</v>
      </c>
      <c r="AB8" s="113">
        <v>116.5</v>
      </c>
      <c r="AC8" s="113">
        <f t="shared" si="1"/>
        <v>-7.5999999999999943</v>
      </c>
      <c r="AD8" s="113">
        <v>26.2</v>
      </c>
      <c r="AE8" s="113">
        <v>17.2</v>
      </c>
      <c r="AF8" s="41">
        <v>0.56499999999999995</v>
      </c>
      <c r="AG8" s="113">
        <v>24</v>
      </c>
      <c r="AH8" s="113">
        <v>0.5</v>
      </c>
      <c r="AI8" s="113">
        <v>0.7</v>
      </c>
      <c r="AJ8" s="41">
        <v>6.9000000000000006E-2</v>
      </c>
      <c r="AK8" s="113">
        <v>0.4</v>
      </c>
      <c r="AL8" s="113">
        <v>-0.3</v>
      </c>
      <c r="AM8" s="113">
        <v>0.4</v>
      </c>
      <c r="AN8" s="113">
        <v>10.8</v>
      </c>
    </row>
    <row r="9" spans="1:44" x14ac:dyDescent="0.2">
      <c r="A9" s="3">
        <v>22</v>
      </c>
      <c r="B9" s="3" t="s">
        <v>1817</v>
      </c>
      <c r="C9" s="3" t="s">
        <v>236</v>
      </c>
      <c r="D9" s="108">
        <v>610</v>
      </c>
      <c r="E9" s="108">
        <v>72</v>
      </c>
      <c r="F9" s="109">
        <v>235</v>
      </c>
      <c r="G9" s="4">
        <v>34257</v>
      </c>
      <c r="H9" s="113">
        <f t="shared" ca="1" si="0"/>
        <v>27</v>
      </c>
      <c r="I9" s="3" t="s">
        <v>1818</v>
      </c>
      <c r="J9" s="3">
        <v>4</v>
      </c>
      <c r="K9" s="3">
        <v>2015</v>
      </c>
      <c r="L9" s="3">
        <v>37</v>
      </c>
      <c r="M9" s="3" t="s">
        <v>1819</v>
      </c>
      <c r="N9" s="3" t="s">
        <v>299</v>
      </c>
      <c r="O9" s="26" t="s">
        <v>2094</v>
      </c>
      <c r="P9" s="11">
        <v>5005350</v>
      </c>
      <c r="Q9" s="14">
        <f>P9*1.3</f>
        <v>6506955</v>
      </c>
      <c r="R9" s="12"/>
      <c r="S9" s="12"/>
      <c r="T9" s="12"/>
      <c r="U9" s="3"/>
      <c r="V9" s="3"/>
      <c r="W9" s="5" t="s">
        <v>240</v>
      </c>
      <c r="X9" s="110">
        <v>5</v>
      </c>
      <c r="Y9" s="110">
        <v>39</v>
      </c>
      <c r="Z9" s="41">
        <f>15/39</f>
        <v>0.38461538461538464</v>
      </c>
      <c r="AA9" s="113">
        <v>110.3</v>
      </c>
      <c r="AB9" s="113">
        <v>108.8</v>
      </c>
      <c r="AC9" s="113">
        <f t="shared" si="1"/>
        <v>1.5</v>
      </c>
      <c r="AD9" s="113">
        <v>28.9</v>
      </c>
      <c r="AE9" s="113">
        <v>20.5</v>
      </c>
      <c r="AF9" s="41">
        <v>0.68500000000000005</v>
      </c>
      <c r="AG9" s="113">
        <v>16</v>
      </c>
      <c r="AH9" s="113">
        <v>3.2</v>
      </c>
      <c r="AI9" s="113">
        <v>1.5</v>
      </c>
      <c r="AJ9" s="41">
        <v>0.19800000000000001</v>
      </c>
      <c r="AK9" s="113">
        <v>0.6</v>
      </c>
      <c r="AL9" s="113">
        <v>0.9</v>
      </c>
      <c r="AM9" s="113">
        <v>1</v>
      </c>
      <c r="AN9" s="113">
        <v>12</v>
      </c>
    </row>
    <row r="10" spans="1:44" x14ac:dyDescent="0.2">
      <c r="A10" s="3">
        <v>10</v>
      </c>
      <c r="B10" s="3" t="s">
        <v>1823</v>
      </c>
      <c r="C10" s="3" t="s">
        <v>255</v>
      </c>
      <c r="D10" s="108">
        <v>67</v>
      </c>
      <c r="E10" s="108">
        <v>68</v>
      </c>
      <c r="F10" s="109">
        <v>190</v>
      </c>
      <c r="G10" s="4">
        <v>35454</v>
      </c>
      <c r="H10" s="113">
        <f t="shared" ca="1" si="0"/>
        <v>23.7</v>
      </c>
      <c r="I10" s="3" t="s">
        <v>636</v>
      </c>
      <c r="J10" s="3">
        <v>2</v>
      </c>
      <c r="K10" s="3">
        <v>2019</v>
      </c>
      <c r="L10" s="3">
        <v>40</v>
      </c>
      <c r="M10" s="3" t="s">
        <v>1824</v>
      </c>
      <c r="N10" s="3" t="s">
        <v>285</v>
      </c>
      <c r="O10" s="3" t="s">
        <v>799</v>
      </c>
      <c r="P10" s="11">
        <v>1517981</v>
      </c>
      <c r="Q10" s="15">
        <v>1782621</v>
      </c>
      <c r="R10" s="50">
        <v>2228276</v>
      </c>
      <c r="S10" s="12"/>
      <c r="T10" s="12"/>
      <c r="U10" s="3"/>
      <c r="V10" s="3"/>
      <c r="W10" s="3" t="s">
        <v>1825</v>
      </c>
      <c r="X10" s="110">
        <v>2</v>
      </c>
      <c r="Y10" s="110">
        <v>34</v>
      </c>
      <c r="Z10" s="41">
        <f>13/34</f>
        <v>0.38235294117647056</v>
      </c>
      <c r="AA10" s="113">
        <v>96.8</v>
      </c>
      <c r="AB10" s="113">
        <v>98.3</v>
      </c>
      <c r="AC10" s="113">
        <f t="shared" si="1"/>
        <v>-1.5</v>
      </c>
      <c r="AD10" s="113">
        <v>6.4</v>
      </c>
      <c r="AE10" s="113">
        <v>11.5</v>
      </c>
      <c r="AF10" s="41">
        <v>0.48699999999999999</v>
      </c>
      <c r="AG10" s="113">
        <v>19</v>
      </c>
      <c r="AH10" s="113">
        <v>0</v>
      </c>
      <c r="AI10" s="113">
        <v>0.2</v>
      </c>
      <c r="AJ10" s="41">
        <v>3.6999999999999998E-2</v>
      </c>
      <c r="AK10" s="113">
        <v>-1</v>
      </c>
      <c r="AL10" s="113">
        <v>0.2</v>
      </c>
      <c r="AM10" s="113">
        <v>0.1</v>
      </c>
      <c r="AN10" s="113">
        <v>7.9</v>
      </c>
    </row>
    <row r="11" spans="1:44" x14ac:dyDescent="0.2">
      <c r="A11" s="3">
        <v>7</v>
      </c>
      <c r="B11" s="3" t="s">
        <v>1827</v>
      </c>
      <c r="C11" s="3" t="s">
        <v>232</v>
      </c>
      <c r="D11" s="108">
        <v>61</v>
      </c>
      <c r="E11" s="108">
        <v>65</v>
      </c>
      <c r="F11" s="109">
        <v>167</v>
      </c>
      <c r="G11" s="4">
        <v>35653</v>
      </c>
      <c r="H11" s="113">
        <f t="shared" ca="1" si="0"/>
        <v>23.2</v>
      </c>
      <c r="I11" s="3" t="s">
        <v>245</v>
      </c>
      <c r="J11" s="3">
        <v>2</v>
      </c>
      <c r="K11" s="3">
        <v>2019</v>
      </c>
      <c r="L11" s="3">
        <v>55</v>
      </c>
      <c r="M11" s="3" t="s">
        <v>1828</v>
      </c>
      <c r="N11" s="3" t="s">
        <v>295</v>
      </c>
      <c r="O11" s="163" t="s">
        <v>814</v>
      </c>
      <c r="P11" s="3" t="s">
        <v>295</v>
      </c>
      <c r="Q11" s="34"/>
      <c r="R11" s="12"/>
      <c r="S11" s="12"/>
      <c r="T11" s="12"/>
      <c r="U11" s="3"/>
      <c r="V11" s="3"/>
      <c r="W11" s="5" t="s">
        <v>611</v>
      </c>
      <c r="X11" s="110">
        <v>2</v>
      </c>
      <c r="Y11" s="110">
        <v>2</v>
      </c>
      <c r="Z11" s="41">
        <f>1/2</f>
        <v>0.5</v>
      </c>
      <c r="AA11" s="113">
        <v>100</v>
      </c>
      <c r="AB11" s="113">
        <v>130</v>
      </c>
      <c r="AC11" s="113">
        <f t="shared" si="1"/>
        <v>-30</v>
      </c>
      <c r="AD11" s="113">
        <v>2</v>
      </c>
      <c r="AE11" s="113">
        <v>9.8000000000000007</v>
      </c>
      <c r="AF11" s="41">
        <v>0.5</v>
      </c>
      <c r="AG11" s="113">
        <v>21.8</v>
      </c>
      <c r="AH11" s="113">
        <v>0</v>
      </c>
      <c r="AI11" s="113">
        <v>0</v>
      </c>
      <c r="AJ11" s="41">
        <v>-2.1999999999999999E-2</v>
      </c>
      <c r="AK11" s="113">
        <v>-1.3</v>
      </c>
      <c r="AL11" s="113">
        <v>-2.8</v>
      </c>
      <c r="AM11" s="113">
        <v>0</v>
      </c>
      <c r="AN11" s="113">
        <v>4.2</v>
      </c>
    </row>
    <row r="12" spans="1:44" x14ac:dyDescent="0.2">
      <c r="A12" s="3"/>
      <c r="B12" s="3" t="s">
        <v>297</v>
      </c>
      <c r="C12" s="3"/>
      <c r="D12" s="108"/>
      <c r="E12" s="108"/>
      <c r="F12" s="109"/>
      <c r="G12" s="4"/>
      <c r="H12" s="113"/>
      <c r="I12" s="3"/>
      <c r="J12" s="3"/>
      <c r="K12" s="3"/>
      <c r="L12" s="3"/>
      <c r="M12" s="3"/>
      <c r="N12" s="3"/>
      <c r="O12" s="163"/>
      <c r="P12" s="3"/>
      <c r="Q12" s="55"/>
      <c r="R12" s="12"/>
      <c r="S12" s="12"/>
      <c r="T12" s="12"/>
      <c r="U12" s="3"/>
      <c r="V12" s="3"/>
      <c r="W12" s="5"/>
      <c r="X12" s="110"/>
      <c r="Y12" s="110"/>
      <c r="Z12" s="41"/>
      <c r="AA12" s="113"/>
      <c r="AB12" s="113"/>
      <c r="AC12" s="113"/>
      <c r="AD12" s="113"/>
      <c r="AE12" s="113"/>
      <c r="AF12" s="41"/>
      <c r="AG12" s="113"/>
      <c r="AH12" s="113"/>
      <c r="AI12" s="113"/>
      <c r="AJ12" s="41"/>
      <c r="AK12" s="113"/>
      <c r="AL12" s="113"/>
      <c r="AM12" s="113"/>
      <c r="AN12" s="113"/>
    </row>
    <row r="13" spans="1:44" x14ac:dyDescent="0.2">
      <c r="A13" s="3"/>
      <c r="B13" s="3" t="s">
        <v>2202</v>
      </c>
      <c r="C13" s="3"/>
      <c r="D13" s="3"/>
      <c r="E13" s="3"/>
      <c r="F13" s="3"/>
      <c r="G13" s="3"/>
      <c r="H13" s="3"/>
      <c r="I13" s="3"/>
      <c r="J13" s="3"/>
      <c r="K13" s="3"/>
      <c r="L13" s="3"/>
      <c r="M13" s="3"/>
      <c r="N13" s="3"/>
      <c r="O13" s="3"/>
      <c r="P13" s="11">
        <v>3831840</v>
      </c>
      <c r="Q13" s="11">
        <v>4023600</v>
      </c>
      <c r="R13" s="51">
        <v>4215120</v>
      </c>
      <c r="S13" s="51">
        <v>5808435</v>
      </c>
      <c r="T13" s="50">
        <f>S13*3</f>
        <v>17425305</v>
      </c>
      <c r="U13" s="3"/>
      <c r="V13" s="3"/>
      <c r="W13" s="3"/>
      <c r="X13" s="110"/>
      <c r="Y13" s="110"/>
      <c r="Z13" s="41"/>
      <c r="AA13" s="113"/>
      <c r="AB13" s="113"/>
      <c r="AC13" s="113"/>
      <c r="AD13" s="113"/>
      <c r="AE13" s="113"/>
      <c r="AF13" s="113"/>
      <c r="AG13" s="113"/>
      <c r="AH13" s="113"/>
      <c r="AI13" s="113"/>
      <c r="AJ13" s="41"/>
      <c r="AK13" s="113"/>
      <c r="AL13" s="113"/>
      <c r="AM13" s="113"/>
      <c r="AN13" s="113"/>
    </row>
    <row r="14" spans="1:44" x14ac:dyDescent="0.2">
      <c r="A14" s="3"/>
      <c r="B14" s="3" t="s">
        <v>1829</v>
      </c>
      <c r="C14" s="3"/>
      <c r="D14" s="3"/>
      <c r="E14" s="3"/>
      <c r="F14" s="3"/>
      <c r="G14" s="3"/>
      <c r="H14" s="3"/>
      <c r="I14" s="3"/>
      <c r="J14" s="3"/>
      <c r="K14" s="3"/>
      <c r="L14" s="3"/>
      <c r="M14" s="3"/>
      <c r="N14" s="3"/>
      <c r="O14" s="3"/>
      <c r="P14" s="179">
        <v>898310</v>
      </c>
      <c r="Q14" s="3"/>
      <c r="R14" s="3"/>
      <c r="S14" s="3"/>
      <c r="T14" s="3"/>
      <c r="U14" s="3"/>
      <c r="V14" s="3"/>
      <c r="W14" s="3"/>
      <c r="X14" s="110"/>
      <c r="Y14" s="110"/>
      <c r="Z14" s="41"/>
      <c r="AA14" s="3"/>
      <c r="AB14" s="3"/>
      <c r="AC14" s="3"/>
      <c r="AD14" s="3"/>
      <c r="AE14" s="3"/>
      <c r="AF14" s="3"/>
      <c r="AG14" s="3"/>
      <c r="AH14" s="3"/>
      <c r="AI14" s="3"/>
      <c r="AJ14" s="41"/>
      <c r="AK14" s="3"/>
      <c r="AL14" s="3"/>
      <c r="AM14" s="3"/>
      <c r="AN14" s="3"/>
    </row>
    <row r="15" spans="1:44" x14ac:dyDescent="0.2">
      <c r="A15" s="3"/>
      <c r="B15" s="3" t="s">
        <v>2203</v>
      </c>
      <c r="C15" s="3"/>
      <c r="D15" s="3"/>
      <c r="E15" s="3"/>
      <c r="F15" s="3"/>
      <c r="G15" s="3"/>
      <c r="H15" s="3"/>
      <c r="I15" s="3"/>
      <c r="J15" s="3"/>
      <c r="K15" s="3"/>
      <c r="L15" s="3"/>
      <c r="M15" s="3"/>
      <c r="N15" s="3"/>
      <c r="O15" s="3"/>
      <c r="P15" s="179">
        <v>898310</v>
      </c>
      <c r="Q15" s="3"/>
      <c r="R15" s="3"/>
      <c r="S15" s="3"/>
      <c r="T15" s="3"/>
      <c r="U15" s="3"/>
      <c r="V15" s="3"/>
      <c r="W15" s="3"/>
      <c r="X15" s="3"/>
      <c r="Y15" s="3"/>
      <c r="Z15" s="41"/>
      <c r="AA15" s="3"/>
      <c r="AB15" s="3"/>
      <c r="AC15" s="3"/>
      <c r="AD15" s="3"/>
      <c r="AE15" s="3"/>
      <c r="AF15" s="3"/>
      <c r="AG15" s="3"/>
      <c r="AH15" s="3"/>
      <c r="AI15" s="3"/>
      <c r="AJ15" s="3"/>
      <c r="AK15" s="3"/>
      <c r="AL15" s="3"/>
      <c r="AM15" s="3"/>
      <c r="AN15" s="3"/>
    </row>
    <row r="16" spans="1:44" x14ac:dyDescent="0.2">
      <c r="A16" s="3"/>
      <c r="B16" s="3" t="s">
        <v>2196</v>
      </c>
      <c r="C16" s="3"/>
      <c r="D16" s="3"/>
      <c r="E16" s="3"/>
      <c r="F16" s="3"/>
      <c r="G16" s="3"/>
      <c r="H16" s="3"/>
      <c r="I16" s="3"/>
      <c r="J16" s="3"/>
      <c r="K16" s="3"/>
      <c r="L16" s="3"/>
      <c r="M16" s="3"/>
      <c r="N16" s="3"/>
      <c r="O16" s="3"/>
      <c r="P16" s="179">
        <v>898310</v>
      </c>
      <c r="Q16" s="3"/>
      <c r="R16" s="3"/>
      <c r="S16" s="3"/>
      <c r="T16" s="3"/>
      <c r="U16" s="3"/>
      <c r="V16" s="3"/>
      <c r="W16" s="3"/>
      <c r="X16" s="3"/>
      <c r="Y16" s="3"/>
      <c r="Z16" s="41"/>
      <c r="AA16" s="3"/>
      <c r="AB16" s="3"/>
      <c r="AC16" s="3"/>
      <c r="AD16" s="3"/>
      <c r="AE16" s="3"/>
      <c r="AF16" s="3"/>
      <c r="AG16" s="3"/>
      <c r="AH16" s="3"/>
      <c r="AI16" s="3"/>
      <c r="AJ16" s="3"/>
      <c r="AK16" s="3"/>
      <c r="AL16" s="3"/>
      <c r="AM16" s="3"/>
      <c r="AN16" s="3"/>
    </row>
    <row r="17" spans="1:41" x14ac:dyDescent="0.2">
      <c r="A17" s="3"/>
      <c r="B17" s="3"/>
      <c r="C17" s="3"/>
      <c r="D17" s="108"/>
      <c r="E17" s="108"/>
      <c r="F17" s="109"/>
      <c r="G17" s="4"/>
      <c r="H17" s="113"/>
      <c r="I17" s="3"/>
      <c r="J17" s="3"/>
      <c r="K17" s="3"/>
      <c r="L17" s="3"/>
      <c r="M17" s="3"/>
      <c r="N17" s="3"/>
      <c r="O17" s="3"/>
      <c r="P17" s="12"/>
      <c r="Q17" s="12"/>
      <c r="R17" s="12"/>
      <c r="S17" s="12"/>
      <c r="T17" s="12"/>
      <c r="U17" s="3"/>
      <c r="V17" s="3"/>
      <c r="W17" s="3"/>
      <c r="X17" s="3"/>
      <c r="Y17" s="3"/>
      <c r="Z17" s="41"/>
      <c r="AA17" s="3"/>
      <c r="AB17" s="3"/>
      <c r="AC17" s="3"/>
      <c r="AD17" s="3"/>
      <c r="AE17" s="3"/>
      <c r="AF17" s="3"/>
      <c r="AG17" s="3"/>
      <c r="AH17" s="3"/>
      <c r="AI17" s="3"/>
      <c r="AJ17" s="3"/>
      <c r="AK17" s="3"/>
      <c r="AL17" s="3"/>
      <c r="AM17" s="3"/>
      <c r="AN17" s="3"/>
    </row>
    <row r="18" spans="1:41" x14ac:dyDescent="0.2">
      <c r="A18" s="3">
        <v>26</v>
      </c>
      <c r="B18" s="3" t="s">
        <v>157</v>
      </c>
      <c r="C18" s="3" t="s">
        <v>244</v>
      </c>
      <c r="D18" s="108">
        <v>64</v>
      </c>
      <c r="E18" s="108">
        <v>70</v>
      </c>
      <c r="F18" s="109">
        <v>195</v>
      </c>
      <c r="G18" s="4">
        <v>32690</v>
      </c>
      <c r="H18" s="113">
        <f t="shared" ref="H18:H24" ca="1" si="2">ROUNDDOWN(YEARFRAC($G$26,G18),1)</f>
        <v>31.3</v>
      </c>
      <c r="I18" s="3" t="s">
        <v>1795</v>
      </c>
      <c r="J18" s="3">
        <v>9</v>
      </c>
      <c r="K18" s="3">
        <v>2012</v>
      </c>
      <c r="L18" s="3"/>
      <c r="M18" s="3" t="s">
        <v>1796</v>
      </c>
      <c r="N18" s="3" t="s">
        <v>1797</v>
      </c>
      <c r="O18" s="3"/>
      <c r="P18" s="14">
        <v>28904493</v>
      </c>
      <c r="Q18" s="12"/>
      <c r="R18" s="12"/>
      <c r="S18" s="12"/>
      <c r="T18" s="12"/>
      <c r="U18" s="3"/>
      <c r="V18" s="3"/>
      <c r="W18" s="3" t="s">
        <v>1798</v>
      </c>
      <c r="X18" s="110">
        <v>2</v>
      </c>
      <c r="Y18" s="110">
        <v>21</v>
      </c>
      <c r="Z18" s="41">
        <f>13/21</f>
        <v>0.61904761904761907</v>
      </c>
      <c r="AA18" s="113">
        <v>107</v>
      </c>
      <c r="AB18" s="113">
        <v>104.3</v>
      </c>
      <c r="AC18" s="113">
        <f t="shared" ref="AC18:AC22" si="3">AA18-AB18</f>
        <v>2.7000000000000028</v>
      </c>
      <c r="AD18" s="113">
        <v>23.5</v>
      </c>
      <c r="AE18" s="113">
        <v>13</v>
      </c>
      <c r="AF18" s="41">
        <v>0.54300000000000004</v>
      </c>
      <c r="AG18" s="113">
        <v>19.899999999999999</v>
      </c>
      <c r="AH18" s="113">
        <v>0.2</v>
      </c>
      <c r="AI18" s="113">
        <v>0.6</v>
      </c>
      <c r="AJ18" s="41">
        <v>7.6999999999999999E-2</v>
      </c>
      <c r="AK18" s="113">
        <v>-3</v>
      </c>
      <c r="AL18" s="113">
        <v>0.4</v>
      </c>
      <c r="AM18" s="113">
        <v>-0.1</v>
      </c>
      <c r="AN18" s="113">
        <v>9.1</v>
      </c>
    </row>
    <row r="19" spans="1:41" x14ac:dyDescent="0.2">
      <c r="A19" s="3">
        <v>8</v>
      </c>
      <c r="B19" s="3" t="s">
        <v>158</v>
      </c>
      <c r="C19" s="3" t="s">
        <v>255</v>
      </c>
      <c r="D19" s="108">
        <v>66</v>
      </c>
      <c r="E19" s="108">
        <v>611</v>
      </c>
      <c r="F19" s="109">
        <v>220</v>
      </c>
      <c r="G19" s="4">
        <v>33834</v>
      </c>
      <c r="H19" s="113">
        <f t="shared" ca="1" si="2"/>
        <v>28.1</v>
      </c>
      <c r="I19" s="3" t="s">
        <v>393</v>
      </c>
      <c r="J19" s="3">
        <v>4</v>
      </c>
      <c r="K19" s="3">
        <v>2014</v>
      </c>
      <c r="L19" s="3">
        <v>27</v>
      </c>
      <c r="M19" s="3" t="s">
        <v>714</v>
      </c>
      <c r="N19" s="3" t="s">
        <v>285</v>
      </c>
      <c r="O19" s="3"/>
      <c r="P19" s="50">
        <v>16205833</v>
      </c>
      <c r="Q19" s="12"/>
      <c r="R19" s="12"/>
      <c r="S19" s="12"/>
      <c r="T19" s="12"/>
      <c r="U19" s="3"/>
      <c r="V19" s="3"/>
      <c r="W19" s="3" t="s">
        <v>1805</v>
      </c>
      <c r="X19" s="110">
        <v>3</v>
      </c>
      <c r="Y19" s="110">
        <v>53</v>
      </c>
      <c r="Z19" s="41">
        <f>26/53</f>
        <v>0.49056603773584906</v>
      </c>
      <c r="AA19" s="113">
        <v>108.1</v>
      </c>
      <c r="AB19" s="113">
        <v>110.3</v>
      </c>
      <c r="AC19" s="113">
        <f t="shared" si="3"/>
        <v>-2.2000000000000028</v>
      </c>
      <c r="AD19" s="113">
        <v>28.5</v>
      </c>
      <c r="AE19" s="113">
        <v>14.3</v>
      </c>
      <c r="AF19" s="41">
        <v>0.56000000000000005</v>
      </c>
      <c r="AG19" s="113">
        <v>22.3</v>
      </c>
      <c r="AH19" s="113">
        <v>1.2</v>
      </c>
      <c r="AI19" s="113">
        <v>1.1000000000000001</v>
      </c>
      <c r="AJ19" s="41">
        <v>7.4999999999999997E-2</v>
      </c>
      <c r="AK19" s="113">
        <v>0.7</v>
      </c>
      <c r="AL19" s="113">
        <v>-0.3</v>
      </c>
      <c r="AM19" s="113">
        <v>0.9</v>
      </c>
      <c r="AN19" s="113">
        <v>9.8000000000000007</v>
      </c>
    </row>
    <row r="20" spans="1:41" x14ac:dyDescent="0.2">
      <c r="A20" s="3">
        <v>25</v>
      </c>
      <c r="B20" s="3" t="s">
        <v>161</v>
      </c>
      <c r="C20" s="3" t="s">
        <v>236</v>
      </c>
      <c r="D20" s="108">
        <v>70</v>
      </c>
      <c r="E20" s="108">
        <v>74</v>
      </c>
      <c r="F20" s="109">
        <v>250</v>
      </c>
      <c r="G20" s="4">
        <v>34136</v>
      </c>
      <c r="H20" s="113">
        <f t="shared" ca="1" si="2"/>
        <v>27.3</v>
      </c>
      <c r="I20" s="3" t="s">
        <v>263</v>
      </c>
      <c r="J20" s="3">
        <v>8</v>
      </c>
      <c r="K20" s="3">
        <v>2013</v>
      </c>
      <c r="L20" s="3">
        <v>5</v>
      </c>
      <c r="M20" s="3" t="s">
        <v>1809</v>
      </c>
      <c r="N20" s="3" t="s">
        <v>1820</v>
      </c>
      <c r="O20" s="3"/>
      <c r="P20" s="14">
        <v>5408000</v>
      </c>
      <c r="Q20" s="3"/>
      <c r="R20" s="12"/>
      <c r="S20" s="12"/>
      <c r="T20" s="12"/>
      <c r="U20" s="3"/>
      <c r="V20" s="3"/>
      <c r="W20" s="5" t="s">
        <v>240</v>
      </c>
      <c r="X20" s="110">
        <v>5</v>
      </c>
      <c r="Y20" s="110">
        <v>9</v>
      </c>
      <c r="Z20" s="41">
        <f>6/9</f>
        <v>0.66666666666666663</v>
      </c>
      <c r="AA20" s="113">
        <v>102.8</v>
      </c>
      <c r="AB20" s="113">
        <v>94.8</v>
      </c>
      <c r="AC20" s="113">
        <f t="shared" si="3"/>
        <v>8</v>
      </c>
      <c r="AD20" s="113">
        <v>16.7</v>
      </c>
      <c r="AE20" s="113">
        <v>20.3</v>
      </c>
      <c r="AF20" s="41">
        <v>0.63600000000000001</v>
      </c>
      <c r="AG20" s="113">
        <v>16.7</v>
      </c>
      <c r="AH20" s="113">
        <v>0.3</v>
      </c>
      <c r="AI20" s="113">
        <v>0.2</v>
      </c>
      <c r="AJ20" s="41">
        <v>0.16500000000000001</v>
      </c>
      <c r="AK20" s="113">
        <v>-0.7</v>
      </c>
      <c r="AL20" s="113">
        <v>0.1</v>
      </c>
      <c r="AM20" s="113">
        <v>0.1</v>
      </c>
      <c r="AN20" s="113">
        <v>14</v>
      </c>
    </row>
    <row r="21" spans="1:41" x14ac:dyDescent="0.2">
      <c r="A21" s="3">
        <v>3</v>
      </c>
      <c r="B21" s="3" t="s">
        <v>162</v>
      </c>
      <c r="C21" s="3" t="s">
        <v>250</v>
      </c>
      <c r="D21" s="108">
        <v>60</v>
      </c>
      <c r="E21" s="108"/>
      <c r="F21" s="109">
        <v>178</v>
      </c>
      <c r="G21" s="4">
        <v>34098</v>
      </c>
      <c r="H21" s="113">
        <f t="shared" ca="1" si="2"/>
        <v>27.4</v>
      </c>
      <c r="I21" s="3" t="s">
        <v>374</v>
      </c>
      <c r="J21" s="3">
        <v>5</v>
      </c>
      <c r="K21" s="3">
        <v>2016</v>
      </c>
      <c r="L21" s="3"/>
      <c r="M21" s="3" t="s">
        <v>1821</v>
      </c>
      <c r="N21" s="3" t="s">
        <v>285</v>
      </c>
      <c r="O21" s="26"/>
      <c r="P21" s="14">
        <v>4095000</v>
      </c>
      <c r="Q21" s="12"/>
      <c r="R21" s="12"/>
      <c r="S21" s="12"/>
      <c r="T21" s="12"/>
      <c r="U21" s="3"/>
      <c r="V21" s="11"/>
      <c r="W21" s="5" t="s">
        <v>291</v>
      </c>
      <c r="X21" s="110">
        <v>1</v>
      </c>
      <c r="Y21" s="110">
        <v>44</v>
      </c>
      <c r="Z21" s="41">
        <f>17/44</f>
        <v>0.38636363636363635</v>
      </c>
      <c r="AA21" s="113">
        <v>100.5</v>
      </c>
      <c r="AB21" s="113">
        <v>103.8</v>
      </c>
      <c r="AC21" s="113">
        <f t="shared" si="3"/>
        <v>-3.2999999999999972</v>
      </c>
      <c r="AD21" s="113">
        <v>11</v>
      </c>
      <c r="AE21" s="113">
        <v>10.7</v>
      </c>
      <c r="AF21" s="41">
        <v>0.499</v>
      </c>
      <c r="AG21" s="113">
        <v>18.899999999999999</v>
      </c>
      <c r="AH21" s="113">
        <v>0.1</v>
      </c>
      <c r="AI21" s="113">
        <v>0.3</v>
      </c>
      <c r="AJ21" s="41">
        <v>3.5999999999999997E-2</v>
      </c>
      <c r="AK21" s="113">
        <v>-2.1</v>
      </c>
      <c r="AL21" s="113">
        <v>-0.4</v>
      </c>
      <c r="AM21" s="113">
        <v>-0.1</v>
      </c>
      <c r="AN21" s="113">
        <v>8.6</v>
      </c>
    </row>
    <row r="22" spans="1:41" s="3" customFormat="1" x14ac:dyDescent="0.2">
      <c r="A22" s="3">
        <v>20</v>
      </c>
      <c r="B22" s="3" t="s">
        <v>163</v>
      </c>
      <c r="C22" s="3" t="s">
        <v>236</v>
      </c>
      <c r="D22" s="108">
        <v>611</v>
      </c>
      <c r="E22" s="108">
        <v>73</v>
      </c>
      <c r="F22" s="109">
        <v>240</v>
      </c>
      <c r="G22" s="4">
        <v>35907</v>
      </c>
      <c r="H22" s="113">
        <f t="shared" ca="1" si="2"/>
        <v>22.5</v>
      </c>
      <c r="I22" s="3" t="s">
        <v>256</v>
      </c>
      <c r="J22" s="3">
        <v>4</v>
      </c>
      <c r="K22" s="3">
        <v>2017</v>
      </c>
      <c r="L22" s="3">
        <v>20</v>
      </c>
      <c r="M22" s="3" t="s">
        <v>1822</v>
      </c>
      <c r="N22" s="3" t="s">
        <v>247</v>
      </c>
      <c r="P22" s="14">
        <v>3976510</v>
      </c>
      <c r="R22" s="12"/>
      <c r="S22" s="12"/>
      <c r="T22" s="12"/>
      <c r="W22" s="3" t="s">
        <v>388</v>
      </c>
      <c r="X22" s="110">
        <v>5</v>
      </c>
      <c r="Y22" s="110">
        <v>38</v>
      </c>
      <c r="Z22" s="41">
        <f>19/38</f>
        <v>0.5</v>
      </c>
      <c r="AA22" s="113">
        <v>106.6</v>
      </c>
      <c r="AB22" s="113">
        <v>114.3</v>
      </c>
      <c r="AC22" s="113">
        <f t="shared" si="3"/>
        <v>-7.7000000000000028</v>
      </c>
      <c r="AD22" s="113">
        <v>15.2</v>
      </c>
      <c r="AE22" s="113">
        <v>16.3</v>
      </c>
      <c r="AF22" s="41">
        <v>0.58599999999999997</v>
      </c>
      <c r="AG22" s="113">
        <v>19.600000000000001</v>
      </c>
      <c r="AH22" s="113">
        <v>0.7</v>
      </c>
      <c r="AI22" s="113">
        <v>0.7</v>
      </c>
      <c r="AJ22" s="41">
        <v>0.12</v>
      </c>
      <c r="AK22" s="113">
        <v>-2.2000000000000002</v>
      </c>
      <c r="AL22" s="113">
        <v>1.1000000000000001</v>
      </c>
      <c r="AM22" s="113">
        <v>0.1</v>
      </c>
      <c r="AN22" s="113">
        <v>10.3</v>
      </c>
      <c r="AO22" s="60"/>
    </row>
    <row r="23" spans="1:41" x14ac:dyDescent="0.2">
      <c r="A23" s="3">
        <v>13</v>
      </c>
      <c r="B23" s="3" t="s">
        <v>2043</v>
      </c>
      <c r="C23" s="3" t="s">
        <v>255</v>
      </c>
      <c r="D23" s="108">
        <v>69</v>
      </c>
      <c r="E23" s="108">
        <v>69</v>
      </c>
      <c r="F23" s="109">
        <v>186</v>
      </c>
      <c r="G23" s="4">
        <v>31476</v>
      </c>
      <c r="H23" s="113">
        <f t="shared" ca="1" si="2"/>
        <v>34.6</v>
      </c>
      <c r="I23" s="3" t="s">
        <v>470</v>
      </c>
      <c r="J23" s="3">
        <v>14</v>
      </c>
      <c r="K23" s="3">
        <v>2007</v>
      </c>
      <c r="L23" s="3">
        <v>7</v>
      </c>
      <c r="M23" s="3" t="s">
        <v>2046</v>
      </c>
      <c r="N23" s="3" t="s">
        <v>282</v>
      </c>
      <c r="O23" s="3"/>
      <c r="P23" s="14">
        <v>1707576</v>
      </c>
      <c r="Q23" s="16"/>
      <c r="R23" s="16"/>
      <c r="S23" s="12"/>
      <c r="T23" s="12"/>
      <c r="U23" s="3"/>
      <c r="V23" s="3"/>
      <c r="W23" s="3"/>
      <c r="X23" s="110"/>
      <c r="Y23" s="110"/>
      <c r="Z23" s="41"/>
      <c r="AA23" s="113"/>
      <c r="AB23" s="113"/>
      <c r="AC23" s="113"/>
      <c r="AD23" s="113"/>
      <c r="AE23" s="113"/>
      <c r="AF23" s="41"/>
      <c r="AG23" s="113"/>
      <c r="AH23" s="113"/>
      <c r="AI23" s="113"/>
      <c r="AJ23" s="41"/>
      <c r="AK23" s="113"/>
      <c r="AL23" s="113"/>
      <c r="AM23" s="113"/>
      <c r="AN23" s="113"/>
    </row>
    <row r="24" spans="1:41" x14ac:dyDescent="0.2">
      <c r="A24" s="3">
        <v>19</v>
      </c>
      <c r="B24" s="3" t="s">
        <v>1826</v>
      </c>
      <c r="C24" s="3" t="s">
        <v>232</v>
      </c>
      <c r="D24" s="108">
        <v>65</v>
      </c>
      <c r="E24" s="108">
        <v>611</v>
      </c>
      <c r="F24" s="109">
        <v>230</v>
      </c>
      <c r="G24" s="4">
        <v>35672</v>
      </c>
      <c r="H24" s="113">
        <f t="shared" ca="1" si="2"/>
        <v>23.1</v>
      </c>
      <c r="I24" s="3" t="s">
        <v>598</v>
      </c>
      <c r="J24" s="3">
        <v>2</v>
      </c>
      <c r="K24" s="3">
        <v>2019</v>
      </c>
      <c r="L24" s="3"/>
      <c r="M24" s="3" t="s">
        <v>664</v>
      </c>
      <c r="N24" s="3" t="s">
        <v>295</v>
      </c>
      <c r="O24" s="3"/>
      <c r="P24" s="50">
        <v>1445697</v>
      </c>
      <c r="Q24" s="163"/>
      <c r="R24" s="3"/>
      <c r="S24" s="12"/>
      <c r="T24" s="71"/>
      <c r="Z24" s="41">
        <f>1/6</f>
        <v>0.16666666666666666</v>
      </c>
      <c r="AA24" s="113">
        <v>89.4</v>
      </c>
      <c r="AB24" s="113">
        <v>83.7</v>
      </c>
      <c r="AC24" s="113">
        <f t="shared" ref="AC24" si="4">AA24-AB24</f>
        <v>5.7000000000000028</v>
      </c>
      <c r="AD24" s="113">
        <v>3.2</v>
      </c>
      <c r="AE24" s="113">
        <v>10.7</v>
      </c>
      <c r="AF24" s="41">
        <v>0.5</v>
      </c>
      <c r="AG24" s="113">
        <v>16.100000000000001</v>
      </c>
      <c r="AH24" s="113">
        <v>0</v>
      </c>
      <c r="AI24" s="113">
        <v>0</v>
      </c>
      <c r="AJ24" s="41">
        <v>8.1000000000000003E-2</v>
      </c>
      <c r="AK24" s="113">
        <v>-2.2999999999999998</v>
      </c>
      <c r="AL24" s="113">
        <v>-0.3</v>
      </c>
      <c r="AM24" s="113">
        <v>0</v>
      </c>
      <c r="AN24" s="113">
        <v>3.4</v>
      </c>
    </row>
    <row r="25" spans="1:41" x14ac:dyDescent="0.2">
      <c r="A25" s="3"/>
      <c r="B25" s="3"/>
      <c r="C25" s="3"/>
      <c r="D25" s="108"/>
      <c r="E25" s="108"/>
      <c r="F25" s="109"/>
      <c r="G25" s="4"/>
      <c r="H25" s="113"/>
      <c r="I25" s="3"/>
      <c r="J25" s="3"/>
      <c r="K25" s="3"/>
      <c r="L25" s="3"/>
      <c r="M25" s="3"/>
      <c r="N25" s="3"/>
      <c r="O25" s="3"/>
      <c r="P25" s="12"/>
      <c r="Q25" s="12"/>
      <c r="R25" s="12"/>
      <c r="S25" s="12"/>
      <c r="T25" s="3"/>
      <c r="U25" s="41"/>
      <c r="V25" s="12"/>
      <c r="Z25" s="41"/>
      <c r="AA25" s="3"/>
      <c r="AB25" s="3"/>
      <c r="AC25" s="3"/>
      <c r="AD25" s="3"/>
      <c r="AE25" s="3"/>
      <c r="AF25" s="3"/>
      <c r="AG25" s="3"/>
      <c r="AH25" s="3"/>
      <c r="AI25" s="3"/>
      <c r="AJ25" s="3"/>
      <c r="AK25" s="3"/>
      <c r="AL25" s="3"/>
      <c r="AM25" s="3"/>
      <c r="AN25" s="3"/>
    </row>
    <row r="26" spans="1:41" x14ac:dyDescent="0.2">
      <c r="G26" s="62">
        <f ca="1">TODAY()</f>
        <v>44128</v>
      </c>
      <c r="H26" s="63">
        <f ca="1">AVERAGE(H2:H11)</f>
        <v>26.160000000000004</v>
      </c>
      <c r="J26" s="63">
        <f>AVERAGE(J2:J11)</f>
        <v>5</v>
      </c>
      <c r="T26" s="3"/>
      <c r="U26" s="113"/>
      <c r="V26" s="3"/>
      <c r="Z26" s="65"/>
    </row>
    <row r="27" spans="1:41" x14ac:dyDescent="0.2">
      <c r="H27" s="63">
        <f ca="1">MEDIAN(H2:H11)</f>
        <v>26.3</v>
      </c>
      <c r="J27" s="69">
        <f>MEDIAN(J2:J11)</f>
        <v>4.5</v>
      </c>
      <c r="P27" s="64"/>
      <c r="R27" s="200"/>
      <c r="T27" s="3"/>
      <c r="U27" s="113"/>
      <c r="V27" s="3"/>
      <c r="Z27" s="65"/>
    </row>
    <row r="28" spans="1:41" x14ac:dyDescent="0.2">
      <c r="B28" s="71" t="s">
        <v>2224</v>
      </c>
      <c r="H28" s="63"/>
      <c r="J28" s="69"/>
      <c r="P28" s="64">
        <f>P2+P3+P4+P5+P6+P9+P10+P13</f>
        <v>88666165</v>
      </c>
      <c r="R28" s="200"/>
      <c r="T28" s="3"/>
      <c r="U28" s="113"/>
      <c r="V28" s="3"/>
      <c r="Z28" s="65"/>
    </row>
    <row r="29" spans="1:41" x14ac:dyDescent="0.2">
      <c r="B29" s="3" t="s">
        <v>2087</v>
      </c>
      <c r="C29" s="69">
        <v>7</v>
      </c>
      <c r="P29" s="124">
        <f>P2+P3+P4+P5+P6+P8+P9+P10+P13</f>
        <v>95166165</v>
      </c>
      <c r="R29"/>
      <c r="T29" s="3"/>
      <c r="U29" s="113"/>
      <c r="V29" s="3"/>
      <c r="Z29" s="65"/>
    </row>
    <row r="30" spans="1:41" x14ac:dyDescent="0.2">
      <c r="B30" s="3" t="s">
        <v>2088</v>
      </c>
      <c r="C30" s="69">
        <v>3</v>
      </c>
      <c r="P30" s="160">
        <f>P2+P3+P4+P5+P6+P7+P8+P9+P10+P13</f>
        <v>102316165</v>
      </c>
      <c r="R30" s="200"/>
      <c r="T30" s="3"/>
      <c r="U30" s="36"/>
      <c r="V30" s="3"/>
      <c r="Z30" s="65"/>
    </row>
    <row r="31" spans="1:41" x14ac:dyDescent="0.2">
      <c r="B31" s="3" t="s">
        <v>2086</v>
      </c>
      <c r="C31" s="69">
        <v>4</v>
      </c>
      <c r="D31" s="62"/>
      <c r="R31"/>
      <c r="Z31" s="65"/>
    </row>
    <row r="32" spans="1:41" x14ac:dyDescent="0.2">
      <c r="B32" s="3" t="s">
        <v>2219</v>
      </c>
      <c r="C32" s="69" t="s">
        <v>2329</v>
      </c>
      <c r="D32" s="62"/>
      <c r="O32" s="82" t="s">
        <v>300</v>
      </c>
      <c r="P32" s="61">
        <v>109140000</v>
      </c>
      <c r="R32"/>
      <c r="Z32" s="65"/>
    </row>
    <row r="33" spans="2:26" x14ac:dyDescent="0.2">
      <c r="B33" s="3" t="s">
        <v>301</v>
      </c>
      <c r="C33" s="61">
        <v>0</v>
      </c>
      <c r="O33" s="82" t="s">
        <v>302</v>
      </c>
      <c r="P33" s="61">
        <v>132627000</v>
      </c>
      <c r="R33" s="200"/>
      <c r="Z33" s="65"/>
    </row>
    <row r="34" spans="2:26" x14ac:dyDescent="0.2">
      <c r="B34" s="3" t="s">
        <v>303</v>
      </c>
      <c r="C34" s="61">
        <v>0</v>
      </c>
      <c r="O34" s="82"/>
      <c r="P34" s="61"/>
      <c r="R34"/>
    </row>
    <row r="35" spans="2:26" x14ac:dyDescent="0.2">
      <c r="R35" s="200"/>
    </row>
    <row r="36" spans="2:26" x14ac:dyDescent="0.2">
      <c r="B36" s="71" t="s">
        <v>2084</v>
      </c>
      <c r="R36" s="200"/>
    </row>
    <row r="37" spans="2:26" x14ac:dyDescent="0.2">
      <c r="B37" s="3" t="s">
        <v>304</v>
      </c>
      <c r="C37" s="65">
        <f>31/(31+41)</f>
        <v>0.43055555555555558</v>
      </c>
      <c r="D37" s="60" t="s">
        <v>820</v>
      </c>
      <c r="R37" s="200"/>
    </row>
    <row r="38" spans="2:26" x14ac:dyDescent="0.2">
      <c r="B38" s="3" t="s">
        <v>306</v>
      </c>
      <c r="C38" s="122">
        <v>109.5</v>
      </c>
      <c r="D38" s="60" t="s">
        <v>2180</v>
      </c>
    </row>
    <row r="39" spans="2:26" x14ac:dyDescent="0.2">
      <c r="B39" s="3" t="s">
        <v>307</v>
      </c>
      <c r="C39" s="122">
        <v>111.4</v>
      </c>
      <c r="D39" s="60" t="s">
        <v>2272</v>
      </c>
    </row>
    <row r="40" spans="2:26" x14ac:dyDescent="0.2">
      <c r="B40" s="3" t="s">
        <v>308</v>
      </c>
      <c r="C40" s="122">
        <f>C38-C39</f>
        <v>-1.9000000000000057</v>
      </c>
      <c r="D40" s="60" t="s">
        <v>2306</v>
      </c>
    </row>
    <row r="41" spans="2:26" x14ac:dyDescent="0.2">
      <c r="B41" s="3" t="s">
        <v>309</v>
      </c>
      <c r="C41" s="63">
        <v>99.6</v>
      </c>
      <c r="D41" s="60" t="s">
        <v>2272</v>
      </c>
    </row>
    <row r="43" spans="2:26" x14ac:dyDescent="0.2">
      <c r="B43" s="3" t="s">
        <v>310</v>
      </c>
    </row>
    <row r="44" spans="2:26" x14ac:dyDescent="0.2">
      <c r="B44" s="3" t="s">
        <v>1830</v>
      </c>
    </row>
    <row r="45" spans="2:26" x14ac:dyDescent="0.2">
      <c r="B45" s="3" t="s">
        <v>1831</v>
      </c>
    </row>
    <row r="46" spans="2:26" x14ac:dyDescent="0.2">
      <c r="B46" s="3" t="s">
        <v>1832</v>
      </c>
    </row>
    <row r="47" spans="2:26" x14ac:dyDescent="0.2">
      <c r="B47" s="12"/>
    </row>
    <row r="48" spans="2:26" x14ac:dyDescent="0.2">
      <c r="B48" s="3" t="s">
        <v>318</v>
      </c>
    </row>
    <row r="49" spans="2:10" x14ac:dyDescent="0.2">
      <c r="B49" s="3" t="s">
        <v>1170</v>
      </c>
    </row>
    <row r="50" spans="2:10" x14ac:dyDescent="0.2">
      <c r="B50" s="3"/>
    </row>
    <row r="51" spans="2:10" x14ac:dyDescent="0.2">
      <c r="B51" s="71" t="s">
        <v>2228</v>
      </c>
    </row>
    <row r="52" spans="2:10" x14ac:dyDescent="0.2">
      <c r="B52" s="39" t="s">
        <v>322</v>
      </c>
      <c r="C52" s="60">
        <v>31</v>
      </c>
      <c r="D52" s="60">
        <v>41</v>
      </c>
      <c r="E52" s="60" t="s">
        <v>820</v>
      </c>
      <c r="G52" s="60" t="s">
        <v>1176</v>
      </c>
      <c r="J52" s="148" t="s">
        <v>324</v>
      </c>
    </row>
    <row r="53" spans="2:10" x14ac:dyDescent="0.2">
      <c r="B53" s="39" t="s">
        <v>325</v>
      </c>
      <c r="C53" s="60">
        <v>39</v>
      </c>
      <c r="D53" s="60">
        <v>43</v>
      </c>
      <c r="E53" s="60" t="s">
        <v>819</v>
      </c>
      <c r="G53" s="60" t="s">
        <v>1243</v>
      </c>
      <c r="I53" s="148"/>
      <c r="J53" s="148" t="s">
        <v>324</v>
      </c>
    </row>
    <row r="54" spans="2:10" x14ac:dyDescent="0.2">
      <c r="B54" s="39" t="s">
        <v>327</v>
      </c>
      <c r="C54" s="60">
        <v>27</v>
      </c>
      <c r="D54" s="60">
        <v>55</v>
      </c>
      <c r="E54" s="60" t="s">
        <v>820</v>
      </c>
      <c r="G54" s="60" t="s">
        <v>1243</v>
      </c>
      <c r="I54" s="148"/>
      <c r="J54" s="148" t="s">
        <v>324</v>
      </c>
    </row>
    <row r="55" spans="2:10" x14ac:dyDescent="0.2">
      <c r="B55" s="39" t="s">
        <v>330</v>
      </c>
      <c r="C55" s="60">
        <v>32</v>
      </c>
      <c r="D55" s="60">
        <v>50</v>
      </c>
      <c r="E55" s="60" t="s">
        <v>820</v>
      </c>
      <c r="G55" s="60" t="s">
        <v>1243</v>
      </c>
      <c r="I55" s="148"/>
      <c r="J55" s="148" t="s">
        <v>324</v>
      </c>
    </row>
    <row r="56" spans="2:10" x14ac:dyDescent="0.2">
      <c r="B56" s="39" t="s">
        <v>333</v>
      </c>
      <c r="C56" s="60">
        <v>33</v>
      </c>
      <c r="D56" s="60">
        <v>49</v>
      </c>
      <c r="E56" s="60" t="s">
        <v>765</v>
      </c>
      <c r="G56" s="60" t="s">
        <v>823</v>
      </c>
      <c r="I56" s="148"/>
      <c r="J56" s="148" t="s">
        <v>324</v>
      </c>
    </row>
    <row r="57" spans="2:10" x14ac:dyDescent="0.2">
      <c r="B57" s="39" t="s">
        <v>336</v>
      </c>
      <c r="C57" s="60">
        <v>29</v>
      </c>
      <c r="D57" s="60">
        <v>53</v>
      </c>
      <c r="E57" s="60" t="s">
        <v>758</v>
      </c>
      <c r="G57" s="60" t="s">
        <v>1833</v>
      </c>
      <c r="J57" s="148" t="s">
        <v>324</v>
      </c>
    </row>
    <row r="58" spans="2:10" x14ac:dyDescent="0.2">
      <c r="B58" s="39" t="s">
        <v>339</v>
      </c>
      <c r="C58" s="60">
        <v>28</v>
      </c>
      <c r="D58" s="60">
        <v>54</v>
      </c>
      <c r="E58" s="60" t="s">
        <v>758</v>
      </c>
      <c r="G58" s="60" t="s">
        <v>815</v>
      </c>
      <c r="J58" s="148" t="s">
        <v>324</v>
      </c>
    </row>
    <row r="59" spans="2:10" x14ac:dyDescent="0.2">
      <c r="B59" s="39" t="s">
        <v>342</v>
      </c>
      <c r="C59" s="60">
        <v>28</v>
      </c>
      <c r="D59" s="60">
        <v>54</v>
      </c>
      <c r="E59" s="60" t="s">
        <v>758</v>
      </c>
      <c r="G59" s="60" t="s">
        <v>952</v>
      </c>
      <c r="J59" s="148" t="s">
        <v>324</v>
      </c>
    </row>
    <row r="60" spans="2:10" x14ac:dyDescent="0.2">
      <c r="B60" s="39" t="s">
        <v>346</v>
      </c>
      <c r="C60" s="60">
        <v>22</v>
      </c>
      <c r="D60" s="60">
        <v>44</v>
      </c>
      <c r="E60" s="60" t="s">
        <v>757</v>
      </c>
      <c r="G60" s="60" t="s">
        <v>1834</v>
      </c>
      <c r="J60" s="148" t="s">
        <v>324</v>
      </c>
    </row>
    <row r="61" spans="2:10" x14ac:dyDescent="0.2">
      <c r="B61" s="39" t="s">
        <v>348</v>
      </c>
      <c r="C61" s="60">
        <v>24</v>
      </c>
      <c r="D61" s="60">
        <v>58</v>
      </c>
      <c r="E61" s="60" t="s">
        <v>757</v>
      </c>
      <c r="G61" s="60" t="s">
        <v>1835</v>
      </c>
      <c r="J61" s="148" t="s">
        <v>324</v>
      </c>
    </row>
    <row r="62" spans="2:10" x14ac:dyDescent="0.2">
      <c r="B62" s="60" t="s">
        <v>350</v>
      </c>
      <c r="C62" s="60">
        <f>SUM(C52:C61)</f>
        <v>293</v>
      </c>
      <c r="D62" s="60">
        <f>SUM(D52:D61)</f>
        <v>501</v>
      </c>
      <c r="E62" s="65">
        <f>C62/(C62+D62)</f>
        <v>0.36901763224181361</v>
      </c>
    </row>
  </sheetData>
  <hyperlinks>
    <hyperlink ref="B52" r:id="rId1" xr:uid="{7B1F5C18-0180-1F41-8C1F-6AEE50AA6521}"/>
    <hyperlink ref="B53" r:id="rId2" xr:uid="{A93D6E49-5D84-6641-B54E-EB3A4B6C7BF9}"/>
    <hyperlink ref="B54" r:id="rId3" xr:uid="{D627D342-E8F3-4C46-A3FA-2C3D92A237F1}"/>
    <hyperlink ref="B55" r:id="rId4" xr:uid="{F88E6DD1-EE4A-6B46-A489-274F86A2F0BE}"/>
    <hyperlink ref="B56" r:id="rId5" xr:uid="{01AECD6D-DE00-6241-8967-E5C9DE05E0AC}"/>
    <hyperlink ref="B57" r:id="rId6" xr:uid="{96B228E8-240A-7344-9B51-49C42C79768F}"/>
    <hyperlink ref="B58" r:id="rId7" xr:uid="{754B1F49-397D-3047-99D8-EBA8857B0001}"/>
    <hyperlink ref="B59" r:id="rId8" xr:uid="{65EC765E-F0A0-6F46-84F9-511505DA2CFD}"/>
    <hyperlink ref="B60" r:id="rId9" xr:uid="{5CA2DEC5-4F32-B644-B991-3F8BAE2C3BAD}"/>
    <hyperlink ref="B61" r:id="rId10" xr:uid="{922F0C25-F03F-D244-B613-CE25FF87CA72}"/>
  </hyperlinks>
  <pageMargins left="0.7" right="0.7" top="0.75" bottom="0.75" header="0.3" footer="0.3"/>
  <ignoredErrors>
    <ignoredError sqref="J29" formulaRange="1"/>
  </ignoredErrors>
  <legacyDrawing r:id="rId1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DEA51-78A8-8C4B-8469-4637F8768B6A}">
  <dimension ref="A1:AR96"/>
  <sheetViews>
    <sheetView zoomScaleNormal="100" workbookViewId="0">
      <selection sqref="A1:AR1"/>
    </sheetView>
  </sheetViews>
  <sheetFormatPr baseColWidth="10" defaultColWidth="11" defaultRowHeight="16" x14ac:dyDescent="0.2"/>
  <cols>
    <col min="1" max="1" width="3.5" customWidth="1"/>
    <col min="2" max="2" width="22.5" customWidth="1"/>
    <col min="3" max="3" width="12.83203125" customWidth="1"/>
    <col min="4" max="4" width="7.1640625" customWidth="1"/>
    <col min="6" max="6" width="7.6640625" customWidth="1"/>
    <col min="7" max="7" width="11" bestFit="1" customWidth="1"/>
    <col min="8" max="8" width="6.1640625" customWidth="1"/>
    <col min="9" max="9" width="20.83203125" customWidth="1"/>
    <col min="10" max="10" width="10.6640625" customWidth="1"/>
    <col min="11" max="11" width="11.5" customWidth="1"/>
    <col min="12" max="12" width="4.6640625" customWidth="1"/>
    <col min="13" max="13" width="25.83203125" customWidth="1"/>
    <col min="14" max="14" width="15.33203125" customWidth="1"/>
    <col min="15" max="15" width="47.1640625" customWidth="1"/>
    <col min="16" max="16" width="13.33203125" bestFit="1" customWidth="1"/>
    <col min="17" max="20" width="12.33203125" bestFit="1" customWidth="1"/>
    <col min="21" max="21" width="5.33203125" customWidth="1"/>
    <col min="22" max="22" width="58.83203125" customWidth="1"/>
    <col min="23" max="23" width="21.1640625" customWidth="1"/>
    <col min="24" max="24" width="9.83203125" customWidth="1"/>
    <col min="25" max="25" width="3.6640625" customWidth="1"/>
    <col min="26" max="26" width="7.83203125" customWidth="1"/>
    <col min="27" max="28" width="5.83203125" customWidth="1"/>
    <col min="29" max="29" width="7.5" customWidth="1"/>
    <col min="30" max="30" width="5.1640625" customWidth="1"/>
    <col min="31" max="31" width="4.83203125" customWidth="1"/>
    <col min="32" max="32" width="6.33203125" customWidth="1"/>
    <col min="33" max="33" width="7.6640625" customWidth="1"/>
    <col min="34" max="34" width="4.83203125" customWidth="1"/>
    <col min="35" max="35" width="5" customWidth="1"/>
    <col min="36" max="36" width="7" customWidth="1"/>
    <col min="37" max="37" width="6.1640625" customWidth="1"/>
    <col min="38" max="38" width="6" customWidth="1"/>
    <col min="39" max="39" width="5.6640625" customWidth="1"/>
    <col min="40" max="40" width="4.6640625" customWidth="1"/>
  </cols>
  <sheetData>
    <row r="1" spans="1:44" x14ac:dyDescent="0.2">
      <c r="A1" s="223" t="s">
        <v>2394</v>
      </c>
      <c r="B1" s="223" t="s">
        <v>2395</v>
      </c>
      <c r="C1" s="223" t="s">
        <v>2396</v>
      </c>
      <c r="D1" s="223" t="s">
        <v>2397</v>
      </c>
      <c r="E1" s="223" t="s">
        <v>2398</v>
      </c>
      <c r="F1" s="223" t="s">
        <v>2399</v>
      </c>
      <c r="G1" s="223" t="s">
        <v>2400</v>
      </c>
      <c r="H1" s="223" t="s">
        <v>2401</v>
      </c>
      <c r="I1" s="223" t="s">
        <v>2402</v>
      </c>
      <c r="J1" s="223" t="s">
        <v>2403</v>
      </c>
      <c r="K1" s="223" t="s">
        <v>2404</v>
      </c>
      <c r="L1" s="223" t="s">
        <v>2405</v>
      </c>
      <c r="M1" s="223" t="s">
        <v>2406</v>
      </c>
      <c r="N1" s="223" t="s">
        <v>2407</v>
      </c>
      <c r="O1" s="223" t="s">
        <v>2408</v>
      </c>
      <c r="P1" s="223" t="s">
        <v>2409</v>
      </c>
      <c r="Q1" s="223" t="s">
        <v>2410</v>
      </c>
      <c r="R1" s="223" t="s">
        <v>2411</v>
      </c>
      <c r="S1" s="223" t="s">
        <v>2412</v>
      </c>
      <c r="T1" s="223" t="s">
        <v>2413</v>
      </c>
      <c r="U1" s="223" t="s">
        <v>2414</v>
      </c>
      <c r="V1" s="223" t="s">
        <v>2415</v>
      </c>
      <c r="W1" s="223" t="s">
        <v>2416</v>
      </c>
      <c r="X1" s="223" t="s">
        <v>2433</v>
      </c>
      <c r="Y1" s="223" t="s">
        <v>2417</v>
      </c>
      <c r="Z1" s="223" t="s">
        <v>2418</v>
      </c>
      <c r="AA1" s="223" t="s">
        <v>2419</v>
      </c>
      <c r="AB1" s="223" t="s">
        <v>2420</v>
      </c>
      <c r="AC1" s="223" t="s">
        <v>2421</v>
      </c>
      <c r="AD1" s="223" t="s">
        <v>2422</v>
      </c>
      <c r="AE1" s="223" t="s">
        <v>2423</v>
      </c>
      <c r="AF1" s="223" t="s">
        <v>2424</v>
      </c>
      <c r="AG1" s="223" t="s">
        <v>2425</v>
      </c>
      <c r="AH1" s="223" t="s">
        <v>2426</v>
      </c>
      <c r="AI1" s="223" t="s">
        <v>2427</v>
      </c>
      <c r="AJ1" s="223" t="s">
        <v>2428</v>
      </c>
      <c r="AK1" s="223" t="s">
        <v>2429</v>
      </c>
      <c r="AL1" s="223" t="s">
        <v>2430</v>
      </c>
      <c r="AM1" s="223" t="s">
        <v>2431</v>
      </c>
      <c r="AN1" s="223" t="s">
        <v>2432</v>
      </c>
      <c r="AO1" s="224"/>
      <c r="AP1" s="225"/>
      <c r="AQ1" s="6"/>
      <c r="AR1" s="6"/>
    </row>
    <row r="2" spans="1:44" x14ac:dyDescent="0.2">
      <c r="A2" s="3">
        <v>10</v>
      </c>
      <c r="B2" s="3" t="s">
        <v>164</v>
      </c>
      <c r="C2" s="3" t="s">
        <v>244</v>
      </c>
      <c r="D2" s="108">
        <v>66</v>
      </c>
      <c r="E2" s="108">
        <v>69</v>
      </c>
      <c r="F2" s="109">
        <v>220</v>
      </c>
      <c r="G2" s="4">
        <v>32727</v>
      </c>
      <c r="H2" s="113">
        <f ca="1">ROUNDDOWN(YEARFRAC($G$24,G2),1)</f>
        <v>31.2</v>
      </c>
      <c r="I2" s="3" t="s">
        <v>226</v>
      </c>
      <c r="J2" s="3">
        <v>12</v>
      </c>
      <c r="K2" s="3">
        <v>2009</v>
      </c>
      <c r="L2" s="3">
        <v>9</v>
      </c>
      <c r="M2" s="3" t="s">
        <v>1836</v>
      </c>
      <c r="N2" s="3" t="s">
        <v>1837</v>
      </c>
      <c r="O2" s="163" t="s">
        <v>1838</v>
      </c>
      <c r="P2" s="48">
        <v>27739975</v>
      </c>
      <c r="Q2" s="14">
        <v>41609963</v>
      </c>
      <c r="R2" s="3"/>
      <c r="S2" s="3"/>
      <c r="T2" s="3"/>
      <c r="U2" s="3"/>
      <c r="V2" s="70" t="s">
        <v>1839</v>
      </c>
      <c r="W2" s="70" t="s">
        <v>1840</v>
      </c>
      <c r="X2" s="104">
        <v>3</v>
      </c>
      <c r="Y2" s="104">
        <v>61</v>
      </c>
      <c r="Z2" s="173">
        <f>26/61</f>
        <v>0.42622950819672129</v>
      </c>
      <c r="AA2" s="172">
        <v>111.3</v>
      </c>
      <c r="AB2" s="172">
        <v>113.9</v>
      </c>
      <c r="AC2" s="172">
        <f t="shared" ref="AC2:AC10" si="0">AA2-AB2</f>
        <v>-2.6000000000000085</v>
      </c>
      <c r="AD2" s="172">
        <v>34.299999999999997</v>
      </c>
      <c r="AE2" s="172">
        <v>21.3</v>
      </c>
      <c r="AF2" s="173">
        <v>0.59699999999999998</v>
      </c>
      <c r="AG2" s="172">
        <v>26.6</v>
      </c>
      <c r="AH2" s="172">
        <v>5.0999999999999996</v>
      </c>
      <c r="AI2" s="172">
        <v>1.1000000000000001</v>
      </c>
      <c r="AJ2" s="173">
        <v>0.14299999999999999</v>
      </c>
      <c r="AK2" s="172">
        <v>2.1</v>
      </c>
      <c r="AL2" s="172">
        <v>-0.5</v>
      </c>
      <c r="AM2" s="172">
        <v>1.9</v>
      </c>
      <c r="AN2" s="172">
        <v>13.9</v>
      </c>
    </row>
    <row r="3" spans="1:44" x14ac:dyDescent="0.2">
      <c r="A3" s="3">
        <v>12</v>
      </c>
      <c r="B3" s="3" t="s">
        <v>1841</v>
      </c>
      <c r="C3" s="3" t="s">
        <v>236</v>
      </c>
      <c r="D3" s="108">
        <v>611</v>
      </c>
      <c r="E3" s="108">
        <v>75</v>
      </c>
      <c r="F3" s="109">
        <v>250</v>
      </c>
      <c r="G3" s="4">
        <v>31247</v>
      </c>
      <c r="H3" s="113">
        <f t="shared" ref="H3:H13" ca="1" si="1">ROUNDDOWN(YEARFRAC($G$24,G3),1)</f>
        <v>35.200000000000003</v>
      </c>
      <c r="I3" s="3" t="s">
        <v>424</v>
      </c>
      <c r="J3" s="3">
        <v>15</v>
      </c>
      <c r="K3" s="3">
        <v>2006</v>
      </c>
      <c r="L3" s="3">
        <v>2</v>
      </c>
      <c r="M3" s="3" t="s">
        <v>1842</v>
      </c>
      <c r="N3" s="3" t="s">
        <v>5</v>
      </c>
      <c r="O3" s="3" t="s">
        <v>2157</v>
      </c>
      <c r="P3" s="11">
        <v>24000000</v>
      </c>
      <c r="Q3" s="14">
        <f>P3*1.5</f>
        <v>36000000</v>
      </c>
      <c r="R3" s="3"/>
      <c r="S3" s="3"/>
      <c r="T3" s="3"/>
      <c r="U3" s="3"/>
      <c r="V3" s="70" t="s">
        <v>355</v>
      </c>
      <c r="W3" s="70" t="s">
        <v>1843</v>
      </c>
      <c r="X3" s="104">
        <v>5</v>
      </c>
      <c r="Y3" s="104">
        <v>53</v>
      </c>
      <c r="Z3" s="173">
        <f>23/53</f>
        <v>0.43396226415094341</v>
      </c>
      <c r="AA3" s="172">
        <v>110.2</v>
      </c>
      <c r="AB3" s="172">
        <v>113.4</v>
      </c>
      <c r="AC3" s="172">
        <f t="shared" si="0"/>
        <v>-3.2000000000000028</v>
      </c>
      <c r="AD3" s="172">
        <v>33.1</v>
      </c>
      <c r="AE3" s="172">
        <v>19.8</v>
      </c>
      <c r="AF3" s="173">
        <v>0.57099999999999995</v>
      </c>
      <c r="AG3" s="172">
        <v>23.6</v>
      </c>
      <c r="AH3" s="172">
        <v>3.1</v>
      </c>
      <c r="AI3" s="172">
        <v>1.4</v>
      </c>
      <c r="AJ3" s="173">
        <v>0.122</v>
      </c>
      <c r="AK3" s="172">
        <v>1.8</v>
      </c>
      <c r="AL3" s="172">
        <v>-0.5</v>
      </c>
      <c r="AM3" s="172">
        <v>1.5</v>
      </c>
      <c r="AN3" s="172">
        <v>12</v>
      </c>
    </row>
    <row r="4" spans="1:44" x14ac:dyDescent="0.2">
      <c r="A4" s="3">
        <v>22</v>
      </c>
      <c r="B4" s="3" t="s">
        <v>217</v>
      </c>
      <c r="C4" s="3" t="s">
        <v>236</v>
      </c>
      <c r="D4" s="108">
        <v>68</v>
      </c>
      <c r="E4" s="108">
        <v>73</v>
      </c>
      <c r="F4" s="109">
        <v>250</v>
      </c>
      <c r="G4" s="4">
        <v>31641</v>
      </c>
      <c r="H4" s="113">
        <f t="shared" ca="1" si="1"/>
        <v>34.1</v>
      </c>
      <c r="I4" s="3" t="s">
        <v>352</v>
      </c>
      <c r="J4" s="3">
        <v>15</v>
      </c>
      <c r="K4" s="3">
        <v>2006</v>
      </c>
      <c r="L4" s="3">
        <v>8</v>
      </c>
      <c r="M4" s="3" t="s">
        <v>841</v>
      </c>
      <c r="N4" s="3" t="s">
        <v>5</v>
      </c>
      <c r="O4" s="3" t="s">
        <v>2158</v>
      </c>
      <c r="P4" s="11">
        <v>14500000</v>
      </c>
      <c r="Q4" s="14">
        <f>P4*1.5</f>
        <v>21750000</v>
      </c>
      <c r="R4" s="3"/>
      <c r="S4" s="3"/>
      <c r="T4" s="3"/>
      <c r="U4" s="3"/>
      <c r="V4" s="70" t="s">
        <v>1844</v>
      </c>
      <c r="W4" s="70" t="s">
        <v>1845</v>
      </c>
      <c r="X4" s="104">
        <v>4</v>
      </c>
      <c r="Y4" s="104">
        <v>60</v>
      </c>
      <c r="Z4" s="173">
        <f>25/60</f>
        <v>0.41666666666666669</v>
      </c>
      <c r="AA4" s="172">
        <v>107.6</v>
      </c>
      <c r="AB4" s="172">
        <v>108.5</v>
      </c>
      <c r="AC4" s="172">
        <f t="shared" si="0"/>
        <v>-0.90000000000000568</v>
      </c>
      <c r="AD4" s="172">
        <v>21.5</v>
      </c>
      <c r="AE4" s="172">
        <v>14.4</v>
      </c>
      <c r="AF4" s="173">
        <v>0.54500000000000004</v>
      </c>
      <c r="AG4" s="172">
        <v>21.3</v>
      </c>
      <c r="AH4" s="172">
        <v>0.6</v>
      </c>
      <c r="AI4" s="172">
        <v>0.9</v>
      </c>
      <c r="AJ4" s="173">
        <v>5.3999999999999999E-2</v>
      </c>
      <c r="AK4" s="172">
        <v>-0.5</v>
      </c>
      <c r="AL4" s="172">
        <v>-1</v>
      </c>
      <c r="AM4" s="172">
        <v>0.2</v>
      </c>
      <c r="AN4" s="172">
        <v>10.7</v>
      </c>
    </row>
    <row r="5" spans="1:44" x14ac:dyDescent="0.2">
      <c r="A5" s="3">
        <v>5</v>
      </c>
      <c r="B5" s="3" t="s">
        <v>1859</v>
      </c>
      <c r="C5" s="3" t="s">
        <v>250</v>
      </c>
      <c r="D5" s="108">
        <v>64</v>
      </c>
      <c r="E5" s="108">
        <v>70</v>
      </c>
      <c r="F5" s="109">
        <v>180</v>
      </c>
      <c r="G5" s="4">
        <v>35327</v>
      </c>
      <c r="H5" s="113">
        <f t="shared" ca="1" si="1"/>
        <v>24</v>
      </c>
      <c r="I5" s="3" t="s">
        <v>1389</v>
      </c>
      <c r="J5" s="3">
        <v>5</v>
      </c>
      <c r="K5" s="3">
        <v>2016</v>
      </c>
      <c r="L5" s="3">
        <v>29</v>
      </c>
      <c r="M5" s="3" t="s">
        <v>1860</v>
      </c>
      <c r="N5" s="3" t="s">
        <v>1</v>
      </c>
      <c r="O5" s="3" t="s">
        <v>2159</v>
      </c>
      <c r="P5" s="11">
        <v>14285714</v>
      </c>
      <c r="Q5" s="11">
        <v>15428571</v>
      </c>
      <c r="R5" s="11">
        <v>16571428</v>
      </c>
      <c r="S5" s="11">
        <v>17714285</v>
      </c>
      <c r="T5" s="14">
        <f>S5*1.5</f>
        <v>26571427.5</v>
      </c>
      <c r="U5" s="3"/>
      <c r="V5" s="70"/>
      <c r="W5" s="70" t="s">
        <v>1861</v>
      </c>
      <c r="X5" s="104">
        <v>1</v>
      </c>
      <c r="Y5" s="104">
        <v>58</v>
      </c>
      <c r="Z5" s="173">
        <f>24/58</f>
        <v>0.41379310344827586</v>
      </c>
      <c r="AA5" s="172">
        <v>108.7</v>
      </c>
      <c r="AB5" s="172">
        <v>113.8</v>
      </c>
      <c r="AC5" s="172">
        <f t="shared" si="0"/>
        <v>-5.0999999999999943</v>
      </c>
      <c r="AD5" s="172">
        <v>25</v>
      </c>
      <c r="AE5" s="172">
        <v>17.100000000000001</v>
      </c>
      <c r="AF5" s="173">
        <v>0.53500000000000003</v>
      </c>
      <c r="AG5" s="172">
        <v>20.6</v>
      </c>
      <c r="AH5" s="172">
        <v>0.9</v>
      </c>
      <c r="AI5" s="172">
        <v>1.7</v>
      </c>
      <c r="AJ5" s="173">
        <v>8.6999999999999994E-2</v>
      </c>
      <c r="AK5" s="172">
        <v>-0.5</v>
      </c>
      <c r="AL5" s="172">
        <v>1.5</v>
      </c>
      <c r="AM5" s="172">
        <v>1.1000000000000001</v>
      </c>
      <c r="AN5" s="172">
        <v>11.4</v>
      </c>
    </row>
    <row r="6" spans="1:44" x14ac:dyDescent="0.2">
      <c r="A6" s="3">
        <v>8</v>
      </c>
      <c r="B6" s="3" t="s">
        <v>218</v>
      </c>
      <c r="C6" s="3" t="s">
        <v>232</v>
      </c>
      <c r="D6" s="108">
        <v>61</v>
      </c>
      <c r="E6" s="108">
        <v>62</v>
      </c>
      <c r="F6" s="109">
        <v>180</v>
      </c>
      <c r="G6" s="4">
        <v>32366</v>
      </c>
      <c r="H6" s="113">
        <f t="shared" ca="1" si="1"/>
        <v>32.200000000000003</v>
      </c>
      <c r="I6" s="3" t="s">
        <v>639</v>
      </c>
      <c r="J6" s="3">
        <v>12</v>
      </c>
      <c r="K6" s="3">
        <v>2009</v>
      </c>
      <c r="L6" s="3">
        <v>55</v>
      </c>
      <c r="M6" s="3" t="s">
        <v>1846</v>
      </c>
      <c r="N6" s="3" t="s">
        <v>1</v>
      </c>
      <c r="O6" s="3" t="s">
        <v>2160</v>
      </c>
      <c r="P6" s="11">
        <v>13285714</v>
      </c>
      <c r="Q6" s="14">
        <f>P6*1.5</f>
        <v>19928571</v>
      </c>
      <c r="R6" s="3"/>
      <c r="S6" s="3"/>
      <c r="T6" s="3"/>
      <c r="U6" s="3"/>
      <c r="V6" s="70" t="s">
        <v>1847</v>
      </c>
      <c r="W6" s="98" t="s">
        <v>291</v>
      </c>
      <c r="X6" s="104">
        <v>1</v>
      </c>
      <c r="Y6" s="104">
        <v>63</v>
      </c>
      <c r="Z6" s="173">
        <f>27/63</f>
        <v>0.42857142857142855</v>
      </c>
      <c r="AA6" s="172">
        <v>112.5</v>
      </c>
      <c r="AB6" s="172">
        <v>108.9</v>
      </c>
      <c r="AC6" s="172">
        <f t="shared" si="0"/>
        <v>3.5999999999999943</v>
      </c>
      <c r="AD6" s="172">
        <v>22.7</v>
      </c>
      <c r="AE6" s="172">
        <v>14.7</v>
      </c>
      <c r="AF6" s="173">
        <v>0.58899999999999997</v>
      </c>
      <c r="AG6" s="172">
        <v>20.5</v>
      </c>
      <c r="AH6" s="172">
        <v>2.1</v>
      </c>
      <c r="AI6" s="172">
        <v>0.5</v>
      </c>
      <c r="AJ6" s="173">
        <v>8.5999999999999993E-2</v>
      </c>
      <c r="AK6" s="172">
        <v>1.1000000000000001</v>
      </c>
      <c r="AL6" s="172">
        <v>-1.2</v>
      </c>
      <c r="AM6" s="172">
        <v>0.7</v>
      </c>
      <c r="AN6" s="172">
        <v>8.1999999999999993</v>
      </c>
    </row>
    <row r="7" spans="1:44" x14ac:dyDescent="0.2">
      <c r="A7" s="3">
        <v>41</v>
      </c>
      <c r="B7" s="3" t="s">
        <v>166</v>
      </c>
      <c r="C7" s="3" t="s">
        <v>236</v>
      </c>
      <c r="D7" s="108">
        <v>69</v>
      </c>
      <c r="E7" s="108">
        <v>74</v>
      </c>
      <c r="F7" s="109">
        <v>234</v>
      </c>
      <c r="G7" s="4">
        <v>35008</v>
      </c>
      <c r="H7" s="113">
        <f t="shared" ca="1" si="1"/>
        <v>24.9</v>
      </c>
      <c r="I7" s="3" t="s">
        <v>270</v>
      </c>
      <c r="J7" s="3">
        <v>6</v>
      </c>
      <c r="K7" s="3">
        <v>2015</v>
      </c>
      <c r="L7" s="3">
        <v>12</v>
      </c>
      <c r="M7" s="3" t="s">
        <v>1673</v>
      </c>
      <c r="N7" s="3" t="s">
        <v>521</v>
      </c>
      <c r="O7" s="163" t="s">
        <v>1850</v>
      </c>
      <c r="P7" s="15">
        <v>5500000</v>
      </c>
      <c r="Q7" s="14">
        <f>P7*1.3</f>
        <v>7150000</v>
      </c>
      <c r="R7" s="3"/>
      <c r="S7" s="3"/>
      <c r="T7" s="3"/>
      <c r="U7" s="3"/>
      <c r="V7" s="70"/>
      <c r="W7" s="70" t="s">
        <v>1851</v>
      </c>
      <c r="X7" s="104">
        <v>4</v>
      </c>
      <c r="Y7" s="104">
        <v>63</v>
      </c>
      <c r="Z7" s="173">
        <f>27/63</f>
        <v>0.42857142857142855</v>
      </c>
      <c r="AA7" s="172">
        <v>111.3</v>
      </c>
      <c r="AB7" s="172">
        <v>113.7</v>
      </c>
      <c r="AC7" s="172">
        <f t="shared" si="0"/>
        <v>-2.4000000000000057</v>
      </c>
      <c r="AD7" s="172">
        <v>20.2</v>
      </c>
      <c r="AE7" s="172">
        <v>12.7</v>
      </c>
      <c r="AF7" s="173">
        <v>0.55700000000000005</v>
      </c>
      <c r="AG7" s="172">
        <v>13.7</v>
      </c>
      <c r="AH7" s="172">
        <v>1.2</v>
      </c>
      <c r="AI7" s="172">
        <v>1</v>
      </c>
      <c r="AJ7" s="173">
        <v>8.1000000000000003E-2</v>
      </c>
      <c r="AK7" s="172">
        <v>-0.5</v>
      </c>
      <c r="AL7" s="172">
        <v>-0.7</v>
      </c>
      <c r="AM7" s="172">
        <v>0.2</v>
      </c>
      <c r="AN7" s="172">
        <v>8.8000000000000007</v>
      </c>
    </row>
    <row r="8" spans="1:44" x14ac:dyDescent="0.2">
      <c r="A8" s="3">
        <v>4</v>
      </c>
      <c r="B8" s="3" t="s">
        <v>1865</v>
      </c>
      <c r="C8" s="3" t="s">
        <v>232</v>
      </c>
      <c r="D8" s="108">
        <v>64</v>
      </c>
      <c r="E8" s="108">
        <v>68</v>
      </c>
      <c r="F8" s="109">
        <v>190</v>
      </c>
      <c r="G8" s="4">
        <v>34517</v>
      </c>
      <c r="H8" s="113">
        <f t="shared" ca="1" si="1"/>
        <v>26.3</v>
      </c>
      <c r="I8" s="3" t="s">
        <v>429</v>
      </c>
      <c r="J8" s="3">
        <v>4</v>
      </c>
      <c r="K8" s="3">
        <v>2017</v>
      </c>
      <c r="L8" s="3">
        <v>29</v>
      </c>
      <c r="M8" s="3" t="s">
        <v>1866</v>
      </c>
      <c r="N8" s="3" t="s">
        <v>247</v>
      </c>
      <c r="O8" s="3" t="s">
        <v>2161</v>
      </c>
      <c r="P8" s="11">
        <v>3516284</v>
      </c>
      <c r="Q8" s="50">
        <f>P8*3</f>
        <v>10548852</v>
      </c>
      <c r="R8" s="3"/>
      <c r="S8" s="3"/>
      <c r="T8" s="3"/>
      <c r="U8" s="3"/>
      <c r="V8" s="70"/>
      <c r="W8" s="70" t="s">
        <v>1867</v>
      </c>
      <c r="X8" s="104">
        <v>2</v>
      </c>
      <c r="Y8" s="104">
        <v>61</v>
      </c>
      <c r="Z8" s="173">
        <f>27/61</f>
        <v>0.44262295081967212</v>
      </c>
      <c r="AA8" s="172">
        <v>109.1</v>
      </c>
      <c r="AB8" s="172">
        <v>109.4</v>
      </c>
      <c r="AC8" s="172">
        <f t="shared" si="0"/>
        <v>-0.30000000000001137</v>
      </c>
      <c r="AD8" s="172">
        <v>24.1</v>
      </c>
      <c r="AE8" s="172">
        <v>15.9</v>
      </c>
      <c r="AF8" s="173">
        <v>0.58499999999999996</v>
      </c>
      <c r="AG8" s="172">
        <v>18.2</v>
      </c>
      <c r="AH8" s="172">
        <v>2.5</v>
      </c>
      <c r="AI8" s="172">
        <v>0.9</v>
      </c>
      <c r="AJ8" s="173">
        <v>0.11</v>
      </c>
      <c r="AK8" s="172">
        <v>0.7</v>
      </c>
      <c r="AL8" s="172">
        <v>0.2</v>
      </c>
      <c r="AM8" s="172">
        <v>1.1000000000000001</v>
      </c>
      <c r="AN8" s="172">
        <v>9.8000000000000007</v>
      </c>
    </row>
    <row r="9" spans="1:44" x14ac:dyDescent="0.2">
      <c r="A9" s="3">
        <v>1</v>
      </c>
      <c r="B9" s="3" t="s">
        <v>1854</v>
      </c>
      <c r="C9" s="3" t="s">
        <v>255</v>
      </c>
      <c r="D9" s="108">
        <v>65</v>
      </c>
      <c r="E9" s="108">
        <v>610</v>
      </c>
      <c r="F9" s="109">
        <v>204</v>
      </c>
      <c r="G9" s="4">
        <v>36143</v>
      </c>
      <c r="H9" s="113">
        <f t="shared" ca="1" si="1"/>
        <v>21.8</v>
      </c>
      <c r="I9" s="3" t="s">
        <v>676</v>
      </c>
      <c r="J9" s="3">
        <v>3</v>
      </c>
      <c r="K9" s="3">
        <v>2018</v>
      </c>
      <c r="L9" s="3">
        <v>18</v>
      </c>
      <c r="M9" s="3" t="s">
        <v>1855</v>
      </c>
      <c r="N9" s="3" t="s">
        <v>247</v>
      </c>
      <c r="O9" s="3" t="s">
        <v>2162</v>
      </c>
      <c r="P9" s="11">
        <v>2892000</v>
      </c>
      <c r="Q9" s="11">
        <v>4447896</v>
      </c>
      <c r="R9" s="50">
        <f>Q9*3</f>
        <v>13343688</v>
      </c>
      <c r="S9" s="3"/>
      <c r="T9" s="3"/>
      <c r="U9" s="3"/>
      <c r="V9" s="70"/>
      <c r="W9" s="70" t="s">
        <v>1856</v>
      </c>
      <c r="X9" s="104">
        <v>3</v>
      </c>
      <c r="Y9" s="104">
        <v>53</v>
      </c>
      <c r="Z9" s="173">
        <f>24/53</f>
        <v>0.45283018867924529</v>
      </c>
      <c r="AA9" s="172">
        <v>108</v>
      </c>
      <c r="AB9" s="172">
        <v>109.4</v>
      </c>
      <c r="AC9" s="172">
        <f t="shared" si="0"/>
        <v>-1.4000000000000057</v>
      </c>
      <c r="AD9" s="172">
        <v>14.5</v>
      </c>
      <c r="AE9" s="172">
        <v>11</v>
      </c>
      <c r="AF9" s="173">
        <v>0.51500000000000001</v>
      </c>
      <c r="AG9" s="172">
        <v>18.2</v>
      </c>
      <c r="AH9" s="172">
        <v>0</v>
      </c>
      <c r="AI9" s="172">
        <v>0.5</v>
      </c>
      <c r="AJ9" s="173">
        <v>2.8000000000000001E-2</v>
      </c>
      <c r="AK9" s="172">
        <v>-2.5</v>
      </c>
      <c r="AL9" s="172">
        <v>-0.7</v>
      </c>
      <c r="AM9" s="172">
        <v>-0.2</v>
      </c>
      <c r="AN9" s="172">
        <v>6.8</v>
      </c>
    </row>
    <row r="10" spans="1:44" x14ac:dyDescent="0.2">
      <c r="A10" s="3">
        <v>19</v>
      </c>
      <c r="B10" s="3" t="s">
        <v>1857</v>
      </c>
      <c r="C10" s="3" t="s">
        <v>236</v>
      </c>
      <c r="D10" s="108">
        <v>610</v>
      </c>
      <c r="E10" s="108">
        <v>611</v>
      </c>
      <c r="F10" s="109">
        <v>227</v>
      </c>
      <c r="G10" s="4">
        <v>36534</v>
      </c>
      <c r="H10" s="113">
        <f t="shared" ca="1" si="1"/>
        <v>20.7</v>
      </c>
      <c r="I10" s="3" t="s">
        <v>1252</v>
      </c>
      <c r="J10" s="3">
        <v>2</v>
      </c>
      <c r="K10" s="3">
        <v>2019</v>
      </c>
      <c r="L10" s="3">
        <v>19</v>
      </c>
      <c r="M10" s="3" t="s">
        <v>1858</v>
      </c>
      <c r="N10" s="3" t="s">
        <v>247</v>
      </c>
      <c r="O10" s="11" t="s">
        <v>2163</v>
      </c>
      <c r="P10" s="11">
        <v>2824320</v>
      </c>
      <c r="Q10" s="51">
        <v>2959080</v>
      </c>
      <c r="R10" s="51">
        <v>4556983</v>
      </c>
      <c r="S10" s="50">
        <f>R10*3</f>
        <v>13670949</v>
      </c>
      <c r="T10" s="3"/>
      <c r="U10" s="3"/>
      <c r="V10" s="70"/>
      <c r="W10" s="98" t="s">
        <v>240</v>
      </c>
      <c r="X10" s="104">
        <v>5</v>
      </c>
      <c r="Y10" s="104">
        <v>1</v>
      </c>
      <c r="Z10" s="173">
        <f>0/1</f>
        <v>0</v>
      </c>
      <c r="AA10" s="172">
        <v>100</v>
      </c>
      <c r="AB10" s="172">
        <v>73.099999999999994</v>
      </c>
      <c r="AC10" s="172">
        <f t="shared" si="0"/>
        <v>26.900000000000006</v>
      </c>
      <c r="AD10" s="172">
        <v>12</v>
      </c>
      <c r="AE10" s="172">
        <v>-3.4</v>
      </c>
      <c r="AF10" s="173">
        <v>0</v>
      </c>
      <c r="AG10" s="172">
        <v>14.5</v>
      </c>
      <c r="AH10" s="172">
        <v>-0.1</v>
      </c>
      <c r="AI10" s="172">
        <v>0</v>
      </c>
      <c r="AJ10" s="173">
        <v>-0.252</v>
      </c>
      <c r="AK10" s="172">
        <v>-7.4</v>
      </c>
      <c r="AL10" s="172">
        <v>-4.5</v>
      </c>
      <c r="AM10" s="172">
        <v>0</v>
      </c>
      <c r="AN10" s="172">
        <v>2.5</v>
      </c>
    </row>
    <row r="11" spans="1:44" x14ac:dyDescent="0.2">
      <c r="A11" s="3">
        <v>40</v>
      </c>
      <c r="B11" s="3" t="s">
        <v>2052</v>
      </c>
      <c r="C11" s="3" t="s">
        <v>236</v>
      </c>
      <c r="D11" s="108">
        <v>70</v>
      </c>
      <c r="E11" s="108">
        <v>70</v>
      </c>
      <c r="F11" s="109">
        <v>252</v>
      </c>
      <c r="G11" s="4">
        <v>32890</v>
      </c>
      <c r="H11" s="113">
        <f t="shared" ca="1" si="1"/>
        <v>30.7</v>
      </c>
      <c r="I11" s="3" t="s">
        <v>281</v>
      </c>
      <c r="J11" s="3">
        <v>9</v>
      </c>
      <c r="K11" s="3">
        <v>2012</v>
      </c>
      <c r="L11" s="3">
        <v>17</v>
      </c>
      <c r="M11" s="3" t="s">
        <v>2054</v>
      </c>
      <c r="N11" s="3" t="s">
        <v>282</v>
      </c>
      <c r="O11" s="163" t="s">
        <v>2071</v>
      </c>
      <c r="P11" s="15">
        <v>2436046</v>
      </c>
      <c r="Q11" s="14">
        <v>1856061</v>
      </c>
      <c r="R11" s="3"/>
      <c r="S11" s="3"/>
      <c r="T11" s="3"/>
      <c r="U11" s="3"/>
      <c r="V11" s="70"/>
      <c r="W11" s="70"/>
      <c r="X11" s="104"/>
      <c r="Y11" s="104"/>
      <c r="Z11" s="173"/>
      <c r="AA11" s="172"/>
      <c r="AB11" s="172"/>
      <c r="AC11" s="172"/>
      <c r="AD11" s="172"/>
      <c r="AE11" s="172"/>
      <c r="AF11" s="173"/>
      <c r="AG11" s="172"/>
      <c r="AH11" s="172"/>
      <c r="AI11" s="172"/>
      <c r="AJ11" s="173"/>
      <c r="AK11" s="172"/>
      <c r="AL11" s="172"/>
      <c r="AM11" s="172"/>
      <c r="AN11" s="172"/>
    </row>
    <row r="12" spans="1:44" x14ac:dyDescent="0.2">
      <c r="A12" s="3">
        <v>3</v>
      </c>
      <c r="B12" s="3" t="s">
        <v>1862</v>
      </c>
      <c r="C12" s="3" t="s">
        <v>244</v>
      </c>
      <c r="D12" s="108">
        <v>65</v>
      </c>
      <c r="E12" s="108">
        <v>69</v>
      </c>
      <c r="F12" s="109">
        <v>220</v>
      </c>
      <c r="G12" s="4">
        <v>36444</v>
      </c>
      <c r="H12" s="113">
        <f t="shared" ca="1" si="1"/>
        <v>21</v>
      </c>
      <c r="I12" s="3" t="s">
        <v>270</v>
      </c>
      <c r="J12" s="3">
        <v>2</v>
      </c>
      <c r="K12" s="3">
        <v>2019</v>
      </c>
      <c r="L12" s="3">
        <v>29</v>
      </c>
      <c r="M12" s="3" t="s">
        <v>1863</v>
      </c>
      <c r="N12" s="3" t="s">
        <v>247</v>
      </c>
      <c r="O12" s="11" t="s">
        <v>2108</v>
      </c>
      <c r="P12" s="11">
        <v>2048040</v>
      </c>
      <c r="Q12" s="11">
        <v>2145720</v>
      </c>
      <c r="R12" s="11">
        <v>3873025</v>
      </c>
      <c r="S12" s="50">
        <f>R12*3</f>
        <v>11619075</v>
      </c>
      <c r="T12" s="3"/>
      <c r="U12" s="3"/>
      <c r="V12" s="70"/>
      <c r="W12" s="70" t="s">
        <v>1864</v>
      </c>
      <c r="X12" s="104">
        <v>3</v>
      </c>
      <c r="Y12" s="104">
        <v>9</v>
      </c>
      <c r="Z12" s="173">
        <f>3/9</f>
        <v>0.33333333333333331</v>
      </c>
      <c r="AA12" s="172">
        <v>109.4</v>
      </c>
      <c r="AB12" s="172">
        <v>95.7</v>
      </c>
      <c r="AC12" s="172">
        <f t="shared" ref="AC12:AC13" si="2">AA12-AB12</f>
        <v>13.700000000000003</v>
      </c>
      <c r="AD12" s="172">
        <v>10.199999999999999</v>
      </c>
      <c r="AE12" s="172">
        <v>16.600000000000001</v>
      </c>
      <c r="AF12" s="173">
        <v>0.57899999999999996</v>
      </c>
      <c r="AG12" s="172">
        <v>18.100000000000001</v>
      </c>
      <c r="AH12" s="172">
        <v>0.2</v>
      </c>
      <c r="AI12" s="172">
        <v>0.1</v>
      </c>
      <c r="AJ12" s="173">
        <v>0.11899999999999999</v>
      </c>
      <c r="AK12" s="172">
        <v>-0.3</v>
      </c>
      <c r="AL12" s="172">
        <v>-0.6</v>
      </c>
      <c r="AM12" s="172">
        <v>0</v>
      </c>
      <c r="AN12" s="172">
        <v>9.5</v>
      </c>
    </row>
    <row r="13" spans="1:44" x14ac:dyDescent="0.2">
      <c r="A13" s="3">
        <v>7</v>
      </c>
      <c r="B13" s="3" t="s">
        <v>1868</v>
      </c>
      <c r="C13" s="3" t="s">
        <v>236</v>
      </c>
      <c r="D13" s="108">
        <v>69</v>
      </c>
      <c r="E13" s="108">
        <v>71</v>
      </c>
      <c r="F13" s="109">
        <v>225</v>
      </c>
      <c r="G13" s="4">
        <v>35511</v>
      </c>
      <c r="H13" s="113">
        <f t="shared" ca="1" si="1"/>
        <v>23.5</v>
      </c>
      <c r="I13" s="3" t="s">
        <v>226</v>
      </c>
      <c r="J13" s="3">
        <v>3</v>
      </c>
      <c r="K13" s="3">
        <v>2018</v>
      </c>
      <c r="L13" s="3">
        <v>49</v>
      </c>
      <c r="M13" s="3" t="s">
        <v>1869</v>
      </c>
      <c r="N13" s="3" t="s">
        <v>521</v>
      </c>
      <c r="O13" s="163" t="s">
        <v>526</v>
      </c>
      <c r="P13" s="15">
        <v>1663861</v>
      </c>
      <c r="Q13" s="50">
        <v>2122822</v>
      </c>
      <c r="R13" s="3"/>
      <c r="S13" s="3"/>
      <c r="T13" s="3"/>
      <c r="U13" s="3"/>
      <c r="V13" s="70"/>
      <c r="W13" s="70" t="s">
        <v>1870</v>
      </c>
      <c r="X13" s="104">
        <v>5</v>
      </c>
      <c r="Y13" s="104">
        <v>16</v>
      </c>
      <c r="Z13" s="173">
        <f>7/16</f>
        <v>0.4375</v>
      </c>
      <c r="AA13" s="172">
        <v>102.5</v>
      </c>
      <c r="AB13" s="172">
        <v>100</v>
      </c>
      <c r="AC13" s="172">
        <f t="shared" si="2"/>
        <v>2.5</v>
      </c>
      <c r="AD13" s="172">
        <v>4.5</v>
      </c>
      <c r="AE13" s="172">
        <v>25.4</v>
      </c>
      <c r="AF13" s="173">
        <v>0.59699999999999998</v>
      </c>
      <c r="AG13" s="172">
        <v>25.9</v>
      </c>
      <c r="AH13" s="172">
        <v>0.2</v>
      </c>
      <c r="AI13" s="172">
        <v>0.1</v>
      </c>
      <c r="AJ13" s="173">
        <v>0.159</v>
      </c>
      <c r="AK13" s="172">
        <v>3.8</v>
      </c>
      <c r="AL13" s="172">
        <v>-0.8</v>
      </c>
      <c r="AM13" s="172">
        <v>0.1</v>
      </c>
      <c r="AN13" s="172">
        <v>18.600000000000001</v>
      </c>
    </row>
    <row r="14" spans="1:44" x14ac:dyDescent="0.2">
      <c r="A14" s="3"/>
      <c r="B14" s="3" t="s">
        <v>297</v>
      </c>
      <c r="C14" s="3"/>
      <c r="D14" s="3"/>
      <c r="E14" s="3"/>
      <c r="F14" s="3"/>
      <c r="G14" s="3"/>
      <c r="H14" s="3"/>
      <c r="I14" s="3"/>
      <c r="J14" s="3"/>
      <c r="K14" s="3"/>
      <c r="L14" s="3"/>
      <c r="M14" s="3"/>
      <c r="N14" s="3"/>
      <c r="O14" s="3"/>
      <c r="P14" s="11">
        <f>6167887</f>
        <v>6167887</v>
      </c>
      <c r="Q14" s="11">
        <f>1252127</f>
        <v>1252127</v>
      </c>
      <c r="R14" s="11"/>
      <c r="S14" s="11"/>
      <c r="T14" s="3"/>
      <c r="U14" s="3"/>
      <c r="V14" s="70"/>
      <c r="W14" s="70"/>
      <c r="X14" s="104"/>
      <c r="Y14" s="104"/>
      <c r="Z14" s="173"/>
      <c r="AA14" s="172"/>
      <c r="AB14" s="172"/>
      <c r="AC14" s="172"/>
      <c r="AD14" s="172"/>
      <c r="AE14" s="172"/>
      <c r="AF14" s="173"/>
      <c r="AG14" s="172"/>
      <c r="AH14" s="172"/>
      <c r="AI14" s="172"/>
      <c r="AJ14" s="173"/>
      <c r="AK14" s="172"/>
      <c r="AL14" s="172"/>
      <c r="AM14" s="172"/>
      <c r="AN14" s="172"/>
    </row>
    <row r="15" spans="1:44" x14ac:dyDescent="0.2">
      <c r="A15" s="3"/>
      <c r="B15" s="3" t="s">
        <v>1877</v>
      </c>
      <c r="C15" s="3"/>
      <c r="D15" s="3"/>
      <c r="E15" s="3"/>
      <c r="F15" s="3"/>
      <c r="G15" s="3"/>
      <c r="H15" s="3"/>
      <c r="I15" s="3"/>
      <c r="J15" s="3"/>
      <c r="K15" s="3"/>
      <c r="L15" s="3"/>
      <c r="M15" s="3"/>
      <c r="N15" s="3"/>
      <c r="O15" s="3"/>
      <c r="P15" s="11">
        <v>4033440</v>
      </c>
      <c r="Q15" s="11">
        <v>4235160</v>
      </c>
      <c r="R15" s="51">
        <v>4437000</v>
      </c>
      <c r="S15" s="51">
        <v>5887899</v>
      </c>
      <c r="T15" s="50">
        <v>17663697</v>
      </c>
      <c r="U15" s="3"/>
      <c r="V15" s="70"/>
      <c r="W15" s="70"/>
      <c r="X15" s="104"/>
      <c r="Y15" s="104"/>
      <c r="Z15" s="173"/>
      <c r="AA15" s="172"/>
      <c r="AB15" s="172"/>
      <c r="AC15" s="172"/>
      <c r="AD15" s="172"/>
      <c r="AE15" s="172"/>
      <c r="AF15" s="173"/>
      <c r="AG15" s="172"/>
      <c r="AH15" s="172"/>
      <c r="AI15" s="172"/>
      <c r="AJ15" s="173"/>
      <c r="AK15" s="172"/>
      <c r="AL15" s="172"/>
      <c r="AM15" s="172"/>
      <c r="AN15" s="172"/>
    </row>
    <row r="16" spans="1:44" x14ac:dyDescent="0.2">
      <c r="A16" s="3"/>
      <c r="B16" s="3" t="s">
        <v>1878</v>
      </c>
      <c r="C16" s="3"/>
      <c r="D16" s="3"/>
      <c r="E16" s="3"/>
      <c r="F16" s="3"/>
      <c r="G16" s="3"/>
      <c r="H16" s="3"/>
      <c r="I16" s="3"/>
      <c r="J16" s="3"/>
      <c r="K16" s="3"/>
      <c r="L16" s="3"/>
      <c r="M16" s="3"/>
      <c r="N16" s="3"/>
      <c r="O16" s="3"/>
      <c r="P16" s="179">
        <v>898310</v>
      </c>
      <c r="Q16" s="3"/>
      <c r="R16" s="3"/>
      <c r="S16" s="3"/>
      <c r="T16" s="3"/>
      <c r="U16" s="3"/>
      <c r="V16" s="70"/>
      <c r="W16" s="70"/>
      <c r="X16" s="104"/>
      <c r="Y16" s="104"/>
      <c r="Z16" s="173"/>
      <c r="AA16" s="172"/>
      <c r="AB16" s="172"/>
      <c r="AC16" s="172"/>
      <c r="AD16" s="172"/>
      <c r="AE16" s="172"/>
      <c r="AF16" s="173"/>
      <c r="AG16" s="172"/>
      <c r="AH16" s="172"/>
      <c r="AI16" s="172"/>
      <c r="AJ16" s="173"/>
      <c r="AK16" s="172"/>
      <c r="AL16" s="172"/>
      <c r="AM16" s="172"/>
      <c r="AN16" s="172"/>
    </row>
    <row r="17" spans="1:40" x14ac:dyDescent="0.2">
      <c r="A17" s="3"/>
      <c r="B17" s="3"/>
      <c r="C17" s="3"/>
      <c r="D17" s="3"/>
      <c r="E17" s="3"/>
      <c r="F17" s="3"/>
      <c r="G17" s="3"/>
      <c r="H17" s="3"/>
      <c r="I17" s="3"/>
      <c r="J17" s="3"/>
      <c r="K17" s="3"/>
      <c r="L17" s="3"/>
      <c r="M17" s="3"/>
      <c r="N17" s="3"/>
      <c r="O17" s="3"/>
      <c r="P17" s="11"/>
      <c r="Q17" s="3"/>
      <c r="R17" s="3"/>
      <c r="S17" s="3"/>
      <c r="T17" s="3"/>
      <c r="U17" s="3"/>
      <c r="V17" s="70"/>
      <c r="W17" s="70"/>
      <c r="X17" s="104"/>
      <c r="Y17" s="104"/>
      <c r="Z17" s="173"/>
      <c r="AA17" s="172"/>
      <c r="AB17" s="172"/>
      <c r="AC17" s="172"/>
      <c r="AD17" s="172"/>
      <c r="AE17" s="172"/>
      <c r="AF17" s="173"/>
      <c r="AG17" s="172"/>
      <c r="AH17" s="172"/>
      <c r="AI17" s="172"/>
      <c r="AJ17" s="173"/>
      <c r="AK17" s="172"/>
      <c r="AL17" s="172"/>
      <c r="AM17" s="172"/>
      <c r="AN17" s="172"/>
    </row>
    <row r="18" spans="1:40" x14ac:dyDescent="0.2">
      <c r="A18" s="3">
        <v>25</v>
      </c>
      <c r="B18" s="3" t="s">
        <v>167</v>
      </c>
      <c r="C18" s="3" t="s">
        <v>236</v>
      </c>
      <c r="D18" s="108">
        <v>71</v>
      </c>
      <c r="E18" s="108">
        <v>71</v>
      </c>
      <c r="F18" s="109">
        <v>245</v>
      </c>
      <c r="G18" s="4">
        <v>34987</v>
      </c>
      <c r="H18" s="113">
        <f t="shared" ref="H18:H22" ca="1" si="3">ROUNDDOWN(YEARFRAC($G$24,G18),1)</f>
        <v>25</v>
      </c>
      <c r="I18" s="3" t="s">
        <v>710</v>
      </c>
      <c r="J18" s="3">
        <v>5</v>
      </c>
      <c r="K18" s="3">
        <v>2016</v>
      </c>
      <c r="L18" s="3">
        <v>9</v>
      </c>
      <c r="M18" s="3" t="s">
        <v>1836</v>
      </c>
      <c r="N18" s="3"/>
      <c r="O18" s="26"/>
      <c r="P18" s="50">
        <v>11264658</v>
      </c>
      <c r="Q18" s="3"/>
      <c r="R18" s="3"/>
      <c r="S18" s="3"/>
      <c r="T18" s="3"/>
      <c r="U18" s="3"/>
      <c r="V18" s="70"/>
      <c r="W18" s="98" t="s">
        <v>240</v>
      </c>
      <c r="X18" s="104">
        <v>5</v>
      </c>
      <c r="Y18" s="104">
        <v>58</v>
      </c>
      <c r="Z18" s="173">
        <f>25/58</f>
        <v>0.43103448275862066</v>
      </c>
      <c r="AA18" s="172">
        <v>112.4</v>
      </c>
      <c r="AB18" s="172">
        <v>108.6</v>
      </c>
      <c r="AC18" s="172">
        <f t="shared" ref="AC18:AC22" si="4">AA18-AB18</f>
        <v>3.8000000000000114</v>
      </c>
      <c r="AD18" s="172">
        <v>16.600000000000001</v>
      </c>
      <c r="AE18" s="172">
        <v>19.600000000000001</v>
      </c>
      <c r="AF18" s="173">
        <v>0.61099999999999999</v>
      </c>
      <c r="AG18" s="172">
        <v>13.3</v>
      </c>
      <c r="AH18" s="172">
        <v>2</v>
      </c>
      <c r="AI18" s="172">
        <v>1.3</v>
      </c>
      <c r="AJ18" s="173">
        <v>0.16500000000000001</v>
      </c>
      <c r="AK18" s="172">
        <v>0.8</v>
      </c>
      <c r="AL18" s="172">
        <v>2.2999999999999998</v>
      </c>
      <c r="AM18" s="172">
        <v>1.2</v>
      </c>
      <c r="AN18" s="172">
        <v>11.2</v>
      </c>
    </row>
    <row r="19" spans="1:40" x14ac:dyDescent="0.2">
      <c r="A19" s="3">
        <v>18</v>
      </c>
      <c r="B19" s="3" t="s">
        <v>165</v>
      </c>
      <c r="C19" s="3" t="s">
        <v>255</v>
      </c>
      <c r="D19" s="108">
        <v>65</v>
      </c>
      <c r="E19" s="108"/>
      <c r="F19" s="109">
        <v>220</v>
      </c>
      <c r="G19" s="4">
        <v>31496</v>
      </c>
      <c r="H19" s="113">
        <f t="shared" ca="1" si="3"/>
        <v>34.5</v>
      </c>
      <c r="I19" s="3" t="s">
        <v>1848</v>
      </c>
      <c r="J19" s="3">
        <v>14</v>
      </c>
      <c r="K19" s="3">
        <v>2007</v>
      </c>
      <c r="L19" s="3">
        <v>18</v>
      </c>
      <c r="M19" s="3" t="s">
        <v>1221</v>
      </c>
      <c r="N19" s="3"/>
      <c r="O19" s="3"/>
      <c r="P19" s="14">
        <v>7600000</v>
      </c>
      <c r="Q19" s="3"/>
      <c r="R19" s="3"/>
      <c r="S19" s="3"/>
      <c r="T19" s="3"/>
      <c r="U19" s="3"/>
      <c r="V19" s="70"/>
      <c r="W19" s="70" t="s">
        <v>1849</v>
      </c>
      <c r="X19" s="104">
        <v>3</v>
      </c>
      <c r="Y19" s="104">
        <v>52</v>
      </c>
      <c r="Z19" s="173">
        <f>23/52</f>
        <v>0.44230769230769229</v>
      </c>
      <c r="AA19" s="172">
        <v>111.2</v>
      </c>
      <c r="AB19" s="172">
        <v>109.2</v>
      </c>
      <c r="AC19" s="172">
        <f t="shared" si="4"/>
        <v>2</v>
      </c>
      <c r="AD19" s="172">
        <v>15</v>
      </c>
      <c r="AE19" s="172">
        <v>10.199999999999999</v>
      </c>
      <c r="AF19" s="173">
        <v>0.52100000000000002</v>
      </c>
      <c r="AG19" s="172">
        <v>17</v>
      </c>
      <c r="AH19" s="172">
        <v>0.4</v>
      </c>
      <c r="AI19" s="172">
        <v>0.1</v>
      </c>
      <c r="AJ19" s="173">
        <v>3.5000000000000003E-2</v>
      </c>
      <c r="AK19" s="172">
        <v>-1</v>
      </c>
      <c r="AL19" s="172">
        <v>-1.9</v>
      </c>
      <c r="AM19" s="172">
        <v>-0.2</v>
      </c>
      <c r="AN19" s="172">
        <v>6.8</v>
      </c>
    </row>
    <row r="20" spans="1:40" x14ac:dyDescent="0.2">
      <c r="A20" s="3">
        <v>11</v>
      </c>
      <c r="B20" s="3" t="s">
        <v>168</v>
      </c>
      <c r="C20" s="3" t="s">
        <v>255</v>
      </c>
      <c r="D20" s="108">
        <v>62</v>
      </c>
      <c r="E20" s="108">
        <v>65</v>
      </c>
      <c r="F20" s="109">
        <v>205</v>
      </c>
      <c r="G20" s="4">
        <v>34173</v>
      </c>
      <c r="H20" s="113">
        <f t="shared" ca="1" si="3"/>
        <v>27.2</v>
      </c>
      <c r="I20" s="3" t="s">
        <v>513</v>
      </c>
      <c r="J20" s="3">
        <v>5</v>
      </c>
      <c r="K20" s="3">
        <v>2016</v>
      </c>
      <c r="L20" s="3"/>
      <c r="M20" s="3" t="s">
        <v>1852</v>
      </c>
      <c r="N20" s="3"/>
      <c r="O20" s="3"/>
      <c r="P20" s="14">
        <v>5462500</v>
      </c>
      <c r="Q20" s="3"/>
      <c r="R20" s="3"/>
      <c r="S20" s="3"/>
      <c r="T20" s="3"/>
      <c r="U20" s="3"/>
      <c r="V20" s="70"/>
      <c r="W20" s="70" t="s">
        <v>1853</v>
      </c>
      <c r="X20" s="104">
        <v>2</v>
      </c>
      <c r="Y20" s="104">
        <v>63</v>
      </c>
      <c r="Z20" s="173">
        <f>27/63</f>
        <v>0.42857142857142855</v>
      </c>
      <c r="AA20" s="172">
        <v>108</v>
      </c>
      <c r="AB20" s="172">
        <v>114.8</v>
      </c>
      <c r="AC20" s="172">
        <f t="shared" si="4"/>
        <v>-6.7999999999999972</v>
      </c>
      <c r="AD20" s="172">
        <v>25.1</v>
      </c>
      <c r="AE20" s="172">
        <v>11.2</v>
      </c>
      <c r="AF20" s="173">
        <v>0.56999999999999995</v>
      </c>
      <c r="AG20" s="172">
        <v>18.600000000000001</v>
      </c>
      <c r="AH20" s="172">
        <v>1.2</v>
      </c>
      <c r="AI20" s="172">
        <v>0.2</v>
      </c>
      <c r="AJ20" s="173">
        <v>4.4999999999999998E-2</v>
      </c>
      <c r="AK20" s="172">
        <v>-0.6</v>
      </c>
      <c r="AL20" s="172">
        <v>-2.1</v>
      </c>
      <c r="AM20" s="172">
        <v>-0.3</v>
      </c>
      <c r="AN20" s="172">
        <v>6.4</v>
      </c>
    </row>
    <row r="21" spans="1:40" x14ac:dyDescent="0.2">
      <c r="A21" s="3">
        <v>15</v>
      </c>
      <c r="B21" s="3" t="s">
        <v>169</v>
      </c>
      <c r="C21" s="3" t="s">
        <v>255</v>
      </c>
      <c r="D21" s="108">
        <v>63</v>
      </c>
      <c r="E21" s="108">
        <v>69</v>
      </c>
      <c r="F21" s="109">
        <v>205</v>
      </c>
      <c r="G21" s="4">
        <v>35318</v>
      </c>
      <c r="H21" s="113">
        <f t="shared" ca="1" si="3"/>
        <v>24.1</v>
      </c>
      <c r="I21" s="3" t="s">
        <v>1871</v>
      </c>
      <c r="J21" s="3">
        <v>2</v>
      </c>
      <c r="K21" s="3">
        <v>2019</v>
      </c>
      <c r="L21" s="3">
        <v>49</v>
      </c>
      <c r="M21" s="3" t="s">
        <v>1872</v>
      </c>
      <c r="N21" s="3"/>
      <c r="O21" s="3"/>
      <c r="P21" s="34"/>
      <c r="Q21" s="3"/>
      <c r="R21" s="3"/>
      <c r="S21" s="3"/>
      <c r="T21" s="3"/>
      <c r="U21" s="3"/>
      <c r="V21" s="70"/>
      <c r="W21" s="70" t="s">
        <v>1873</v>
      </c>
      <c r="X21" s="104">
        <v>2</v>
      </c>
      <c r="Y21" s="104">
        <v>3</v>
      </c>
      <c r="Z21" s="173">
        <f>0/3</f>
        <v>0</v>
      </c>
      <c r="AA21" s="172">
        <v>93.9</v>
      </c>
      <c r="AB21" s="172">
        <v>79.400000000000006</v>
      </c>
      <c r="AC21" s="172">
        <f t="shared" si="4"/>
        <v>14.5</v>
      </c>
      <c r="AD21" s="172">
        <v>5</v>
      </c>
      <c r="AE21" s="172">
        <v>-5.0999999999999996</v>
      </c>
      <c r="AF21" s="173">
        <v>0</v>
      </c>
      <c r="AG21" s="172">
        <v>8.6999999999999993</v>
      </c>
      <c r="AH21" s="172">
        <v>-0.1</v>
      </c>
      <c r="AI21" s="172">
        <v>0</v>
      </c>
      <c r="AJ21" s="173">
        <v>-0.19700000000000001</v>
      </c>
      <c r="AK21" s="172">
        <v>-9.1</v>
      </c>
      <c r="AL21" s="172">
        <v>-6</v>
      </c>
      <c r="AM21" s="172">
        <v>-0.1</v>
      </c>
      <c r="AN21" s="172">
        <v>-2.1</v>
      </c>
    </row>
    <row r="22" spans="1:40" x14ac:dyDescent="0.2">
      <c r="A22" s="3">
        <v>14</v>
      </c>
      <c r="B22" s="3" t="s">
        <v>1874</v>
      </c>
      <c r="C22" s="3" t="s">
        <v>236</v>
      </c>
      <c r="D22" s="108">
        <v>69</v>
      </c>
      <c r="E22" s="108">
        <v>611</v>
      </c>
      <c r="F22" s="109">
        <v>245</v>
      </c>
      <c r="G22" s="4">
        <v>35462</v>
      </c>
      <c r="H22" s="113">
        <f t="shared" ca="1" si="3"/>
        <v>23.7</v>
      </c>
      <c r="I22" s="3" t="s">
        <v>1875</v>
      </c>
      <c r="J22" s="3">
        <v>3</v>
      </c>
      <c r="K22" s="3">
        <v>2018</v>
      </c>
      <c r="L22" s="3"/>
      <c r="M22" s="3" t="s">
        <v>1876</v>
      </c>
      <c r="N22" s="3"/>
      <c r="O22" s="3"/>
      <c r="P22" s="34"/>
      <c r="Q22" s="3"/>
      <c r="R22" s="3"/>
      <c r="S22" s="3"/>
      <c r="T22" s="3"/>
      <c r="U22" s="3"/>
      <c r="V22" s="70"/>
      <c r="W22" s="70" t="s">
        <v>900</v>
      </c>
      <c r="X22" s="104">
        <v>5</v>
      </c>
      <c r="Y22" s="104">
        <v>14</v>
      </c>
      <c r="Z22" s="173">
        <f>8/14</f>
        <v>0.5714285714285714</v>
      </c>
      <c r="AA22" s="172">
        <v>104.6</v>
      </c>
      <c r="AB22" s="172">
        <v>119.7</v>
      </c>
      <c r="AC22" s="172">
        <f t="shared" si="4"/>
        <v>-15.100000000000009</v>
      </c>
      <c r="AD22" s="172">
        <v>9.3000000000000007</v>
      </c>
      <c r="AE22" s="172">
        <v>15.3</v>
      </c>
      <c r="AF22" s="173">
        <v>0.77600000000000002</v>
      </c>
      <c r="AG22" s="172">
        <v>14.3</v>
      </c>
      <c r="AH22" s="172">
        <v>0.2</v>
      </c>
      <c r="AI22" s="172">
        <v>0.1</v>
      </c>
      <c r="AJ22" s="173">
        <v>0.12</v>
      </c>
      <c r="AK22" s="172">
        <v>-2.6</v>
      </c>
      <c r="AL22" s="172">
        <v>-1</v>
      </c>
      <c r="AM22" s="172">
        <v>-0.1</v>
      </c>
      <c r="AN22" s="172">
        <v>8.8000000000000007</v>
      </c>
    </row>
    <row r="23" spans="1:40" x14ac:dyDescent="0.2">
      <c r="A23" s="3"/>
      <c r="B23" s="3"/>
      <c r="C23" s="3"/>
      <c r="D23" s="108"/>
      <c r="E23" s="108"/>
      <c r="F23" s="109"/>
      <c r="G23" s="4"/>
      <c r="H23" s="113"/>
      <c r="I23" s="3"/>
      <c r="J23" s="3"/>
      <c r="K23" s="3"/>
      <c r="L23" s="3"/>
      <c r="M23" s="3"/>
      <c r="N23" s="3"/>
      <c r="O23" s="3"/>
      <c r="P23" s="55"/>
      <c r="Q23" s="3"/>
      <c r="R23" s="3"/>
      <c r="S23" s="3"/>
      <c r="T23" s="3"/>
      <c r="U23" s="3"/>
      <c r="V23" s="70"/>
      <c r="W23" s="70"/>
      <c r="X23" s="104"/>
      <c r="Y23" s="104"/>
      <c r="Z23" s="173"/>
      <c r="AA23" s="172"/>
      <c r="AB23" s="172"/>
      <c r="AC23" s="172"/>
      <c r="AD23" s="172"/>
      <c r="AE23" s="172"/>
      <c r="AF23" s="173"/>
      <c r="AG23" s="172"/>
      <c r="AH23" s="172"/>
      <c r="AI23" s="172"/>
      <c r="AJ23" s="173"/>
      <c r="AK23" s="172"/>
      <c r="AL23" s="172"/>
      <c r="AM23" s="172"/>
      <c r="AN23" s="172"/>
    </row>
    <row r="24" spans="1:40" x14ac:dyDescent="0.2">
      <c r="A24" s="3"/>
      <c r="B24" s="3"/>
      <c r="C24" s="3"/>
      <c r="D24" s="3"/>
      <c r="E24" s="3"/>
      <c r="F24" s="3"/>
      <c r="G24" s="4">
        <f ca="1">TODAY()</f>
        <v>44128</v>
      </c>
      <c r="H24" s="36">
        <f ca="1">AVERAGE(H2:H13)</f>
        <v>27.133333333333336</v>
      </c>
      <c r="I24" s="3"/>
      <c r="J24" s="36">
        <f>AVERAGE(J2:J13)</f>
        <v>7.333333333333333</v>
      </c>
      <c r="K24" s="3"/>
      <c r="L24" s="3"/>
      <c r="M24" s="3"/>
      <c r="N24" s="3"/>
      <c r="O24" s="3"/>
      <c r="P24" s="3"/>
      <c r="Q24" s="3"/>
      <c r="R24" s="3"/>
      <c r="S24" s="3"/>
      <c r="T24" s="3"/>
      <c r="U24" s="3"/>
      <c r="X24" s="137"/>
      <c r="Y24" s="137"/>
      <c r="Z24" s="126"/>
      <c r="AA24" s="126"/>
      <c r="AB24" s="126"/>
      <c r="AC24" s="126"/>
      <c r="AD24" s="126"/>
      <c r="AE24" s="126"/>
      <c r="AF24" s="127"/>
      <c r="AG24" s="126"/>
      <c r="AH24" s="126"/>
      <c r="AI24" s="126"/>
      <c r="AJ24" s="126"/>
      <c r="AK24" s="126"/>
      <c r="AL24" s="126"/>
      <c r="AM24" s="126"/>
      <c r="AN24" s="126"/>
    </row>
    <row r="25" spans="1:40" x14ac:dyDescent="0.2">
      <c r="A25" s="3"/>
      <c r="B25" s="3"/>
      <c r="C25" s="3"/>
      <c r="D25" s="3"/>
      <c r="E25" s="3"/>
      <c r="F25" s="3"/>
      <c r="G25" s="3"/>
      <c r="H25" s="36">
        <f ca="1">MEDIAN(H2:H13)</f>
        <v>25.6</v>
      </c>
      <c r="I25" s="3"/>
      <c r="J25" s="110">
        <f>MEDIAN(J2:J13)</f>
        <v>5.5</v>
      </c>
      <c r="K25" s="3"/>
      <c r="L25" s="3"/>
      <c r="M25" s="3"/>
      <c r="N25" s="3"/>
      <c r="O25" s="3"/>
      <c r="P25" s="11">
        <f>P3+P4+P5+P6+1000000+P8+P9+P10+P12+P14+P15</f>
        <v>88553399</v>
      </c>
      <c r="Q25" s="3"/>
      <c r="R25" s="3"/>
      <c r="S25" s="3"/>
      <c r="T25" s="3"/>
      <c r="U25" s="3"/>
      <c r="X25" s="137"/>
      <c r="Y25" s="137"/>
      <c r="AF25" s="127"/>
    </row>
    <row r="26" spans="1:40" x14ac:dyDescent="0.2">
      <c r="B26" s="71" t="s">
        <v>2224</v>
      </c>
      <c r="C26" s="60"/>
      <c r="D26" s="60"/>
      <c r="E26" s="60"/>
      <c r="P26" s="124">
        <f>P2+P3+P4+P5+P6+1000000+P8+P9+P10+P12+P14+P15</f>
        <v>116293374</v>
      </c>
      <c r="X26" s="137"/>
      <c r="Y26" s="137"/>
      <c r="AF26" s="127"/>
    </row>
    <row r="27" spans="1:40" x14ac:dyDescent="0.2">
      <c r="B27" s="3" t="s">
        <v>2087</v>
      </c>
      <c r="C27" s="60">
        <v>8</v>
      </c>
      <c r="D27" s="60"/>
      <c r="E27" s="60"/>
      <c r="I27" s="71"/>
      <c r="P27" s="160">
        <f>P2+P3+P4+P5+P6+P7+P8+P9+P10+P11+P12+P13+P14+P15</f>
        <v>124893281</v>
      </c>
      <c r="X27" s="137"/>
      <c r="Y27" s="137"/>
    </row>
    <row r="28" spans="1:40" x14ac:dyDescent="0.2">
      <c r="B28" s="3" t="s">
        <v>2088</v>
      </c>
      <c r="C28" s="60">
        <v>4</v>
      </c>
      <c r="D28" s="60"/>
      <c r="E28" s="60"/>
      <c r="I28" s="3"/>
      <c r="O28" s="3"/>
    </row>
    <row r="29" spans="1:40" x14ac:dyDescent="0.2">
      <c r="B29" s="3" t="s">
        <v>2086</v>
      </c>
      <c r="C29" s="60">
        <v>2</v>
      </c>
      <c r="D29" s="60"/>
      <c r="E29" s="60"/>
      <c r="I29" s="3"/>
      <c r="O29" s="3" t="s">
        <v>300</v>
      </c>
      <c r="P29" s="11">
        <v>109140000</v>
      </c>
    </row>
    <row r="30" spans="1:40" x14ac:dyDescent="0.2">
      <c r="B30" s="3" t="s">
        <v>2219</v>
      </c>
      <c r="C30" s="60" t="s">
        <v>2271</v>
      </c>
      <c r="D30" s="60"/>
      <c r="E30" s="60"/>
      <c r="I30" s="3"/>
      <c r="O30" s="22" t="s">
        <v>302</v>
      </c>
      <c r="P30" s="11">
        <v>132627000</v>
      </c>
    </row>
    <row r="31" spans="1:40" x14ac:dyDescent="0.2">
      <c r="B31" s="3" t="s">
        <v>301</v>
      </c>
      <c r="C31" s="61">
        <v>0</v>
      </c>
      <c r="D31" s="60"/>
      <c r="E31" s="60"/>
      <c r="I31" s="3"/>
      <c r="O31" s="3"/>
    </row>
    <row r="32" spans="1:40" x14ac:dyDescent="0.2">
      <c r="B32" s="3" t="s">
        <v>303</v>
      </c>
      <c r="C32" s="61">
        <v>0</v>
      </c>
      <c r="D32" s="60"/>
      <c r="E32" s="60"/>
      <c r="I32" s="3"/>
      <c r="J32" s="61"/>
    </row>
    <row r="33" spans="2:10" x14ac:dyDescent="0.2">
      <c r="B33" s="60"/>
      <c r="C33" s="60"/>
      <c r="D33" s="60"/>
      <c r="E33" s="60"/>
      <c r="I33" s="3"/>
      <c r="J33" s="61"/>
    </row>
    <row r="34" spans="2:10" x14ac:dyDescent="0.2">
      <c r="B34" s="71" t="s">
        <v>2084</v>
      </c>
      <c r="C34" s="60"/>
      <c r="D34" s="60"/>
      <c r="E34" s="60"/>
      <c r="I34" s="60"/>
    </row>
    <row r="35" spans="2:10" x14ac:dyDescent="0.2">
      <c r="B35" s="3" t="s">
        <v>304</v>
      </c>
      <c r="C35" s="65">
        <f>32/(32+39)</f>
        <v>0.45070422535211269</v>
      </c>
      <c r="D35" s="60" t="s">
        <v>759</v>
      </c>
      <c r="E35" s="3"/>
      <c r="I35" s="71"/>
    </row>
    <row r="36" spans="2:10" x14ac:dyDescent="0.2">
      <c r="B36" s="3" t="s">
        <v>306</v>
      </c>
      <c r="C36" s="60">
        <v>111.7</v>
      </c>
      <c r="D36" s="60" t="s">
        <v>2231</v>
      </c>
      <c r="E36" s="3"/>
      <c r="I36" s="3"/>
    </row>
    <row r="37" spans="2:10" x14ac:dyDescent="0.2">
      <c r="B37" s="3" t="s">
        <v>307</v>
      </c>
      <c r="C37" s="60">
        <v>112.6</v>
      </c>
      <c r="D37" s="60" t="s">
        <v>2326</v>
      </c>
      <c r="E37" s="3"/>
      <c r="I37" s="3"/>
    </row>
    <row r="38" spans="2:10" x14ac:dyDescent="0.2">
      <c r="B38" s="3" t="s">
        <v>308</v>
      </c>
      <c r="C38" s="60">
        <f>C36-C37</f>
        <v>-0.89999999999999147</v>
      </c>
      <c r="D38" s="60" t="s">
        <v>2193</v>
      </c>
      <c r="E38" s="3"/>
      <c r="I38" s="3"/>
    </row>
    <row r="39" spans="2:10" x14ac:dyDescent="0.2">
      <c r="B39" s="3" t="s">
        <v>309</v>
      </c>
      <c r="C39" s="60">
        <v>101.14</v>
      </c>
      <c r="D39" s="60" t="s">
        <v>2303</v>
      </c>
      <c r="E39" s="3"/>
      <c r="I39" s="3"/>
    </row>
    <row r="40" spans="2:10" x14ac:dyDescent="0.2">
      <c r="B40" s="3"/>
      <c r="C40" s="60"/>
      <c r="D40" s="60"/>
      <c r="E40" s="3"/>
      <c r="I40" s="3"/>
    </row>
    <row r="41" spans="2:10" x14ac:dyDescent="0.2">
      <c r="B41" s="3" t="s">
        <v>310</v>
      </c>
      <c r="C41" s="3"/>
      <c r="D41" s="3"/>
      <c r="E41" s="3"/>
      <c r="I41" s="3"/>
    </row>
    <row r="42" spans="2:10" x14ac:dyDescent="0.2">
      <c r="B42" s="2" t="s">
        <v>1170</v>
      </c>
      <c r="C42" s="3"/>
      <c r="D42" s="3"/>
      <c r="E42" s="3"/>
    </row>
    <row r="43" spans="2:10" x14ac:dyDescent="0.2">
      <c r="B43" s="2"/>
    </row>
    <row r="44" spans="2:10" x14ac:dyDescent="0.2">
      <c r="B44" s="2" t="s">
        <v>318</v>
      </c>
    </row>
    <row r="45" spans="2:10" x14ac:dyDescent="0.2">
      <c r="B45" s="2" t="s">
        <v>1882</v>
      </c>
    </row>
    <row r="47" spans="2:10" x14ac:dyDescent="0.2">
      <c r="B47" s="37" t="s">
        <v>322</v>
      </c>
      <c r="C47" s="60">
        <v>32</v>
      </c>
      <c r="D47" s="60">
        <v>29</v>
      </c>
      <c r="E47" t="s">
        <v>759</v>
      </c>
      <c r="G47" t="s">
        <v>1879</v>
      </c>
      <c r="I47" s="144" t="s">
        <v>324</v>
      </c>
    </row>
    <row r="48" spans="2:10" x14ac:dyDescent="0.2">
      <c r="B48" s="37" t="s">
        <v>325</v>
      </c>
      <c r="C48" s="60">
        <v>48</v>
      </c>
      <c r="D48" s="60">
        <v>34</v>
      </c>
      <c r="E48" t="s">
        <v>754</v>
      </c>
      <c r="G48" t="s">
        <v>1879</v>
      </c>
      <c r="I48" t="s">
        <v>1883</v>
      </c>
    </row>
    <row r="49" spans="2:9" x14ac:dyDescent="0.2">
      <c r="B49" s="37" t="s">
        <v>327</v>
      </c>
      <c r="C49" s="60">
        <v>47</v>
      </c>
      <c r="D49" s="60">
        <v>35</v>
      </c>
      <c r="E49" t="s">
        <v>754</v>
      </c>
      <c r="G49" t="s">
        <v>1879</v>
      </c>
      <c r="I49" t="s">
        <v>1011</v>
      </c>
    </row>
    <row r="50" spans="2:9" x14ac:dyDescent="0.2">
      <c r="B50" s="37" t="s">
        <v>330</v>
      </c>
      <c r="C50" s="60">
        <v>61</v>
      </c>
      <c r="D50" s="60">
        <v>21</v>
      </c>
      <c r="E50" t="s">
        <v>817</v>
      </c>
      <c r="G50" t="s">
        <v>1879</v>
      </c>
      <c r="I50" t="s">
        <v>1884</v>
      </c>
    </row>
    <row r="51" spans="2:9" x14ac:dyDescent="0.2">
      <c r="B51" s="37" t="s">
        <v>333</v>
      </c>
      <c r="C51" s="60">
        <v>67</v>
      </c>
      <c r="D51" s="60">
        <v>15</v>
      </c>
      <c r="E51" t="s">
        <v>817</v>
      </c>
      <c r="G51" t="s">
        <v>1879</v>
      </c>
      <c r="I51" t="s">
        <v>1885</v>
      </c>
    </row>
    <row r="52" spans="2:9" x14ac:dyDescent="0.2">
      <c r="B52" s="37" t="s">
        <v>336</v>
      </c>
      <c r="C52" s="60">
        <v>55</v>
      </c>
      <c r="D52" s="60">
        <v>27</v>
      </c>
      <c r="E52" t="s">
        <v>760</v>
      </c>
      <c r="G52" t="s">
        <v>1879</v>
      </c>
      <c r="I52" t="s">
        <v>950</v>
      </c>
    </row>
    <row r="53" spans="2:9" x14ac:dyDescent="0.2">
      <c r="B53" s="37" t="s">
        <v>339</v>
      </c>
      <c r="C53" s="60">
        <v>62</v>
      </c>
      <c r="D53" s="60">
        <v>20</v>
      </c>
      <c r="E53" t="s">
        <v>943</v>
      </c>
      <c r="G53" t="s">
        <v>1879</v>
      </c>
      <c r="I53" t="s">
        <v>1886</v>
      </c>
    </row>
    <row r="54" spans="2:9" x14ac:dyDescent="0.2">
      <c r="B54" s="37" t="s">
        <v>342</v>
      </c>
      <c r="C54" s="60">
        <v>58</v>
      </c>
      <c r="D54" s="60">
        <v>24</v>
      </c>
      <c r="E54" t="s">
        <v>817</v>
      </c>
      <c r="G54" t="s">
        <v>1879</v>
      </c>
      <c r="I54" t="s">
        <v>1887</v>
      </c>
    </row>
    <row r="55" spans="2:9" x14ac:dyDescent="0.2">
      <c r="B55" s="37" t="s">
        <v>346</v>
      </c>
      <c r="C55" s="60">
        <v>50</v>
      </c>
      <c r="D55" s="60">
        <v>16</v>
      </c>
      <c r="E55" t="s">
        <v>943</v>
      </c>
      <c r="G55" t="s">
        <v>1879</v>
      </c>
      <c r="I55" t="s">
        <v>1888</v>
      </c>
    </row>
    <row r="56" spans="2:9" x14ac:dyDescent="0.2">
      <c r="B56" s="37" t="s">
        <v>348</v>
      </c>
      <c r="C56" s="60">
        <v>61</v>
      </c>
      <c r="D56" s="60">
        <v>21</v>
      </c>
      <c r="E56" t="s">
        <v>943</v>
      </c>
      <c r="G56" t="s">
        <v>1879</v>
      </c>
      <c r="I56" t="s">
        <v>1889</v>
      </c>
    </row>
    <row r="57" spans="2:9" x14ac:dyDescent="0.2">
      <c r="B57" t="s">
        <v>350</v>
      </c>
      <c r="C57" s="60">
        <f>SUM(C47:C56)</f>
        <v>541</v>
      </c>
      <c r="D57" s="60">
        <f>SUM(D47:D56)</f>
        <v>242</v>
      </c>
      <c r="E57" s="65">
        <f>C57/(C57+D57)</f>
        <v>0.69093231162196678</v>
      </c>
    </row>
    <row r="58" spans="2:9" x14ac:dyDescent="0.2">
      <c r="C58" s="60"/>
      <c r="D58" s="60"/>
    </row>
    <row r="59" spans="2:9" x14ac:dyDescent="0.2">
      <c r="C59" s="60"/>
      <c r="D59" s="60"/>
    </row>
    <row r="60" spans="2:9" x14ac:dyDescent="0.2">
      <c r="C60" s="60"/>
      <c r="D60" s="60"/>
    </row>
    <row r="61" spans="2:9" x14ac:dyDescent="0.2">
      <c r="C61" s="60"/>
      <c r="D61" s="60"/>
    </row>
    <row r="62" spans="2:9" x14ac:dyDescent="0.2">
      <c r="C62" s="60"/>
      <c r="D62" s="60"/>
    </row>
    <row r="63" spans="2:9" x14ac:dyDescent="0.2">
      <c r="C63" s="60"/>
      <c r="D63" s="60"/>
    </row>
    <row r="64" spans="2:9" x14ac:dyDescent="0.2">
      <c r="C64" s="60"/>
      <c r="D64" s="60"/>
    </row>
    <row r="65" spans="3:4" x14ac:dyDescent="0.2">
      <c r="C65" s="60"/>
      <c r="D65" s="60"/>
    </row>
    <row r="66" spans="3:4" x14ac:dyDescent="0.2">
      <c r="C66" s="60"/>
      <c r="D66" s="60"/>
    </row>
    <row r="67" spans="3:4" x14ac:dyDescent="0.2">
      <c r="C67" s="60"/>
      <c r="D67" s="60"/>
    </row>
    <row r="68" spans="3:4" x14ac:dyDescent="0.2">
      <c r="C68" s="60"/>
      <c r="D68" s="60"/>
    </row>
    <row r="69" spans="3:4" x14ac:dyDescent="0.2">
      <c r="C69" s="60"/>
      <c r="D69" s="60"/>
    </row>
    <row r="70" spans="3:4" x14ac:dyDescent="0.2">
      <c r="C70" s="60"/>
      <c r="D70" s="60"/>
    </row>
    <row r="71" spans="3:4" x14ac:dyDescent="0.2">
      <c r="C71" s="60"/>
      <c r="D71" s="60"/>
    </row>
    <row r="72" spans="3:4" x14ac:dyDescent="0.2">
      <c r="C72" s="60"/>
      <c r="D72" s="60"/>
    </row>
    <row r="73" spans="3:4" x14ac:dyDescent="0.2">
      <c r="C73" s="60"/>
      <c r="D73" s="60"/>
    </row>
    <row r="74" spans="3:4" x14ac:dyDescent="0.2">
      <c r="C74" s="60"/>
      <c r="D74" s="60"/>
    </row>
    <row r="75" spans="3:4" x14ac:dyDescent="0.2">
      <c r="C75" s="60"/>
      <c r="D75" s="60"/>
    </row>
    <row r="76" spans="3:4" x14ac:dyDescent="0.2">
      <c r="C76" s="60"/>
      <c r="D76" s="60"/>
    </row>
    <row r="77" spans="3:4" x14ac:dyDescent="0.2">
      <c r="C77" s="60"/>
      <c r="D77" s="60"/>
    </row>
    <row r="78" spans="3:4" x14ac:dyDescent="0.2">
      <c r="C78" s="60"/>
      <c r="D78" s="60"/>
    </row>
    <row r="79" spans="3:4" x14ac:dyDescent="0.2">
      <c r="C79" s="60"/>
      <c r="D79" s="60"/>
    </row>
    <row r="80" spans="3:4" x14ac:dyDescent="0.2">
      <c r="C80" s="60"/>
      <c r="D80" s="60"/>
    </row>
    <row r="81" spans="3:4" x14ac:dyDescent="0.2">
      <c r="C81" s="60"/>
      <c r="D81" s="60"/>
    </row>
    <row r="82" spans="3:4" x14ac:dyDescent="0.2">
      <c r="C82" s="60"/>
      <c r="D82" s="60"/>
    </row>
    <row r="83" spans="3:4" x14ac:dyDescent="0.2">
      <c r="C83" s="60"/>
      <c r="D83" s="60"/>
    </row>
    <row r="84" spans="3:4" x14ac:dyDescent="0.2">
      <c r="C84" s="60"/>
      <c r="D84" s="60"/>
    </row>
    <row r="85" spans="3:4" x14ac:dyDescent="0.2">
      <c r="C85" s="60"/>
      <c r="D85" s="60"/>
    </row>
    <row r="86" spans="3:4" x14ac:dyDescent="0.2">
      <c r="C86" s="60"/>
      <c r="D86" s="60"/>
    </row>
    <row r="87" spans="3:4" x14ac:dyDescent="0.2">
      <c r="C87" s="60"/>
      <c r="D87" s="60"/>
    </row>
    <row r="88" spans="3:4" x14ac:dyDescent="0.2">
      <c r="C88" s="60"/>
      <c r="D88" s="60"/>
    </row>
    <row r="89" spans="3:4" x14ac:dyDescent="0.2">
      <c r="C89" s="60"/>
      <c r="D89" s="60"/>
    </row>
    <row r="90" spans="3:4" x14ac:dyDescent="0.2">
      <c r="C90" s="60"/>
      <c r="D90" s="60"/>
    </row>
    <row r="91" spans="3:4" x14ac:dyDescent="0.2">
      <c r="C91" s="60"/>
      <c r="D91" s="60"/>
    </row>
    <row r="92" spans="3:4" x14ac:dyDescent="0.2">
      <c r="C92" s="60"/>
      <c r="D92" s="60"/>
    </row>
    <row r="93" spans="3:4" x14ac:dyDescent="0.2">
      <c r="C93" s="60"/>
      <c r="D93" s="60"/>
    </row>
    <row r="94" spans="3:4" x14ac:dyDescent="0.2">
      <c r="C94" s="60"/>
      <c r="D94" s="60"/>
    </row>
    <row r="95" spans="3:4" x14ac:dyDescent="0.2">
      <c r="C95" s="60"/>
      <c r="D95" s="60"/>
    </row>
    <row r="96" spans="3:4" x14ac:dyDescent="0.2">
      <c r="C96" s="60"/>
      <c r="D96" s="60"/>
    </row>
  </sheetData>
  <hyperlinks>
    <hyperlink ref="B47" r:id="rId1" xr:uid="{CFA69B06-8D1B-0B4D-84E9-D4286C2EC66C}"/>
    <hyperlink ref="B48" r:id="rId2" xr:uid="{D0BECF48-B720-124A-AB8C-6762BBD50BAE}"/>
    <hyperlink ref="B49" r:id="rId3" xr:uid="{76B6C57F-8F0E-8841-A0F9-F18C48E2056B}"/>
    <hyperlink ref="B50" r:id="rId4" xr:uid="{40ADBCF9-E27A-964F-9409-ACEE52990975}"/>
    <hyperlink ref="B51" r:id="rId5" xr:uid="{DEA84C26-ED52-DF4A-A733-A41E951D1AB9}"/>
    <hyperlink ref="B52" r:id="rId6" xr:uid="{E16BA3C8-5494-0B4B-B428-D818C56017C1}"/>
    <hyperlink ref="B53" r:id="rId7" xr:uid="{5AE1E652-801B-F94B-9C6F-6D7C33230E9A}"/>
    <hyperlink ref="B54" r:id="rId8" xr:uid="{D10B057F-6162-4A45-9CAE-B5B14C2334B4}"/>
    <hyperlink ref="B55" r:id="rId9" xr:uid="{9839C056-AE28-C548-8858-FCD6C146E58C}"/>
    <hyperlink ref="B56" r:id="rId10" xr:uid="{E1168EC4-FD96-2B48-A7B1-58FC7100C649}"/>
  </hyperlinks>
  <pageMargins left="0.7" right="0.7" top="0.75" bottom="0.75" header="0.3" footer="0.3"/>
  <legacyDrawing r:id="rId1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B873D-AF53-894A-8BB7-264775B83F80}">
  <dimension ref="A1:AR61"/>
  <sheetViews>
    <sheetView zoomScaleNormal="100" workbookViewId="0">
      <selection sqref="A1:AR1"/>
    </sheetView>
  </sheetViews>
  <sheetFormatPr baseColWidth="10" defaultColWidth="10.83203125" defaultRowHeight="16" x14ac:dyDescent="0.2"/>
  <cols>
    <col min="1" max="1" width="3.6640625" style="3" customWidth="1"/>
    <col min="2" max="2" width="20.1640625" style="3" customWidth="1"/>
    <col min="3" max="3" width="10.33203125" style="3" customWidth="1"/>
    <col min="4" max="4" width="7.33203125" style="3" customWidth="1"/>
    <col min="5" max="5" width="10.83203125" style="3"/>
    <col min="6" max="6" width="7.83203125" style="3" customWidth="1"/>
    <col min="7" max="7" width="9.33203125" style="3" customWidth="1"/>
    <col min="8" max="8" width="5.83203125" style="3" customWidth="1"/>
    <col min="9" max="9" width="21.33203125" style="3" customWidth="1"/>
    <col min="10" max="10" width="11.1640625" style="3" customWidth="1"/>
    <col min="11" max="11" width="11.83203125" style="3" customWidth="1"/>
    <col min="12" max="12" width="5" style="3" customWidth="1"/>
    <col min="13" max="13" width="25.6640625" style="3" customWidth="1"/>
    <col min="14" max="14" width="14.6640625" style="3" customWidth="1"/>
    <col min="15" max="15" width="47.5" style="3" customWidth="1"/>
    <col min="16" max="16" width="12.83203125" style="3" bestFit="1" customWidth="1"/>
    <col min="17" max="19" width="12.33203125" style="3" bestFit="1" customWidth="1"/>
    <col min="20" max="20" width="12.1640625" style="3" customWidth="1"/>
    <col min="21" max="21" width="10.83203125" style="3"/>
    <col min="22" max="22" width="31.1640625" style="3" customWidth="1"/>
    <col min="23" max="23" width="25.1640625" style="3" customWidth="1"/>
    <col min="24" max="24" width="9.83203125" style="3" customWidth="1"/>
    <col min="25" max="25" width="4.1640625" style="3" customWidth="1"/>
    <col min="26" max="26" width="7.83203125" style="3" customWidth="1"/>
    <col min="27" max="28" width="6" style="3" customWidth="1"/>
    <col min="29" max="29" width="7.33203125" style="3" customWidth="1"/>
    <col min="30" max="30" width="5.1640625" style="3" customWidth="1"/>
    <col min="31" max="31" width="4.83203125" style="3" customWidth="1"/>
    <col min="32" max="32" width="6.1640625" style="3" customWidth="1"/>
    <col min="33" max="33" width="7.33203125" style="3" customWidth="1"/>
    <col min="34" max="35" width="5" style="3" customWidth="1"/>
    <col min="36" max="36" width="6.6640625" style="3" customWidth="1"/>
    <col min="37" max="37" width="6.5" style="3" customWidth="1"/>
    <col min="38" max="38" width="6.1640625" style="3" customWidth="1"/>
    <col min="39" max="39" width="5.6640625" style="3" customWidth="1"/>
    <col min="40" max="40" width="5" style="3" customWidth="1"/>
    <col min="41" max="16384" width="10.83203125" style="3"/>
  </cols>
  <sheetData>
    <row r="1" spans="1:44" x14ac:dyDescent="0.2">
      <c r="A1" s="223" t="s">
        <v>2394</v>
      </c>
      <c r="B1" s="223" t="s">
        <v>2395</v>
      </c>
      <c r="C1" s="223" t="s">
        <v>2396</v>
      </c>
      <c r="D1" s="223" t="s">
        <v>2397</v>
      </c>
      <c r="E1" s="223" t="s">
        <v>2398</v>
      </c>
      <c r="F1" s="223" t="s">
        <v>2399</v>
      </c>
      <c r="G1" s="223" t="s">
        <v>2400</v>
      </c>
      <c r="H1" s="223" t="s">
        <v>2401</v>
      </c>
      <c r="I1" s="223" t="s">
        <v>2402</v>
      </c>
      <c r="J1" s="223" t="s">
        <v>2403</v>
      </c>
      <c r="K1" s="223" t="s">
        <v>2404</v>
      </c>
      <c r="L1" s="223" t="s">
        <v>2405</v>
      </c>
      <c r="M1" s="223" t="s">
        <v>2406</v>
      </c>
      <c r="N1" s="223" t="s">
        <v>2407</v>
      </c>
      <c r="O1" s="223" t="s">
        <v>2408</v>
      </c>
      <c r="P1" s="223" t="s">
        <v>2409</v>
      </c>
      <c r="Q1" s="223" t="s">
        <v>2410</v>
      </c>
      <c r="R1" s="223" t="s">
        <v>2411</v>
      </c>
      <c r="S1" s="223" t="s">
        <v>2412</v>
      </c>
      <c r="T1" s="223" t="s">
        <v>2413</v>
      </c>
      <c r="U1" s="223" t="s">
        <v>2414</v>
      </c>
      <c r="V1" s="223" t="s">
        <v>2415</v>
      </c>
      <c r="W1" s="223" t="s">
        <v>2416</v>
      </c>
      <c r="X1" s="223" t="s">
        <v>2433</v>
      </c>
      <c r="Y1" s="223" t="s">
        <v>2417</v>
      </c>
      <c r="Z1" s="223" t="s">
        <v>2418</v>
      </c>
      <c r="AA1" s="223" t="s">
        <v>2419</v>
      </c>
      <c r="AB1" s="223" t="s">
        <v>2420</v>
      </c>
      <c r="AC1" s="223" t="s">
        <v>2421</v>
      </c>
      <c r="AD1" s="223" t="s">
        <v>2422</v>
      </c>
      <c r="AE1" s="223" t="s">
        <v>2423</v>
      </c>
      <c r="AF1" s="223" t="s">
        <v>2424</v>
      </c>
      <c r="AG1" s="223" t="s">
        <v>2425</v>
      </c>
      <c r="AH1" s="223" t="s">
        <v>2426</v>
      </c>
      <c r="AI1" s="223" t="s">
        <v>2427</v>
      </c>
      <c r="AJ1" s="223" t="s">
        <v>2428</v>
      </c>
      <c r="AK1" s="223" t="s">
        <v>2429</v>
      </c>
      <c r="AL1" s="223" t="s">
        <v>2430</v>
      </c>
      <c r="AM1" s="223" t="s">
        <v>2431</v>
      </c>
      <c r="AN1" s="223" t="s">
        <v>2432</v>
      </c>
      <c r="AO1" s="224"/>
      <c r="AP1" s="225"/>
      <c r="AQ1" s="6"/>
      <c r="AR1" s="6"/>
    </row>
    <row r="2" spans="1:44" x14ac:dyDescent="0.2">
      <c r="A2" s="3">
        <v>7</v>
      </c>
      <c r="B2" s="3" t="s">
        <v>219</v>
      </c>
      <c r="C2" s="3" t="s">
        <v>250</v>
      </c>
      <c r="D2" s="108">
        <v>60</v>
      </c>
      <c r="E2" s="108">
        <v>62</v>
      </c>
      <c r="F2" s="109">
        <v>196</v>
      </c>
      <c r="G2" s="4">
        <v>31496</v>
      </c>
      <c r="H2" s="113">
        <f ca="1">ROUNDDOWN(YEARFRAC($G$24,G2),1)</f>
        <v>34.5</v>
      </c>
      <c r="I2" s="3" t="s">
        <v>589</v>
      </c>
      <c r="J2" s="3">
        <v>15</v>
      </c>
      <c r="K2" s="3">
        <v>2006</v>
      </c>
      <c r="L2" s="3">
        <v>24</v>
      </c>
      <c r="M2" s="3" t="s">
        <v>1890</v>
      </c>
      <c r="N2" s="3" t="s">
        <v>1</v>
      </c>
      <c r="O2" s="3" t="s">
        <v>2360</v>
      </c>
      <c r="P2" s="11">
        <v>30500000</v>
      </c>
      <c r="Q2" s="14">
        <v>43750000</v>
      </c>
      <c r="V2" s="3" t="s">
        <v>2363</v>
      </c>
      <c r="W2" s="5" t="s">
        <v>291</v>
      </c>
      <c r="X2" s="110">
        <v>1</v>
      </c>
      <c r="Y2" s="110">
        <v>52</v>
      </c>
      <c r="Z2" s="41">
        <f>36/52</f>
        <v>0.69230769230769229</v>
      </c>
      <c r="AA2" s="113">
        <v>111.1</v>
      </c>
      <c r="AB2" s="113">
        <v>105</v>
      </c>
      <c r="AC2" s="113">
        <f t="shared" ref="AC2:AC10" si="0">AA2-AB2</f>
        <v>6.0999999999999943</v>
      </c>
      <c r="AD2" s="113">
        <v>36.6</v>
      </c>
      <c r="AE2" s="113">
        <v>17.899999999999999</v>
      </c>
      <c r="AF2" s="41">
        <v>0.58899999999999997</v>
      </c>
      <c r="AG2" s="113">
        <v>23.1</v>
      </c>
      <c r="AH2" s="113">
        <v>4.0999999999999996</v>
      </c>
      <c r="AI2" s="113">
        <v>2.8</v>
      </c>
      <c r="AJ2" s="41">
        <v>0.17299999999999999</v>
      </c>
      <c r="AK2" s="113">
        <v>2.5</v>
      </c>
      <c r="AL2" s="113">
        <v>0.7</v>
      </c>
      <c r="AM2" s="113">
        <v>2.5</v>
      </c>
      <c r="AN2" s="113">
        <v>12.3</v>
      </c>
    </row>
    <row r="3" spans="1:44" x14ac:dyDescent="0.2">
      <c r="A3" s="3">
        <v>43</v>
      </c>
      <c r="B3" s="3" t="s">
        <v>1906</v>
      </c>
      <c r="C3" s="3" t="s">
        <v>244</v>
      </c>
      <c r="D3" s="108">
        <v>69</v>
      </c>
      <c r="E3" s="108">
        <v>73</v>
      </c>
      <c r="F3" s="109">
        <v>230</v>
      </c>
      <c r="G3" s="4">
        <v>34426</v>
      </c>
      <c r="H3" s="113">
        <f t="shared" ref="H3:H10" ca="1" si="1">ROUNDDOWN(YEARFRAC($G$24,G3),1)</f>
        <v>26.5</v>
      </c>
      <c r="I3" s="3" t="s">
        <v>1907</v>
      </c>
      <c r="J3" s="3">
        <v>5</v>
      </c>
      <c r="K3" s="3">
        <v>2016</v>
      </c>
      <c r="L3" s="3">
        <v>27</v>
      </c>
      <c r="M3" s="3" t="s">
        <v>1908</v>
      </c>
      <c r="N3" s="3" t="s">
        <v>1</v>
      </c>
      <c r="O3" s="3" t="s">
        <v>2361</v>
      </c>
      <c r="P3" s="11">
        <v>27285000</v>
      </c>
      <c r="Q3" s="11">
        <v>29430000</v>
      </c>
      <c r="R3" s="11">
        <v>31610000</v>
      </c>
      <c r="S3" s="11">
        <v>33790000</v>
      </c>
      <c r="T3" s="14">
        <v>41343750</v>
      </c>
      <c r="W3" s="3" t="s">
        <v>1909</v>
      </c>
      <c r="X3" s="110">
        <v>4</v>
      </c>
      <c r="Y3" s="110">
        <v>53</v>
      </c>
      <c r="Z3" s="41">
        <f>40/53</f>
        <v>0.75471698113207553</v>
      </c>
      <c r="AA3" s="113">
        <v>112.8</v>
      </c>
      <c r="AB3" s="113">
        <v>104</v>
      </c>
      <c r="AC3" s="113">
        <f t="shared" si="0"/>
        <v>8.7999999999999972</v>
      </c>
      <c r="AD3" s="113">
        <v>35.5</v>
      </c>
      <c r="AE3" s="113">
        <v>18.7</v>
      </c>
      <c r="AF3" s="41">
        <v>0.55900000000000005</v>
      </c>
      <c r="AG3" s="113">
        <v>28.5</v>
      </c>
      <c r="AH3" s="113">
        <v>2</v>
      </c>
      <c r="AI3" s="113">
        <v>3.2</v>
      </c>
      <c r="AJ3" s="41">
        <v>0.13300000000000001</v>
      </c>
      <c r="AK3" s="113">
        <v>1.7</v>
      </c>
      <c r="AL3" s="113">
        <v>0.5</v>
      </c>
      <c r="AM3" s="113">
        <v>2</v>
      </c>
      <c r="AN3" s="113">
        <v>13.2</v>
      </c>
    </row>
    <row r="4" spans="1:44" x14ac:dyDescent="0.2">
      <c r="A4" s="3">
        <v>24</v>
      </c>
      <c r="B4" s="3" t="s">
        <v>1896</v>
      </c>
      <c r="C4" s="3" t="s">
        <v>255</v>
      </c>
      <c r="D4" s="108">
        <v>63</v>
      </c>
      <c r="E4" s="108">
        <v>611</v>
      </c>
      <c r="F4" s="109">
        <v>215</v>
      </c>
      <c r="G4" s="4">
        <v>34114</v>
      </c>
      <c r="H4" s="113">
        <f t="shared" ca="1" si="1"/>
        <v>27.4</v>
      </c>
      <c r="I4" s="3" t="s">
        <v>564</v>
      </c>
      <c r="J4" s="3">
        <v>6</v>
      </c>
      <c r="K4" s="3">
        <v>2015</v>
      </c>
      <c r="L4" s="3">
        <v>46</v>
      </c>
      <c r="M4" s="3" t="s">
        <v>1897</v>
      </c>
      <c r="N4" s="3" t="s">
        <v>5</v>
      </c>
      <c r="O4" s="3" t="s">
        <v>2299</v>
      </c>
      <c r="P4" s="11">
        <v>10865952</v>
      </c>
      <c r="Q4" s="48">
        <v>11615328</v>
      </c>
      <c r="R4" s="14">
        <f>Q4*1.5</f>
        <v>17422992</v>
      </c>
      <c r="W4" s="3" t="s">
        <v>1898</v>
      </c>
      <c r="X4" s="110">
        <v>2</v>
      </c>
      <c r="Y4" s="110">
        <v>44</v>
      </c>
      <c r="Z4" s="41">
        <f>33/44</f>
        <v>0.75</v>
      </c>
      <c r="AA4" s="113">
        <v>110.7</v>
      </c>
      <c r="AB4" s="113">
        <v>104</v>
      </c>
      <c r="AC4" s="113">
        <f t="shared" si="0"/>
        <v>6.7000000000000028</v>
      </c>
      <c r="AD4" s="113">
        <v>28.8</v>
      </c>
      <c r="AE4" s="113">
        <v>17.399999999999999</v>
      </c>
      <c r="AF4" s="41">
        <v>0.629</v>
      </c>
      <c r="AG4" s="113">
        <v>21.5</v>
      </c>
      <c r="AH4" s="113">
        <v>2.2000000000000002</v>
      </c>
      <c r="AI4" s="113">
        <v>1.9</v>
      </c>
      <c r="AJ4" s="41">
        <v>0.157</v>
      </c>
      <c r="AK4" s="113">
        <v>1.4</v>
      </c>
      <c r="AL4" s="113">
        <v>0.9</v>
      </c>
      <c r="AM4" s="113">
        <v>1.4</v>
      </c>
      <c r="AN4" s="113">
        <v>11.1</v>
      </c>
    </row>
    <row r="5" spans="1:44" x14ac:dyDescent="0.2">
      <c r="A5" s="3">
        <v>22</v>
      </c>
      <c r="B5" s="3" t="s">
        <v>1901</v>
      </c>
      <c r="C5" s="3" t="s">
        <v>255</v>
      </c>
      <c r="D5" s="108">
        <v>67</v>
      </c>
      <c r="E5" s="108">
        <v>610</v>
      </c>
      <c r="F5" s="109">
        <v>181</v>
      </c>
      <c r="G5" s="4">
        <v>34997</v>
      </c>
      <c r="H5" s="113">
        <f t="shared" ca="1" si="1"/>
        <v>24.9</v>
      </c>
      <c r="I5" s="3" t="s">
        <v>856</v>
      </c>
      <c r="J5" s="3">
        <v>5</v>
      </c>
      <c r="K5" s="3">
        <v>2016</v>
      </c>
      <c r="L5" s="3">
        <v>38</v>
      </c>
      <c r="M5" s="3" t="s">
        <v>1902</v>
      </c>
      <c r="N5" s="3" t="s">
        <v>521</v>
      </c>
      <c r="O5" s="3" t="s">
        <v>2362</v>
      </c>
      <c r="P5" s="11">
        <v>4000000</v>
      </c>
      <c r="Q5" s="14">
        <f>P5*1.9</f>
        <v>7600000</v>
      </c>
      <c r="W5" s="3" t="s">
        <v>1903</v>
      </c>
      <c r="X5" s="110">
        <v>3</v>
      </c>
      <c r="Y5" s="110">
        <v>37</v>
      </c>
      <c r="Z5" s="41">
        <f>27/37</f>
        <v>0.72972972972972971</v>
      </c>
      <c r="AA5" s="113">
        <v>106.1</v>
      </c>
      <c r="AB5" s="113">
        <v>105.5</v>
      </c>
      <c r="AC5" s="113">
        <f t="shared" si="0"/>
        <v>0.59999999999999432</v>
      </c>
      <c r="AD5" s="113">
        <v>24.5</v>
      </c>
      <c r="AE5" s="113">
        <v>7.3</v>
      </c>
      <c r="AF5" s="41">
        <v>0.5</v>
      </c>
      <c r="AG5" s="113">
        <v>9.4</v>
      </c>
      <c r="AH5" s="113">
        <v>0.2</v>
      </c>
      <c r="AI5" s="113">
        <v>1.2</v>
      </c>
      <c r="AJ5" s="41">
        <v>7.2999999999999995E-2</v>
      </c>
      <c r="AK5" s="113">
        <v>-3.6</v>
      </c>
      <c r="AL5" s="113">
        <v>1.8</v>
      </c>
      <c r="AM5" s="113">
        <v>0</v>
      </c>
      <c r="AN5" s="113">
        <v>5</v>
      </c>
    </row>
    <row r="6" spans="1:44" x14ac:dyDescent="0.2">
      <c r="A6" s="3">
        <v>3</v>
      </c>
      <c r="B6" s="3" t="s">
        <v>1910</v>
      </c>
      <c r="C6" s="3" t="s">
        <v>244</v>
      </c>
      <c r="D6" s="108">
        <v>67</v>
      </c>
      <c r="E6" s="108">
        <v>72</v>
      </c>
      <c r="F6" s="109">
        <v>232</v>
      </c>
      <c r="G6" s="4">
        <v>35628</v>
      </c>
      <c r="H6" s="113">
        <f t="shared" ca="1" si="1"/>
        <v>23.2</v>
      </c>
      <c r="I6" s="3" t="s">
        <v>374</v>
      </c>
      <c r="J6" s="3">
        <v>4</v>
      </c>
      <c r="K6" s="3">
        <v>2017</v>
      </c>
      <c r="L6" s="3">
        <v>23</v>
      </c>
      <c r="M6" s="3" t="s">
        <v>1911</v>
      </c>
      <c r="N6" s="3" t="s">
        <v>247</v>
      </c>
      <c r="O6" s="3" t="s">
        <v>2099</v>
      </c>
      <c r="P6" s="11">
        <v>3872215</v>
      </c>
      <c r="Q6" s="50">
        <f>P6*3</f>
        <v>11616645</v>
      </c>
      <c r="W6" s="3" t="s">
        <v>1912</v>
      </c>
      <c r="X6" s="110">
        <v>3</v>
      </c>
      <c r="Y6" s="110">
        <v>63</v>
      </c>
      <c r="Z6" s="41">
        <f>45/63</f>
        <v>0.7142857142857143</v>
      </c>
      <c r="AA6" s="113">
        <v>111.1</v>
      </c>
      <c r="AB6" s="113">
        <v>105.5</v>
      </c>
      <c r="AC6" s="113">
        <f t="shared" si="0"/>
        <v>5.5999999999999943</v>
      </c>
      <c r="AD6" s="113">
        <v>30.1</v>
      </c>
      <c r="AE6" s="113">
        <v>13.2</v>
      </c>
      <c r="AF6" s="41">
        <v>0.59799999999999998</v>
      </c>
      <c r="AG6" s="113">
        <v>14.4</v>
      </c>
      <c r="AH6" s="113">
        <v>1.8</v>
      </c>
      <c r="AI6" s="113">
        <v>3.3</v>
      </c>
      <c r="AJ6" s="41">
        <v>0.13</v>
      </c>
      <c r="AK6" s="113">
        <v>-0.9</v>
      </c>
      <c r="AL6" s="113">
        <v>1.8</v>
      </c>
      <c r="AM6" s="113">
        <v>1.4</v>
      </c>
      <c r="AN6" s="113">
        <v>8.5</v>
      </c>
    </row>
    <row r="7" spans="1:44" x14ac:dyDescent="0.2">
      <c r="A7" s="3">
        <v>5</v>
      </c>
      <c r="B7" s="3" t="s">
        <v>173</v>
      </c>
      <c r="C7" s="3" t="s">
        <v>244</v>
      </c>
      <c r="D7" s="108">
        <v>66</v>
      </c>
      <c r="E7" s="108">
        <v>70</v>
      </c>
      <c r="F7" s="109">
        <v>242</v>
      </c>
      <c r="G7" s="4">
        <v>35214</v>
      </c>
      <c r="H7" s="113">
        <f t="shared" ca="1" si="1"/>
        <v>24.4</v>
      </c>
      <c r="I7" s="3" t="s">
        <v>537</v>
      </c>
      <c r="J7" s="3">
        <v>6</v>
      </c>
      <c r="K7" s="3">
        <v>2015</v>
      </c>
      <c r="L7" s="3">
        <v>8</v>
      </c>
      <c r="M7" s="3" t="s">
        <v>1282</v>
      </c>
      <c r="N7" s="3" t="s">
        <v>543</v>
      </c>
      <c r="O7" s="163" t="s">
        <v>729</v>
      </c>
      <c r="P7" s="48">
        <v>3804150</v>
      </c>
      <c r="Q7" s="14">
        <f>P7*1.3</f>
        <v>4945395</v>
      </c>
      <c r="W7" s="3" t="s">
        <v>1904</v>
      </c>
      <c r="X7" s="110">
        <v>4</v>
      </c>
      <c r="Y7" s="110">
        <v>20</v>
      </c>
      <c r="Z7" s="41">
        <f>15/20</f>
        <v>0.75</v>
      </c>
      <c r="AA7" s="113">
        <v>91.3</v>
      </c>
      <c r="AB7" s="113">
        <v>96.1</v>
      </c>
      <c r="AC7" s="113">
        <f t="shared" si="0"/>
        <v>-4.7999999999999972</v>
      </c>
      <c r="AD7" s="113">
        <v>4.8</v>
      </c>
      <c r="AE7" s="113">
        <v>3.1</v>
      </c>
      <c r="AF7" s="41">
        <v>0.34200000000000003</v>
      </c>
      <c r="AG7" s="113">
        <v>18.600000000000001</v>
      </c>
      <c r="AH7" s="113">
        <v>-0.3</v>
      </c>
      <c r="AI7" s="113">
        <v>0.2</v>
      </c>
      <c r="AJ7" s="41">
        <v>-6.8000000000000005E-2</v>
      </c>
      <c r="AK7" s="113">
        <v>-7.9</v>
      </c>
      <c r="AL7" s="113">
        <v>1.4</v>
      </c>
      <c r="AM7" s="113">
        <v>-0.1</v>
      </c>
      <c r="AN7" s="113">
        <v>4.5999999999999996</v>
      </c>
    </row>
    <row r="8" spans="1:44" x14ac:dyDescent="0.2">
      <c r="A8" s="3">
        <v>21</v>
      </c>
      <c r="B8" s="3" t="s">
        <v>177</v>
      </c>
      <c r="C8" s="3" t="s">
        <v>255</v>
      </c>
      <c r="D8" s="108">
        <v>64</v>
      </c>
      <c r="E8" s="108">
        <v>65</v>
      </c>
      <c r="F8" s="109">
        <v>190</v>
      </c>
      <c r="G8" s="4">
        <v>34550</v>
      </c>
      <c r="H8" s="113">
        <f t="shared" ca="1" si="1"/>
        <v>26.2</v>
      </c>
      <c r="I8" s="3" t="s">
        <v>1916</v>
      </c>
      <c r="J8" s="3">
        <v>2</v>
      </c>
      <c r="K8" s="3">
        <v>2017</v>
      </c>
      <c r="M8" s="3" t="s">
        <v>597</v>
      </c>
      <c r="N8" s="3" t="s">
        <v>521</v>
      </c>
      <c r="O8" s="163" t="s">
        <v>464</v>
      </c>
      <c r="P8" s="15">
        <v>1517981</v>
      </c>
      <c r="Q8" s="15">
        <v>1782621</v>
      </c>
      <c r="R8" s="50">
        <v>2228276</v>
      </c>
      <c r="W8" s="3" t="s">
        <v>1917</v>
      </c>
      <c r="X8" s="110">
        <v>2</v>
      </c>
      <c r="Y8" s="110">
        <v>33</v>
      </c>
      <c r="Z8" s="41">
        <f>24/33</f>
        <v>0.72727272727272729</v>
      </c>
      <c r="AA8" s="113">
        <v>101.9</v>
      </c>
      <c r="AB8" s="113">
        <v>102.1</v>
      </c>
      <c r="AC8" s="113">
        <f t="shared" si="0"/>
        <v>-0.19999999999998863</v>
      </c>
      <c r="AD8" s="113">
        <v>9.6999999999999993</v>
      </c>
      <c r="AE8" s="113">
        <v>13.6</v>
      </c>
      <c r="AF8" s="41">
        <v>0.65</v>
      </c>
      <c r="AG8" s="113">
        <v>17</v>
      </c>
      <c r="AH8" s="113">
        <v>0.5</v>
      </c>
      <c r="AI8" s="113">
        <v>0.4</v>
      </c>
      <c r="AJ8" s="41">
        <v>0.13700000000000001</v>
      </c>
      <c r="AK8" s="113">
        <v>1</v>
      </c>
      <c r="AL8" s="113">
        <v>0.4</v>
      </c>
      <c r="AM8" s="113">
        <v>0.3</v>
      </c>
      <c r="AN8" s="113">
        <v>9.9</v>
      </c>
    </row>
    <row r="9" spans="1:44" x14ac:dyDescent="0.2">
      <c r="A9" s="3">
        <v>0</v>
      </c>
      <c r="B9" s="3" t="s">
        <v>1918</v>
      </c>
      <c r="C9" s="3" t="s">
        <v>232</v>
      </c>
      <c r="D9" s="108">
        <v>64</v>
      </c>
      <c r="E9" s="108">
        <v>68</v>
      </c>
      <c r="F9" s="109">
        <v>201</v>
      </c>
      <c r="G9" s="4">
        <v>35566</v>
      </c>
      <c r="H9" s="113">
        <f t="shared" ca="1" si="1"/>
        <v>23.4</v>
      </c>
      <c r="I9" s="3" t="s">
        <v>1919</v>
      </c>
      <c r="J9" s="3">
        <v>2</v>
      </c>
      <c r="K9" s="3">
        <v>2019</v>
      </c>
      <c r="M9" s="3" t="s">
        <v>1282</v>
      </c>
      <c r="N9" s="3" t="s">
        <v>282</v>
      </c>
      <c r="O9" s="163" t="s">
        <v>402</v>
      </c>
      <c r="P9" s="15">
        <v>1517981</v>
      </c>
      <c r="Q9" s="50">
        <v>2056061</v>
      </c>
      <c r="W9" s="3" t="s">
        <v>1920</v>
      </c>
      <c r="X9" s="110">
        <v>2</v>
      </c>
      <c r="Y9" s="110">
        <v>64</v>
      </c>
      <c r="Z9" s="41">
        <f>46/64</f>
        <v>0.71875</v>
      </c>
      <c r="AA9" s="113">
        <v>112.3</v>
      </c>
      <c r="AB9" s="113">
        <v>102.4</v>
      </c>
      <c r="AC9" s="113">
        <f t="shared" si="0"/>
        <v>9.8999999999999915</v>
      </c>
      <c r="AD9" s="113">
        <v>17</v>
      </c>
      <c r="AE9" s="113">
        <v>14.5</v>
      </c>
      <c r="AF9" s="41">
        <v>0.59799999999999998</v>
      </c>
      <c r="AG9" s="113">
        <v>18.899999999999999</v>
      </c>
      <c r="AH9" s="113">
        <v>1.4</v>
      </c>
      <c r="AI9" s="113">
        <v>1.6</v>
      </c>
      <c r="AJ9" s="41">
        <v>0.13300000000000001</v>
      </c>
      <c r="AK9" s="113">
        <v>0.7</v>
      </c>
      <c r="AL9" s="113">
        <v>0.6</v>
      </c>
      <c r="AM9" s="113">
        <v>0.9</v>
      </c>
      <c r="AN9" s="113">
        <v>10.8</v>
      </c>
    </row>
    <row r="10" spans="1:44" x14ac:dyDescent="0.2">
      <c r="A10" s="3">
        <v>20</v>
      </c>
      <c r="B10" s="3" t="s">
        <v>178</v>
      </c>
      <c r="C10" s="3" t="s">
        <v>236</v>
      </c>
      <c r="D10" s="108">
        <v>610</v>
      </c>
      <c r="E10" s="108">
        <v>72</v>
      </c>
      <c r="F10" s="109">
        <v>235</v>
      </c>
      <c r="G10" s="4">
        <v>35408</v>
      </c>
      <c r="H10" s="113">
        <f t="shared" ca="1" si="1"/>
        <v>23.8</v>
      </c>
      <c r="I10" s="3" t="s">
        <v>1921</v>
      </c>
      <c r="J10" s="3">
        <v>2</v>
      </c>
      <c r="K10" s="3">
        <v>2019</v>
      </c>
      <c r="L10" s="3">
        <v>59</v>
      </c>
      <c r="M10" s="3" t="s">
        <v>1922</v>
      </c>
      <c r="N10" s="3" t="s">
        <v>521</v>
      </c>
      <c r="O10" s="163" t="s">
        <v>464</v>
      </c>
      <c r="P10" s="15">
        <v>1517981</v>
      </c>
      <c r="Q10" s="15">
        <v>1782621</v>
      </c>
      <c r="R10" s="50">
        <v>2228276</v>
      </c>
      <c r="W10" s="5" t="s">
        <v>240</v>
      </c>
      <c r="X10" s="110">
        <v>5</v>
      </c>
      <c r="Y10" s="110">
        <v>4</v>
      </c>
      <c r="Z10" s="41">
        <f>4/4</f>
        <v>1</v>
      </c>
      <c r="AA10" s="113">
        <v>107.7</v>
      </c>
      <c r="AB10" s="113">
        <v>108</v>
      </c>
      <c r="AC10" s="113">
        <f t="shared" si="0"/>
        <v>-0.29999999999999716</v>
      </c>
      <c r="AD10" s="113">
        <v>2.8</v>
      </c>
      <c r="AE10" s="113">
        <v>4.2</v>
      </c>
      <c r="AF10" s="41">
        <v>0.34</v>
      </c>
      <c r="AG10" s="113">
        <v>26.8</v>
      </c>
      <c r="AH10" s="113">
        <v>0</v>
      </c>
      <c r="AI10" s="113">
        <v>0</v>
      </c>
      <c r="AJ10" s="41">
        <v>3.0000000000000001E-3</v>
      </c>
      <c r="AK10" s="113">
        <v>-18.3</v>
      </c>
      <c r="AL10" s="113">
        <v>-3</v>
      </c>
      <c r="AM10" s="113">
        <v>-0.1</v>
      </c>
      <c r="AN10" s="113">
        <v>0</v>
      </c>
    </row>
    <row r="11" spans="1:44" x14ac:dyDescent="0.2">
      <c r="B11" s="3" t="s">
        <v>297</v>
      </c>
      <c r="F11" s="109"/>
      <c r="P11" s="11"/>
      <c r="Q11" s="11"/>
      <c r="R11" s="11"/>
      <c r="S11" s="11"/>
      <c r="X11" s="110"/>
      <c r="Y11" s="110"/>
      <c r="Z11" s="41"/>
      <c r="AF11" s="41"/>
      <c r="AJ11" s="41"/>
    </row>
    <row r="12" spans="1:44" x14ac:dyDescent="0.2">
      <c r="B12" s="3" t="s">
        <v>1169</v>
      </c>
      <c r="P12" s="11">
        <v>1950600</v>
      </c>
      <c r="Q12" s="11">
        <v>2048040</v>
      </c>
      <c r="R12" s="51">
        <v>2145720</v>
      </c>
      <c r="S12" s="51">
        <v>3873025</v>
      </c>
      <c r="T12" s="50">
        <f>S12*3</f>
        <v>11619075</v>
      </c>
      <c r="X12" s="110"/>
      <c r="Y12" s="110"/>
      <c r="Z12" s="41"/>
      <c r="AF12" s="41"/>
      <c r="AJ12" s="41"/>
    </row>
    <row r="13" spans="1:44" x14ac:dyDescent="0.2">
      <c r="B13" s="3" t="s">
        <v>2165</v>
      </c>
      <c r="P13" s="179">
        <v>898310</v>
      </c>
      <c r="X13" s="110"/>
      <c r="Y13" s="110"/>
      <c r="Z13" s="41"/>
      <c r="AF13" s="41"/>
      <c r="AJ13" s="41"/>
    </row>
    <row r="14" spans="1:44" x14ac:dyDescent="0.2">
      <c r="B14" s="5"/>
      <c r="P14" s="11"/>
      <c r="X14" s="110"/>
      <c r="Y14" s="110"/>
      <c r="Z14" s="41"/>
      <c r="AF14" s="41"/>
      <c r="AJ14" s="41"/>
    </row>
    <row r="15" spans="1:44" x14ac:dyDescent="0.2">
      <c r="A15" s="3">
        <v>33</v>
      </c>
      <c r="B15" s="3" t="s">
        <v>170</v>
      </c>
      <c r="C15" s="3" t="s">
        <v>236</v>
      </c>
      <c r="D15" s="108">
        <v>611</v>
      </c>
      <c r="E15" s="108">
        <v>74</v>
      </c>
      <c r="F15" s="109">
        <v>255</v>
      </c>
      <c r="G15" s="4">
        <v>31076</v>
      </c>
      <c r="H15" s="113">
        <f t="shared" ref="H15:H22" ca="1" si="2">ROUNDDOWN(YEARFRAC($G$24,G15),1)</f>
        <v>35.700000000000003</v>
      </c>
      <c r="I15" s="3" t="s">
        <v>1891</v>
      </c>
      <c r="J15" s="3">
        <v>13</v>
      </c>
      <c r="K15" s="3">
        <v>2007</v>
      </c>
      <c r="L15" s="3">
        <v>48</v>
      </c>
      <c r="M15" s="3" t="s">
        <v>1096</v>
      </c>
      <c r="P15" s="14">
        <v>38393550</v>
      </c>
      <c r="W15" s="3" t="s">
        <v>1893</v>
      </c>
      <c r="X15" s="110">
        <v>5</v>
      </c>
      <c r="Y15" s="110">
        <v>36</v>
      </c>
      <c r="Z15" s="41">
        <f>28/36</f>
        <v>0.77777777777777779</v>
      </c>
      <c r="AA15" s="113">
        <v>110.6</v>
      </c>
      <c r="AB15" s="113">
        <v>100.2</v>
      </c>
      <c r="AC15" s="113">
        <f t="shared" ref="AC15:AC22" si="3">AA15-AB15</f>
        <v>10.399999999999991</v>
      </c>
      <c r="AD15" s="113">
        <v>27.5</v>
      </c>
      <c r="AE15" s="113">
        <v>11.9</v>
      </c>
      <c r="AF15" s="41">
        <v>0.54600000000000004</v>
      </c>
      <c r="AG15" s="113">
        <v>12.7</v>
      </c>
      <c r="AH15" s="113">
        <v>0.9</v>
      </c>
      <c r="AI15" s="113">
        <v>1.8</v>
      </c>
      <c r="AJ15" s="41">
        <v>0.128</v>
      </c>
      <c r="AK15" s="113">
        <v>-0.9</v>
      </c>
      <c r="AL15" s="113">
        <v>2.7</v>
      </c>
      <c r="AM15" s="113">
        <v>0.9</v>
      </c>
      <c r="AN15" s="113">
        <v>9.1999999999999993</v>
      </c>
    </row>
    <row r="16" spans="1:44" x14ac:dyDescent="0.2">
      <c r="A16" s="3">
        <v>9</v>
      </c>
      <c r="B16" s="3" t="s">
        <v>171</v>
      </c>
      <c r="C16" s="3" t="s">
        <v>236</v>
      </c>
      <c r="D16" s="108">
        <v>70</v>
      </c>
      <c r="E16" s="108">
        <v>73</v>
      </c>
      <c r="F16" s="109">
        <v>235</v>
      </c>
      <c r="G16" s="4">
        <v>32769</v>
      </c>
      <c r="H16" s="113">
        <f t="shared" ca="1" si="2"/>
        <v>31.1</v>
      </c>
      <c r="I16" s="3" t="s">
        <v>1894</v>
      </c>
      <c r="J16" s="3">
        <v>12</v>
      </c>
      <c r="K16" s="3">
        <v>2008</v>
      </c>
      <c r="L16" s="3">
        <v>24</v>
      </c>
      <c r="M16" s="3" t="s">
        <v>1895</v>
      </c>
      <c r="O16" s="11"/>
      <c r="P16" s="14">
        <v>34907406</v>
      </c>
      <c r="W16" s="5" t="s">
        <v>240</v>
      </c>
      <c r="X16" s="110">
        <v>5</v>
      </c>
      <c r="Y16" s="110">
        <v>50</v>
      </c>
      <c r="Z16" s="41">
        <f>36/50</f>
        <v>0.72</v>
      </c>
      <c r="AA16" s="113">
        <v>109.5</v>
      </c>
      <c r="AB16" s="113">
        <v>105</v>
      </c>
      <c r="AC16" s="113">
        <f t="shared" si="3"/>
        <v>4.5</v>
      </c>
      <c r="AD16" s="113">
        <v>27.5</v>
      </c>
      <c r="AE16" s="113">
        <v>18</v>
      </c>
      <c r="AF16" s="41">
        <v>0.59299999999999997</v>
      </c>
      <c r="AG16" s="113">
        <v>24.1</v>
      </c>
      <c r="AH16" s="113">
        <v>1.5</v>
      </c>
      <c r="AI16" s="113">
        <v>2.4</v>
      </c>
      <c r="AJ16" s="41">
        <v>0.13600000000000001</v>
      </c>
      <c r="AK16" s="113">
        <v>0.5</v>
      </c>
      <c r="AL16" s="113">
        <v>-0.1</v>
      </c>
      <c r="AM16" s="113">
        <v>0.9</v>
      </c>
      <c r="AN16" s="113">
        <v>12.8</v>
      </c>
    </row>
    <row r="17" spans="1:40" x14ac:dyDescent="0.2">
      <c r="A17" s="3">
        <v>23</v>
      </c>
      <c r="B17" s="3" t="s">
        <v>172</v>
      </c>
      <c r="C17" s="3" t="s">
        <v>232</v>
      </c>
      <c r="D17" s="108">
        <v>61</v>
      </c>
      <c r="E17" s="108">
        <v>62</v>
      </c>
      <c r="F17" s="109">
        <v>197</v>
      </c>
      <c r="G17" s="4">
        <v>34390</v>
      </c>
      <c r="H17" s="113">
        <f t="shared" ca="1" si="2"/>
        <v>26.6</v>
      </c>
      <c r="I17" s="3" t="s">
        <v>1099</v>
      </c>
      <c r="J17" s="3">
        <v>5</v>
      </c>
      <c r="K17" s="3">
        <v>2016</v>
      </c>
      <c r="M17" s="3" t="s">
        <v>1899</v>
      </c>
      <c r="P17" s="14">
        <v>17757691</v>
      </c>
      <c r="T17" s="26"/>
      <c r="W17" s="3" t="s">
        <v>1900</v>
      </c>
      <c r="X17" s="110">
        <v>2</v>
      </c>
      <c r="Y17" s="110">
        <v>48</v>
      </c>
      <c r="Z17" s="41">
        <f>35/48</f>
        <v>0.72916666666666663</v>
      </c>
      <c r="AA17" s="113">
        <v>109.9</v>
      </c>
      <c r="AB17" s="113">
        <v>104.8</v>
      </c>
      <c r="AC17" s="113">
        <f t="shared" si="3"/>
        <v>5.1000000000000085</v>
      </c>
      <c r="AD17" s="113">
        <v>35.799999999999997</v>
      </c>
      <c r="AE17" s="113">
        <v>16</v>
      </c>
      <c r="AF17" s="41">
        <v>0.54600000000000004</v>
      </c>
      <c r="AG17" s="113">
        <v>22</v>
      </c>
      <c r="AH17" s="113">
        <v>2.2000000000000002</v>
      </c>
      <c r="AI17" s="113">
        <v>2.7</v>
      </c>
      <c r="AJ17" s="41">
        <v>0.13600000000000001</v>
      </c>
      <c r="AK17" s="113">
        <v>1</v>
      </c>
      <c r="AL17" s="113">
        <v>1.3</v>
      </c>
      <c r="AM17" s="113">
        <v>1.8</v>
      </c>
      <c r="AN17" s="113">
        <v>11.2</v>
      </c>
    </row>
    <row r="18" spans="1:40" x14ac:dyDescent="0.2">
      <c r="A18" s="3">
        <v>4</v>
      </c>
      <c r="B18" s="3" t="s">
        <v>174</v>
      </c>
      <c r="C18" s="3" t="s">
        <v>236</v>
      </c>
      <c r="D18" s="108">
        <v>66</v>
      </c>
      <c r="E18" s="108">
        <v>72</v>
      </c>
      <c r="F18" s="109">
        <v>217</v>
      </c>
      <c r="G18" s="4">
        <v>34702</v>
      </c>
      <c r="H18" s="113">
        <f t="shared" ca="1" si="2"/>
        <v>25.8</v>
      </c>
      <c r="I18" s="3" t="s">
        <v>537</v>
      </c>
      <c r="J18" s="3">
        <v>6</v>
      </c>
      <c r="K18" s="3">
        <v>2015</v>
      </c>
      <c r="L18" s="3">
        <v>23</v>
      </c>
      <c r="M18" s="3" t="s">
        <v>597</v>
      </c>
      <c r="P18" s="14">
        <v>3000000</v>
      </c>
      <c r="W18" s="3" t="s">
        <v>1905</v>
      </c>
      <c r="X18" s="110">
        <v>3</v>
      </c>
      <c r="Y18" s="110">
        <v>52</v>
      </c>
      <c r="Z18" s="41">
        <f>36/52</f>
        <v>0.69230769230769229</v>
      </c>
      <c r="AA18" s="113">
        <v>108.5</v>
      </c>
      <c r="AB18" s="113">
        <v>103.4</v>
      </c>
      <c r="AC18" s="113">
        <f t="shared" si="3"/>
        <v>5.0999999999999943</v>
      </c>
      <c r="AD18" s="113">
        <v>19.2</v>
      </c>
      <c r="AE18" s="113">
        <v>15.5</v>
      </c>
      <c r="AF18" s="41">
        <v>0.53300000000000003</v>
      </c>
      <c r="AG18" s="113">
        <v>17.2</v>
      </c>
      <c r="AH18" s="113">
        <v>1.4</v>
      </c>
      <c r="AI18" s="113">
        <v>1.8</v>
      </c>
      <c r="AJ18" s="41">
        <v>0.153</v>
      </c>
      <c r="AK18" s="113">
        <v>-1.1000000000000001</v>
      </c>
      <c r="AL18" s="113">
        <v>1.5</v>
      </c>
      <c r="AM18" s="113">
        <v>0.6</v>
      </c>
      <c r="AN18" s="113">
        <v>10.3</v>
      </c>
    </row>
    <row r="19" spans="1:40" x14ac:dyDescent="0.2">
      <c r="A19" s="3">
        <v>25</v>
      </c>
      <c r="B19" s="3" t="s">
        <v>175</v>
      </c>
      <c r="C19" s="3" t="s">
        <v>236</v>
      </c>
      <c r="D19" s="108">
        <v>69</v>
      </c>
      <c r="E19" s="108">
        <v>74</v>
      </c>
      <c r="F19" s="109">
        <v>200</v>
      </c>
      <c r="G19" s="4">
        <v>33980</v>
      </c>
      <c r="H19" s="113">
        <f t="shared" ca="1" si="2"/>
        <v>27.7</v>
      </c>
      <c r="I19" s="3" t="s">
        <v>812</v>
      </c>
      <c r="J19" s="3">
        <v>4</v>
      </c>
      <c r="K19" s="3">
        <v>2017</v>
      </c>
      <c r="M19" s="3" t="s">
        <v>1221</v>
      </c>
      <c r="P19" s="50">
        <v>1985289</v>
      </c>
      <c r="W19" s="3" t="s">
        <v>1913</v>
      </c>
      <c r="X19" s="110">
        <v>5</v>
      </c>
      <c r="Y19" s="110">
        <v>55</v>
      </c>
      <c r="Z19" s="41">
        <f>39/55</f>
        <v>0.70909090909090911</v>
      </c>
      <c r="AA19" s="113">
        <v>108.3</v>
      </c>
      <c r="AB19" s="113">
        <v>102.9</v>
      </c>
      <c r="AC19" s="113">
        <f t="shared" si="3"/>
        <v>5.3999999999999915</v>
      </c>
      <c r="AD19" s="113">
        <v>13.2</v>
      </c>
      <c r="AE19" s="113">
        <v>19.8</v>
      </c>
      <c r="AF19" s="41">
        <v>0.56999999999999995</v>
      </c>
      <c r="AG19" s="113">
        <v>19.399999999999999</v>
      </c>
      <c r="AH19" s="113">
        <v>1.7</v>
      </c>
      <c r="AI19" s="113">
        <v>1.5</v>
      </c>
      <c r="AJ19" s="41">
        <v>0.214</v>
      </c>
      <c r="AK19" s="113">
        <v>0.4</v>
      </c>
      <c r="AL19" s="113">
        <v>1</v>
      </c>
      <c r="AM19" s="113">
        <v>0.6</v>
      </c>
      <c r="AN19" s="113">
        <v>12.3</v>
      </c>
    </row>
    <row r="20" spans="1:40" x14ac:dyDescent="0.2">
      <c r="A20" s="3">
        <v>13</v>
      </c>
      <c r="B20" s="3" t="s">
        <v>176</v>
      </c>
      <c r="C20" s="3" t="s">
        <v>255</v>
      </c>
      <c r="D20" s="108">
        <v>67</v>
      </c>
      <c r="E20" s="108">
        <v>70</v>
      </c>
      <c r="F20" s="109">
        <v>210</v>
      </c>
      <c r="G20" s="4">
        <v>34034</v>
      </c>
      <c r="H20" s="113">
        <f t="shared" ca="1" si="2"/>
        <v>27.6</v>
      </c>
      <c r="I20" s="3" t="s">
        <v>1914</v>
      </c>
      <c r="J20" s="3">
        <v>4</v>
      </c>
      <c r="K20" s="3">
        <v>2015</v>
      </c>
      <c r="M20" s="3" t="s">
        <v>841</v>
      </c>
      <c r="O20" s="26"/>
      <c r="P20" s="50">
        <v>1985289</v>
      </c>
      <c r="W20" s="3" t="s">
        <v>1915</v>
      </c>
      <c r="X20" s="110">
        <v>4</v>
      </c>
      <c r="Y20" s="110">
        <v>25</v>
      </c>
      <c r="Z20" s="41">
        <f>21/25</f>
        <v>0.84</v>
      </c>
      <c r="AA20" s="113">
        <v>91.3</v>
      </c>
      <c r="AB20" s="113">
        <v>96.1</v>
      </c>
      <c r="AC20" s="113">
        <f t="shared" si="3"/>
        <v>-4.7999999999999972</v>
      </c>
      <c r="AD20" s="113">
        <v>5</v>
      </c>
      <c r="AE20" s="113">
        <v>4.7</v>
      </c>
      <c r="AF20" s="41">
        <v>0.432</v>
      </c>
      <c r="AG20" s="113">
        <v>10.1</v>
      </c>
      <c r="AH20" s="113">
        <v>-0.1</v>
      </c>
      <c r="AI20" s="113">
        <v>0.2</v>
      </c>
      <c r="AJ20" s="41">
        <v>3.6999999999999998E-2</v>
      </c>
      <c r="AK20" s="113">
        <v>-4.3</v>
      </c>
      <c r="AL20" s="113">
        <v>1.4</v>
      </c>
      <c r="AM20" s="113">
        <v>0</v>
      </c>
      <c r="AN20" s="113">
        <v>2.9</v>
      </c>
    </row>
    <row r="21" spans="1:40" x14ac:dyDescent="0.2">
      <c r="A21" s="3">
        <v>12</v>
      </c>
      <c r="B21" s="3" t="s">
        <v>1923</v>
      </c>
      <c r="C21" s="3" t="s">
        <v>244</v>
      </c>
      <c r="D21" s="108">
        <v>67</v>
      </c>
      <c r="E21" s="108">
        <v>70</v>
      </c>
      <c r="F21" s="109">
        <v>210</v>
      </c>
      <c r="G21" s="4">
        <v>35966</v>
      </c>
      <c r="H21" s="113">
        <f t="shared" ca="1" si="2"/>
        <v>22.3</v>
      </c>
      <c r="I21" s="3" t="s">
        <v>777</v>
      </c>
      <c r="J21" s="3">
        <v>2</v>
      </c>
      <c r="K21" s="3">
        <v>2019</v>
      </c>
      <c r="M21" s="3" t="s">
        <v>1924</v>
      </c>
      <c r="P21" s="34"/>
      <c r="W21" s="3" t="s">
        <v>1925</v>
      </c>
      <c r="X21" s="110">
        <v>3</v>
      </c>
      <c r="Y21" s="110">
        <v>19</v>
      </c>
      <c r="Z21" s="41">
        <f>15/19</f>
        <v>0.78947368421052633</v>
      </c>
      <c r="AA21" s="113">
        <v>108.1</v>
      </c>
      <c r="AB21" s="113">
        <v>96.5</v>
      </c>
      <c r="AC21" s="113">
        <f t="shared" si="3"/>
        <v>11.599999999999994</v>
      </c>
      <c r="AD21" s="113">
        <v>7.1</v>
      </c>
      <c r="AE21" s="113">
        <v>6.7</v>
      </c>
      <c r="AF21" s="41">
        <v>0.45800000000000002</v>
      </c>
      <c r="AG21" s="113">
        <v>15</v>
      </c>
      <c r="AH21" s="113">
        <v>-0.1</v>
      </c>
      <c r="AI21" s="113">
        <v>0.2</v>
      </c>
      <c r="AJ21" s="41">
        <v>4.2000000000000003E-2</v>
      </c>
      <c r="AK21" s="113">
        <v>-5.7</v>
      </c>
      <c r="AL21" s="113">
        <v>0.3</v>
      </c>
      <c r="AM21" s="113">
        <v>-0.1</v>
      </c>
      <c r="AN21" s="113">
        <v>4.2</v>
      </c>
    </row>
    <row r="22" spans="1:40" x14ac:dyDescent="0.2">
      <c r="A22" s="3">
        <v>1</v>
      </c>
      <c r="B22" s="3" t="s">
        <v>1926</v>
      </c>
      <c r="C22" s="3" t="s">
        <v>244</v>
      </c>
      <c r="D22" s="108">
        <v>66</v>
      </c>
      <c r="E22" s="108">
        <v>67</v>
      </c>
      <c r="F22" s="109">
        <v>210</v>
      </c>
      <c r="G22" s="4">
        <v>34698</v>
      </c>
      <c r="H22" s="113">
        <f t="shared" ca="1" si="2"/>
        <v>25.8</v>
      </c>
      <c r="I22" s="3" t="s">
        <v>1927</v>
      </c>
      <c r="J22" s="3">
        <v>2</v>
      </c>
      <c r="K22" s="3">
        <v>2017</v>
      </c>
      <c r="M22" s="3" t="s">
        <v>473</v>
      </c>
      <c r="P22" s="34"/>
      <c r="W22" s="3" t="s">
        <v>1928</v>
      </c>
      <c r="X22" s="110">
        <v>4</v>
      </c>
      <c r="Y22" s="110">
        <v>3</v>
      </c>
      <c r="Z22" s="41">
        <f>3/3</f>
        <v>1</v>
      </c>
      <c r="AA22" s="113">
        <v>90.5</v>
      </c>
      <c r="AB22" s="113">
        <v>94.7</v>
      </c>
      <c r="AC22" s="113">
        <f t="shared" si="3"/>
        <v>-4.2000000000000028</v>
      </c>
      <c r="AD22" s="113">
        <v>2.8</v>
      </c>
      <c r="AE22" s="113">
        <v>13.6</v>
      </c>
      <c r="AF22" s="41">
        <v>0.26600000000000001</v>
      </c>
      <c r="AG22" s="113">
        <v>10.1</v>
      </c>
      <c r="AH22" s="113">
        <v>0</v>
      </c>
      <c r="AI22" s="113">
        <v>0</v>
      </c>
      <c r="AJ22" s="41">
        <v>0.114</v>
      </c>
      <c r="AK22" s="113">
        <v>1.1000000000000001</v>
      </c>
      <c r="AL22" s="113">
        <v>5.8</v>
      </c>
      <c r="AM22" s="113">
        <v>0</v>
      </c>
      <c r="AN22" s="113">
        <v>10.8</v>
      </c>
    </row>
    <row r="23" spans="1:40" x14ac:dyDescent="0.2">
      <c r="B23" s="5"/>
      <c r="P23" s="11"/>
      <c r="X23" s="110"/>
      <c r="Y23" s="110"/>
      <c r="Z23" s="41"/>
      <c r="AF23" s="41"/>
      <c r="AJ23" s="41"/>
    </row>
    <row r="24" spans="1:40" x14ac:dyDescent="0.2">
      <c r="G24" s="4">
        <f ca="1">TODAY()</f>
        <v>44128</v>
      </c>
      <c r="H24" s="36">
        <f ca="1">AVERAGE(H2:H10)</f>
        <v>26.033333333333335</v>
      </c>
      <c r="J24" s="36">
        <f>AVERAGE(J2:J10)</f>
        <v>5.2222222222222223</v>
      </c>
      <c r="Z24" s="41"/>
      <c r="AF24" s="41"/>
    </row>
    <row r="25" spans="1:40" x14ac:dyDescent="0.2">
      <c r="H25" s="36">
        <f ca="1">MEDIAN(H2:H10)</f>
        <v>24.9</v>
      </c>
      <c r="J25" s="110">
        <f>MEDIAN(J2:J10)</f>
        <v>5</v>
      </c>
      <c r="P25" s="11"/>
      <c r="Z25" s="41"/>
      <c r="AF25" s="41"/>
    </row>
    <row r="26" spans="1:40" x14ac:dyDescent="0.2">
      <c r="B26" s="209" t="s">
        <v>2224</v>
      </c>
      <c r="M26" s="209"/>
      <c r="P26" s="11">
        <f>P2+P3+P4+P5+P6+P12+725000</f>
        <v>79198767</v>
      </c>
      <c r="Z26" s="41"/>
      <c r="AF26" s="41"/>
    </row>
    <row r="27" spans="1:40" x14ac:dyDescent="0.2">
      <c r="B27" s="3" t="s">
        <v>2085</v>
      </c>
      <c r="C27" s="3">
        <v>5</v>
      </c>
      <c r="P27" s="11">
        <f>P2+P3+P4+P5+P6+P7+725000+P12</f>
        <v>83002917</v>
      </c>
    </row>
    <row r="28" spans="1:40" x14ac:dyDescent="0.2">
      <c r="B28" s="3" t="s">
        <v>2088</v>
      </c>
      <c r="C28" s="3">
        <v>4</v>
      </c>
      <c r="P28" s="29">
        <f>P2+P3+P4+P5+P6+P7+P8+P9+P10+P12</f>
        <v>86831860</v>
      </c>
    </row>
    <row r="29" spans="1:40" x14ac:dyDescent="0.2">
      <c r="B29" s="3" t="s">
        <v>2086</v>
      </c>
      <c r="C29" s="3">
        <v>2</v>
      </c>
    </row>
    <row r="30" spans="1:40" x14ac:dyDescent="0.2">
      <c r="B30" s="3" t="s">
        <v>2219</v>
      </c>
      <c r="C30" s="3" t="s">
        <v>2364</v>
      </c>
      <c r="O30" s="3" t="s">
        <v>300</v>
      </c>
      <c r="P30" s="11">
        <v>109140000</v>
      </c>
    </row>
    <row r="31" spans="1:40" x14ac:dyDescent="0.2">
      <c r="B31" s="3" t="s">
        <v>301</v>
      </c>
      <c r="C31" s="22">
        <v>0</v>
      </c>
      <c r="N31" s="22"/>
      <c r="O31" s="22" t="s">
        <v>302</v>
      </c>
      <c r="P31" s="11">
        <v>132627000</v>
      </c>
    </row>
    <row r="32" spans="1:40" x14ac:dyDescent="0.2">
      <c r="B32" s="3" t="s">
        <v>303</v>
      </c>
      <c r="C32" s="22">
        <v>0</v>
      </c>
      <c r="N32" s="22"/>
    </row>
    <row r="34" spans="2:13" x14ac:dyDescent="0.2">
      <c r="B34" s="5" t="s">
        <v>2084</v>
      </c>
      <c r="M34" s="5"/>
    </row>
    <row r="35" spans="2:13" x14ac:dyDescent="0.2">
      <c r="B35" s="3" t="s">
        <v>304</v>
      </c>
      <c r="C35" s="41">
        <f>53/(53+19)</f>
        <v>0.73611111111111116</v>
      </c>
    </row>
    <row r="36" spans="2:13" x14ac:dyDescent="0.2">
      <c r="B36" s="3" t="s">
        <v>306</v>
      </c>
      <c r="C36" s="3">
        <v>110.8</v>
      </c>
      <c r="D36" s="3" t="s">
        <v>2181</v>
      </c>
    </row>
    <row r="37" spans="2:13" x14ac:dyDescent="0.2">
      <c r="B37" s="3" t="s">
        <v>307</v>
      </c>
      <c r="C37" s="3">
        <v>104.7</v>
      </c>
      <c r="D37" s="3" t="s">
        <v>2269</v>
      </c>
    </row>
    <row r="38" spans="2:13" x14ac:dyDescent="0.2">
      <c r="B38" s="3" t="s">
        <v>308</v>
      </c>
      <c r="C38" s="3">
        <f>C36-C37</f>
        <v>6.0999999999999943</v>
      </c>
      <c r="D38" s="3" t="s">
        <v>2172</v>
      </c>
    </row>
    <row r="39" spans="2:13" x14ac:dyDescent="0.2">
      <c r="B39" s="3" t="s">
        <v>309</v>
      </c>
      <c r="C39" s="3">
        <v>101.19</v>
      </c>
      <c r="D39" s="3" t="s">
        <v>2315</v>
      </c>
    </row>
    <row r="41" spans="2:13" x14ac:dyDescent="0.2">
      <c r="B41" s="2" t="s">
        <v>310</v>
      </c>
    </row>
    <row r="42" spans="2:13" x14ac:dyDescent="0.2">
      <c r="B42" s="2" t="s">
        <v>1170</v>
      </c>
    </row>
    <row r="43" spans="2:13" x14ac:dyDescent="0.2">
      <c r="B43" s="10"/>
    </row>
    <row r="44" spans="2:13" x14ac:dyDescent="0.2">
      <c r="B44" s="2" t="s">
        <v>318</v>
      </c>
    </row>
    <row r="45" spans="2:13" x14ac:dyDescent="0.2">
      <c r="B45" s="2" t="s">
        <v>1931</v>
      </c>
      <c r="D45" s="3" t="s">
        <v>2366</v>
      </c>
    </row>
    <row r="46" spans="2:13" x14ac:dyDescent="0.2">
      <c r="B46" s="2" t="s">
        <v>2367</v>
      </c>
      <c r="D46" s="3" t="s">
        <v>2368</v>
      </c>
    </row>
    <row r="47" spans="2:13" x14ac:dyDescent="0.2">
      <c r="B47" s="2" t="s">
        <v>1932</v>
      </c>
      <c r="D47" s="3" t="s">
        <v>170</v>
      </c>
    </row>
    <row r="48" spans="2:13" x14ac:dyDescent="0.2">
      <c r="B48" s="2"/>
    </row>
    <row r="49" spans="2:9" x14ac:dyDescent="0.2">
      <c r="B49" s="5" t="s">
        <v>2228</v>
      </c>
    </row>
    <row r="50" spans="2:9" x14ac:dyDescent="0.2">
      <c r="B50" s="39" t="s">
        <v>322</v>
      </c>
      <c r="C50" s="3">
        <v>53</v>
      </c>
      <c r="D50" s="3">
        <v>19</v>
      </c>
      <c r="E50" s="3" t="s">
        <v>414</v>
      </c>
      <c r="G50" s="3" t="s">
        <v>1930</v>
      </c>
      <c r="I50" s="3" t="s">
        <v>2365</v>
      </c>
    </row>
    <row r="51" spans="2:9" x14ac:dyDescent="0.2">
      <c r="B51" s="39" t="s">
        <v>325</v>
      </c>
      <c r="C51" s="3">
        <v>58</v>
      </c>
      <c r="D51" s="3">
        <v>24</v>
      </c>
      <c r="E51" s="3" t="s">
        <v>414</v>
      </c>
      <c r="G51" s="3" t="s">
        <v>1930</v>
      </c>
      <c r="I51" s="3" t="s">
        <v>1933</v>
      </c>
    </row>
    <row r="52" spans="2:9" x14ac:dyDescent="0.2">
      <c r="B52" s="39" t="s">
        <v>327</v>
      </c>
      <c r="C52" s="3">
        <v>59</v>
      </c>
      <c r="D52" s="3">
        <v>23</v>
      </c>
      <c r="E52" s="3" t="s">
        <v>337</v>
      </c>
      <c r="G52" s="3" t="s">
        <v>878</v>
      </c>
      <c r="I52" s="3" t="s">
        <v>1934</v>
      </c>
    </row>
    <row r="53" spans="2:9" x14ac:dyDescent="0.2">
      <c r="B53" s="39" t="s">
        <v>330</v>
      </c>
      <c r="C53" s="3">
        <v>51</v>
      </c>
      <c r="D53" s="3">
        <v>31</v>
      </c>
      <c r="E53" s="3" t="s">
        <v>411</v>
      </c>
      <c r="G53" s="3" t="s">
        <v>878</v>
      </c>
      <c r="I53" s="3" t="s">
        <v>1935</v>
      </c>
    </row>
    <row r="54" spans="2:9" x14ac:dyDescent="0.2">
      <c r="B54" s="39" t="s">
        <v>333</v>
      </c>
      <c r="C54" s="3">
        <v>56</v>
      </c>
      <c r="D54" s="3">
        <v>26</v>
      </c>
      <c r="E54" s="3" t="s">
        <v>414</v>
      </c>
      <c r="G54" s="3" t="s">
        <v>878</v>
      </c>
      <c r="I54" s="3" t="s">
        <v>1936</v>
      </c>
    </row>
    <row r="55" spans="2:9" x14ac:dyDescent="0.2">
      <c r="B55" s="39" t="s">
        <v>336</v>
      </c>
      <c r="C55" s="3">
        <v>49</v>
      </c>
      <c r="D55" s="3">
        <v>33</v>
      </c>
      <c r="E55" s="3" t="s">
        <v>334</v>
      </c>
      <c r="G55" s="3" t="s">
        <v>878</v>
      </c>
      <c r="I55" s="3" t="s">
        <v>1937</v>
      </c>
    </row>
    <row r="56" spans="2:9" x14ac:dyDescent="0.2">
      <c r="B56" s="39" t="s">
        <v>339</v>
      </c>
      <c r="C56" s="3">
        <v>48</v>
      </c>
      <c r="D56" s="3">
        <v>34</v>
      </c>
      <c r="E56" s="3" t="s">
        <v>411</v>
      </c>
      <c r="G56" s="3" t="s">
        <v>878</v>
      </c>
      <c r="I56" s="3" t="s">
        <v>1938</v>
      </c>
    </row>
    <row r="57" spans="2:9" x14ac:dyDescent="0.2">
      <c r="B57" s="39" t="s">
        <v>342</v>
      </c>
      <c r="C57" s="3">
        <v>34</v>
      </c>
      <c r="D57" s="3">
        <v>48</v>
      </c>
      <c r="E57" s="3" t="s">
        <v>549</v>
      </c>
      <c r="G57" s="3" t="s">
        <v>878</v>
      </c>
      <c r="I57" s="38" t="s">
        <v>324</v>
      </c>
    </row>
    <row r="58" spans="2:9" x14ac:dyDescent="0.2">
      <c r="B58" s="39" t="s">
        <v>346</v>
      </c>
      <c r="C58" s="3">
        <v>23</v>
      </c>
      <c r="D58" s="3">
        <v>43</v>
      </c>
      <c r="E58" s="3" t="s">
        <v>552</v>
      </c>
      <c r="G58" s="3" t="s">
        <v>878</v>
      </c>
      <c r="I58" s="38" t="s">
        <v>324</v>
      </c>
    </row>
    <row r="59" spans="2:9" x14ac:dyDescent="0.2">
      <c r="B59" s="39" t="s">
        <v>348</v>
      </c>
      <c r="C59" s="3">
        <v>22</v>
      </c>
      <c r="D59" s="3">
        <v>60</v>
      </c>
      <c r="E59" s="3" t="s">
        <v>323</v>
      </c>
      <c r="G59" s="3" t="s">
        <v>1939</v>
      </c>
      <c r="I59" s="38" t="s">
        <v>324</v>
      </c>
    </row>
    <row r="60" spans="2:9" x14ac:dyDescent="0.2">
      <c r="B60" s="3" t="s">
        <v>350</v>
      </c>
      <c r="C60" s="3">
        <f>SUM(C50:C59)</f>
        <v>453</v>
      </c>
      <c r="D60" s="3">
        <f>SUM(D50:D59)</f>
        <v>341</v>
      </c>
      <c r="E60" s="41">
        <f>C60/(C60+D60)</f>
        <v>0.57052896725440805</v>
      </c>
    </row>
    <row r="61" spans="2:9" x14ac:dyDescent="0.2">
      <c r="B61" s="3" t="s">
        <v>2388</v>
      </c>
      <c r="C61" s="3">
        <f>SUM(C50:C54)</f>
        <v>277</v>
      </c>
      <c r="D61" s="3">
        <f>SUM(D50:D54)</f>
        <v>123</v>
      </c>
      <c r="E61" s="41">
        <f>C61/(C61+D61)</f>
        <v>0.6925</v>
      </c>
    </row>
  </sheetData>
  <hyperlinks>
    <hyperlink ref="B50" r:id="rId1" xr:uid="{548C433C-6F43-C74E-A190-7F95A7053612}"/>
    <hyperlink ref="B51" r:id="rId2" xr:uid="{08FD7C32-59AE-794C-8389-5AAB6A2C782B}"/>
    <hyperlink ref="B52" r:id="rId3" xr:uid="{C0BF48B9-686E-4F40-ABAD-D02036B42E44}"/>
    <hyperlink ref="B53" r:id="rId4" xr:uid="{1ED33D1C-6D4F-4B49-98F0-442E7745BC99}"/>
    <hyperlink ref="B54" r:id="rId5" xr:uid="{223D6597-B0A9-E041-A0A0-F53BEC0355C7}"/>
    <hyperlink ref="B55" r:id="rId6" xr:uid="{8853B927-5D98-714C-8C62-478F4A5D71B0}"/>
    <hyperlink ref="B56" r:id="rId7" xr:uid="{5ED6649B-5B16-0C4E-A45D-FF888E1ED443}"/>
    <hyperlink ref="B57" r:id="rId8" xr:uid="{B82199E5-40B5-CB4D-90A0-A9896419290E}"/>
    <hyperlink ref="B58" r:id="rId9" xr:uid="{9FCB90A2-1C56-0946-8522-7567EF260B34}"/>
    <hyperlink ref="B59" r:id="rId10" xr:uid="{97952F8B-70BD-984B-8435-B658EBC3C91A}"/>
  </hyperlinks>
  <pageMargins left="0.7" right="0.7" top="0.75" bottom="0.75" header="0.3" footer="0.3"/>
  <ignoredErrors>
    <ignoredError sqref="C61:D61" formulaRange="1"/>
  </ignoredErrors>
  <legacyDrawing r:id="rId1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DD38D-904D-F440-BFDC-5206EF7554B7}">
  <dimension ref="A1:AR63"/>
  <sheetViews>
    <sheetView zoomScaleNormal="100" workbookViewId="0">
      <selection sqref="A1:AR1"/>
    </sheetView>
  </sheetViews>
  <sheetFormatPr baseColWidth="10" defaultColWidth="10.83203125" defaultRowHeight="16" x14ac:dyDescent="0.2"/>
  <cols>
    <col min="1" max="1" width="3.33203125" style="60" customWidth="1"/>
    <col min="2" max="2" width="19.6640625" style="60" customWidth="1"/>
    <col min="3" max="3" width="10.1640625" style="60" customWidth="1"/>
    <col min="4" max="4" width="7.33203125" style="60" customWidth="1"/>
    <col min="5" max="5" width="10.33203125" style="60" customWidth="1"/>
    <col min="6" max="6" width="8" style="60" customWidth="1"/>
    <col min="7" max="7" width="9.33203125" style="60" customWidth="1"/>
    <col min="8" max="8" width="5.83203125" style="60" customWidth="1"/>
    <col min="9" max="9" width="21.6640625" style="60" customWidth="1"/>
    <col min="10" max="11" width="11.33203125" style="60" customWidth="1"/>
    <col min="12" max="12" width="5.1640625" style="60" customWidth="1"/>
    <col min="13" max="13" width="28" style="60" customWidth="1"/>
    <col min="14" max="14" width="20.6640625" style="60" customWidth="1"/>
    <col min="15" max="15" width="82.83203125" style="60" customWidth="1"/>
    <col min="16" max="16" width="13.33203125" style="60" bestFit="1" customWidth="1"/>
    <col min="17" max="19" width="12.33203125" style="60" bestFit="1" customWidth="1"/>
    <col min="20" max="20" width="13.83203125" style="60" bestFit="1" customWidth="1"/>
    <col min="21" max="21" width="10" style="60" customWidth="1"/>
    <col min="22" max="22" width="135.1640625" style="60" customWidth="1"/>
    <col min="23" max="23" width="21.1640625" style="60" customWidth="1"/>
    <col min="24" max="24" width="9.33203125" style="60" customWidth="1"/>
    <col min="25" max="25" width="3.6640625" style="60" customWidth="1"/>
    <col min="26" max="26" width="7.83203125" style="60" customWidth="1"/>
    <col min="27" max="27" width="6.1640625" style="60" customWidth="1"/>
    <col min="28" max="28" width="6.5" style="60" customWidth="1"/>
    <col min="29" max="29" width="7.33203125" style="60" customWidth="1"/>
    <col min="30" max="30" width="5.33203125" style="60" customWidth="1"/>
    <col min="31" max="31" width="5" style="60" customWidth="1"/>
    <col min="32" max="32" width="6.1640625" style="60" customWidth="1"/>
    <col min="33" max="33" width="7.83203125" style="60" customWidth="1"/>
    <col min="34" max="34" width="5.33203125" style="60" customWidth="1"/>
    <col min="35" max="35" width="5.1640625" style="60" customWidth="1"/>
    <col min="36" max="36" width="6.6640625" style="60" customWidth="1"/>
    <col min="37" max="37" width="6.5" style="60" customWidth="1"/>
    <col min="38" max="38" width="6" style="60" customWidth="1"/>
    <col min="39" max="39" width="5.83203125" style="60" customWidth="1"/>
    <col min="40" max="40" width="4.5" style="60" customWidth="1"/>
    <col min="41" max="16384" width="10.83203125" style="60"/>
  </cols>
  <sheetData>
    <row r="1" spans="1:44" x14ac:dyDescent="0.2">
      <c r="A1" s="223" t="s">
        <v>2394</v>
      </c>
      <c r="B1" s="223" t="s">
        <v>2395</v>
      </c>
      <c r="C1" s="223" t="s">
        <v>2396</v>
      </c>
      <c r="D1" s="223" t="s">
        <v>2397</v>
      </c>
      <c r="E1" s="223" t="s">
        <v>2398</v>
      </c>
      <c r="F1" s="223" t="s">
        <v>2399</v>
      </c>
      <c r="G1" s="223" t="s">
        <v>2400</v>
      </c>
      <c r="H1" s="223" t="s">
        <v>2401</v>
      </c>
      <c r="I1" s="223" t="s">
        <v>2402</v>
      </c>
      <c r="J1" s="223" t="s">
        <v>2403</v>
      </c>
      <c r="K1" s="223" t="s">
        <v>2404</v>
      </c>
      <c r="L1" s="223" t="s">
        <v>2405</v>
      </c>
      <c r="M1" s="223" t="s">
        <v>2406</v>
      </c>
      <c r="N1" s="223" t="s">
        <v>2407</v>
      </c>
      <c r="O1" s="223" t="s">
        <v>2408</v>
      </c>
      <c r="P1" s="223" t="s">
        <v>2409</v>
      </c>
      <c r="Q1" s="223" t="s">
        <v>2410</v>
      </c>
      <c r="R1" s="223" t="s">
        <v>2411</v>
      </c>
      <c r="S1" s="223" t="s">
        <v>2412</v>
      </c>
      <c r="T1" s="223" t="s">
        <v>2413</v>
      </c>
      <c r="U1" s="223" t="s">
        <v>2414</v>
      </c>
      <c r="V1" s="223" t="s">
        <v>2415</v>
      </c>
      <c r="W1" s="223" t="s">
        <v>2416</v>
      </c>
      <c r="X1" s="223" t="s">
        <v>2433</v>
      </c>
      <c r="Y1" s="223" t="s">
        <v>2417</v>
      </c>
      <c r="Z1" s="223" t="s">
        <v>2418</v>
      </c>
      <c r="AA1" s="223" t="s">
        <v>2419</v>
      </c>
      <c r="AB1" s="223" t="s">
        <v>2420</v>
      </c>
      <c r="AC1" s="223" t="s">
        <v>2421</v>
      </c>
      <c r="AD1" s="223" t="s">
        <v>2422</v>
      </c>
      <c r="AE1" s="223" t="s">
        <v>2423</v>
      </c>
      <c r="AF1" s="223" t="s">
        <v>2424</v>
      </c>
      <c r="AG1" s="223" t="s">
        <v>2425</v>
      </c>
      <c r="AH1" s="223" t="s">
        <v>2426</v>
      </c>
      <c r="AI1" s="223" t="s">
        <v>2427</v>
      </c>
      <c r="AJ1" s="223" t="s">
        <v>2428</v>
      </c>
      <c r="AK1" s="223" t="s">
        <v>2429</v>
      </c>
      <c r="AL1" s="223" t="s">
        <v>2430</v>
      </c>
      <c r="AM1" s="223" t="s">
        <v>2431</v>
      </c>
      <c r="AN1" s="223" t="s">
        <v>2432</v>
      </c>
      <c r="AO1" s="224"/>
      <c r="AP1" s="225"/>
      <c r="AQ1" s="6"/>
      <c r="AR1" s="6"/>
    </row>
    <row r="2" spans="1:44" x14ac:dyDescent="0.2">
      <c r="A2" s="3">
        <v>10</v>
      </c>
      <c r="B2" s="3" t="s">
        <v>1230</v>
      </c>
      <c r="C2" s="3" t="s">
        <v>250</v>
      </c>
      <c r="D2" s="108">
        <v>61</v>
      </c>
      <c r="E2" s="108">
        <v>66</v>
      </c>
      <c r="F2" s="109">
        <v>175</v>
      </c>
      <c r="G2" s="4">
        <v>32061</v>
      </c>
      <c r="H2" s="113">
        <f ca="1">ROUNDDOWN(YEARFRAC(G2,$G$23),1)</f>
        <v>33</v>
      </c>
      <c r="I2" s="3" t="s">
        <v>798</v>
      </c>
      <c r="J2" s="3">
        <v>14</v>
      </c>
      <c r="K2" s="3">
        <v>2007</v>
      </c>
      <c r="L2" s="3">
        <v>4</v>
      </c>
      <c r="M2" s="3" t="s">
        <v>1940</v>
      </c>
      <c r="N2" s="3" t="s">
        <v>1892</v>
      </c>
      <c r="O2" s="163" t="s">
        <v>1941</v>
      </c>
      <c r="P2" s="174">
        <v>34502132</v>
      </c>
      <c r="Q2" s="14">
        <v>43750000</v>
      </c>
      <c r="R2" s="3"/>
      <c r="S2" s="3"/>
      <c r="T2" s="3"/>
      <c r="U2" s="3"/>
      <c r="V2" s="3"/>
      <c r="W2" s="98" t="s">
        <v>291</v>
      </c>
      <c r="X2" s="69">
        <v>1</v>
      </c>
      <c r="Y2" s="69">
        <v>41</v>
      </c>
      <c r="Z2" s="65">
        <f>24/41</f>
        <v>0.58536585365853655</v>
      </c>
      <c r="AA2" s="122">
        <v>109.1</v>
      </c>
      <c r="AB2" s="122">
        <v>107.6</v>
      </c>
      <c r="AC2" s="122">
        <f t="shared" ref="AC2:AC14" si="0">AA2-AB2</f>
        <v>1.5</v>
      </c>
      <c r="AD2" s="122">
        <v>28.6</v>
      </c>
      <c r="AE2" s="122">
        <v>13.7</v>
      </c>
      <c r="AF2" s="65">
        <v>0.52700000000000002</v>
      </c>
      <c r="AG2" s="122">
        <v>23</v>
      </c>
      <c r="AH2" s="122">
        <v>1</v>
      </c>
      <c r="AI2" s="122">
        <v>1</v>
      </c>
      <c r="AJ2" s="65">
        <v>8.5000000000000006E-2</v>
      </c>
      <c r="AK2" s="122">
        <v>0.4</v>
      </c>
      <c r="AL2" s="122">
        <v>-0.4</v>
      </c>
      <c r="AM2" s="122">
        <v>0.6</v>
      </c>
      <c r="AN2" s="122">
        <v>9.3000000000000007</v>
      </c>
    </row>
    <row r="3" spans="1:44" x14ac:dyDescent="0.2">
      <c r="A3" s="3">
        <v>27</v>
      </c>
      <c r="B3" s="3" t="s">
        <v>220</v>
      </c>
      <c r="C3" s="3" t="s">
        <v>236</v>
      </c>
      <c r="D3" s="108">
        <v>71</v>
      </c>
      <c r="E3" s="108">
        <v>79</v>
      </c>
      <c r="F3" s="109">
        <v>258</v>
      </c>
      <c r="G3" s="4">
        <v>33781</v>
      </c>
      <c r="H3" s="113">
        <f t="shared" ref="H3:H14" ca="1" si="1">ROUNDDOWN(YEARFRAC(G3,$G$23),1)</f>
        <v>28.3</v>
      </c>
      <c r="I3" s="3" t="s">
        <v>1942</v>
      </c>
      <c r="J3" s="3">
        <v>8</v>
      </c>
      <c r="K3" s="3">
        <v>2013</v>
      </c>
      <c r="L3" s="3">
        <v>27</v>
      </c>
      <c r="M3" s="3" t="s">
        <v>1943</v>
      </c>
      <c r="N3" s="3" t="s">
        <v>1</v>
      </c>
      <c r="O3" s="3" t="s">
        <v>2321</v>
      </c>
      <c r="P3" s="11">
        <v>27525281</v>
      </c>
      <c r="Q3" s="14">
        <v>37500000</v>
      </c>
      <c r="R3" s="3"/>
      <c r="S3" s="3"/>
      <c r="T3" s="3"/>
      <c r="U3" s="3"/>
      <c r="V3" s="3" t="s">
        <v>2327</v>
      </c>
      <c r="W3" s="98" t="s">
        <v>240</v>
      </c>
      <c r="X3" s="69">
        <v>5</v>
      </c>
      <c r="Y3" s="69">
        <v>62</v>
      </c>
      <c r="Z3" s="65">
        <f>40/62</f>
        <v>0.64516129032258063</v>
      </c>
      <c r="AA3" s="122">
        <v>113</v>
      </c>
      <c r="AB3" s="122">
        <v>106.8</v>
      </c>
      <c r="AC3" s="122">
        <f t="shared" si="0"/>
        <v>6.2000000000000028</v>
      </c>
      <c r="AD3" s="122">
        <v>34.6</v>
      </c>
      <c r="AE3" s="122">
        <v>21.7</v>
      </c>
      <c r="AF3" s="65">
        <v>0.7</v>
      </c>
      <c r="AG3" s="122">
        <v>16.100000000000001</v>
      </c>
      <c r="AH3" s="122">
        <v>6</v>
      </c>
      <c r="AI3" s="122">
        <v>4</v>
      </c>
      <c r="AJ3" s="65">
        <v>0.22500000000000001</v>
      </c>
      <c r="AK3" s="122">
        <v>1.8</v>
      </c>
      <c r="AL3" s="122">
        <v>1.9</v>
      </c>
      <c r="AM3" s="122">
        <v>3.1</v>
      </c>
      <c r="AN3" s="122">
        <v>15.1</v>
      </c>
    </row>
    <row r="4" spans="1:44" x14ac:dyDescent="0.2">
      <c r="A4" s="3">
        <v>44</v>
      </c>
      <c r="B4" s="3" t="s">
        <v>1944</v>
      </c>
      <c r="C4" s="3" t="s">
        <v>244</v>
      </c>
      <c r="D4" s="108">
        <v>68</v>
      </c>
      <c r="E4" s="108">
        <v>611</v>
      </c>
      <c r="F4" s="109">
        <v>226</v>
      </c>
      <c r="G4" s="4">
        <v>32616</v>
      </c>
      <c r="H4" s="113">
        <f t="shared" ca="1" si="1"/>
        <v>31.5</v>
      </c>
      <c r="I4" s="3" t="s">
        <v>393</v>
      </c>
      <c r="J4" s="3">
        <v>7</v>
      </c>
      <c r="K4" s="3">
        <v>2011</v>
      </c>
      <c r="L4" s="3">
        <v>31</v>
      </c>
      <c r="M4" s="3" t="s">
        <v>427</v>
      </c>
      <c r="N4" s="3" t="s">
        <v>285</v>
      </c>
      <c r="O4" s="3" t="s">
        <v>2322</v>
      </c>
      <c r="P4" s="11">
        <v>17850000</v>
      </c>
      <c r="Q4" s="11">
        <v>18700000</v>
      </c>
      <c r="R4" s="11">
        <v>19550000</v>
      </c>
      <c r="S4" s="14">
        <f>R4*1.5</f>
        <v>29325000</v>
      </c>
      <c r="T4" s="3"/>
      <c r="U4" s="3"/>
      <c r="V4" s="3"/>
      <c r="W4" s="60" t="s">
        <v>1945</v>
      </c>
      <c r="X4" s="69">
        <v>3</v>
      </c>
      <c r="Y4" s="69">
        <v>63</v>
      </c>
      <c r="Z4" s="65">
        <f>41/63</f>
        <v>0.65079365079365081</v>
      </c>
      <c r="AA4" s="122">
        <v>113.5</v>
      </c>
      <c r="AB4" s="122">
        <v>108</v>
      </c>
      <c r="AC4" s="122">
        <f t="shared" si="0"/>
        <v>5.5</v>
      </c>
      <c r="AD4" s="122">
        <v>33.1</v>
      </c>
      <c r="AE4" s="122">
        <v>15.7</v>
      </c>
      <c r="AF4" s="65">
        <v>0.60299999999999998</v>
      </c>
      <c r="AG4" s="122">
        <v>25.6</v>
      </c>
      <c r="AH4" s="122">
        <v>2.7</v>
      </c>
      <c r="AI4" s="122">
        <v>1.6</v>
      </c>
      <c r="AJ4" s="65">
        <v>9.9000000000000005E-2</v>
      </c>
      <c r="AK4" s="122">
        <v>1.6</v>
      </c>
      <c r="AL4" s="122">
        <v>-1.5</v>
      </c>
      <c r="AM4" s="122">
        <v>1.1000000000000001</v>
      </c>
      <c r="AN4" s="122">
        <v>10.5</v>
      </c>
    </row>
    <row r="5" spans="1:44" x14ac:dyDescent="0.2">
      <c r="A5" s="3">
        <v>2</v>
      </c>
      <c r="B5" s="3" t="s">
        <v>221</v>
      </c>
      <c r="C5" s="3" t="s">
        <v>244</v>
      </c>
      <c r="D5" s="108">
        <v>67</v>
      </c>
      <c r="E5" s="108">
        <v>610</v>
      </c>
      <c r="F5" s="109">
        <v>220</v>
      </c>
      <c r="G5" s="4">
        <v>32052</v>
      </c>
      <c r="H5" s="113">
        <f t="shared" ca="1" si="1"/>
        <v>33</v>
      </c>
      <c r="I5" s="3" t="s">
        <v>227</v>
      </c>
      <c r="J5" s="3">
        <v>7</v>
      </c>
      <c r="K5" s="3">
        <v>2009</v>
      </c>
      <c r="L5" s="3"/>
      <c r="M5" s="3" t="s">
        <v>1948</v>
      </c>
      <c r="N5" s="3" t="s">
        <v>1743</v>
      </c>
      <c r="O5" s="3" t="s">
        <v>2323</v>
      </c>
      <c r="P5" s="11">
        <v>10863637</v>
      </c>
      <c r="Q5" s="11">
        <v>13036364</v>
      </c>
      <c r="R5" s="14">
        <f>Q5*1.5</f>
        <v>19554546</v>
      </c>
      <c r="S5" s="3"/>
      <c r="T5" s="3"/>
      <c r="U5" s="3"/>
      <c r="V5" s="3" t="s">
        <v>1949</v>
      </c>
      <c r="W5" s="60" t="s">
        <v>1950</v>
      </c>
      <c r="X5" s="69">
        <v>2</v>
      </c>
      <c r="Y5" s="69">
        <v>64</v>
      </c>
      <c r="Z5" s="65">
        <f>41/64</f>
        <v>0.640625</v>
      </c>
      <c r="AA5" s="122">
        <v>110.9</v>
      </c>
      <c r="AB5" s="122">
        <v>105.1</v>
      </c>
      <c r="AC5" s="122">
        <f t="shared" si="0"/>
        <v>5.8000000000000114</v>
      </c>
      <c r="AD5" s="122">
        <v>29.9</v>
      </c>
      <c r="AE5" s="122">
        <v>12.5</v>
      </c>
      <c r="AF5" s="65">
        <v>0.58799999999999997</v>
      </c>
      <c r="AG5" s="122">
        <v>15</v>
      </c>
      <c r="AH5" s="122">
        <v>2.4</v>
      </c>
      <c r="AI5" s="122">
        <v>2</v>
      </c>
      <c r="AJ5" s="65">
        <v>0.108</v>
      </c>
      <c r="AK5" s="122">
        <v>0</v>
      </c>
      <c r="AL5" s="122">
        <v>0.7</v>
      </c>
      <c r="AM5" s="122">
        <v>1.3</v>
      </c>
      <c r="AN5" s="122">
        <v>9.6</v>
      </c>
    </row>
    <row r="6" spans="1:44" x14ac:dyDescent="0.2">
      <c r="A6" s="3">
        <v>23</v>
      </c>
      <c r="B6" s="3" t="s">
        <v>1959</v>
      </c>
      <c r="C6" s="3" t="s">
        <v>255</v>
      </c>
      <c r="D6" s="108">
        <v>64</v>
      </c>
      <c r="E6" s="108">
        <v>610</v>
      </c>
      <c r="F6" s="109">
        <v>226</v>
      </c>
      <c r="G6" s="4">
        <v>34125</v>
      </c>
      <c r="H6" s="113">
        <f t="shared" ca="1" si="1"/>
        <v>27.3</v>
      </c>
      <c r="I6" s="3" t="s">
        <v>1960</v>
      </c>
      <c r="J6" s="3">
        <v>4</v>
      </c>
      <c r="K6" s="3">
        <v>2015</v>
      </c>
      <c r="L6" s="3"/>
      <c r="M6" s="3" t="s">
        <v>790</v>
      </c>
      <c r="N6" s="3" t="s">
        <v>5</v>
      </c>
      <c r="O6" s="3" t="s">
        <v>2324</v>
      </c>
      <c r="P6" s="11">
        <v>8500000</v>
      </c>
      <c r="Q6" s="11">
        <v>8800000</v>
      </c>
      <c r="R6" s="11">
        <v>9200000</v>
      </c>
      <c r="S6" s="15">
        <v>9500000</v>
      </c>
      <c r="T6" s="14">
        <f>S6*1.9</f>
        <v>18050000</v>
      </c>
      <c r="U6" s="3"/>
      <c r="V6" s="3"/>
      <c r="W6" s="60" t="s">
        <v>1961</v>
      </c>
      <c r="X6" s="69">
        <v>4</v>
      </c>
      <c r="Y6" s="69">
        <v>64</v>
      </c>
      <c r="Z6" s="65">
        <f>41/64</f>
        <v>0.640625</v>
      </c>
      <c r="AA6" s="122">
        <v>113.1</v>
      </c>
      <c r="AB6" s="122">
        <v>107.7</v>
      </c>
      <c r="AC6" s="122">
        <f t="shared" si="0"/>
        <v>5.3999999999999915</v>
      </c>
      <c r="AD6" s="122">
        <v>29.1</v>
      </c>
      <c r="AE6" s="122">
        <v>9.3000000000000007</v>
      </c>
      <c r="AF6" s="65">
        <v>0.58399999999999996</v>
      </c>
      <c r="AG6" s="122">
        <v>9.3000000000000007</v>
      </c>
      <c r="AH6" s="122">
        <v>1.8</v>
      </c>
      <c r="AI6" s="122">
        <v>2.2000000000000002</v>
      </c>
      <c r="AJ6" s="65">
        <v>0.104</v>
      </c>
      <c r="AK6" s="122">
        <v>-1.3</v>
      </c>
      <c r="AL6" s="122">
        <v>2.1</v>
      </c>
      <c r="AM6" s="122">
        <v>1.3</v>
      </c>
      <c r="AN6" s="122">
        <v>7.1</v>
      </c>
    </row>
    <row r="7" spans="1:44" x14ac:dyDescent="0.2">
      <c r="A7" s="3">
        <v>17</v>
      </c>
      <c r="B7" s="3" t="s">
        <v>1951</v>
      </c>
      <c r="C7" s="3" t="s">
        <v>236</v>
      </c>
      <c r="D7" s="108">
        <v>69</v>
      </c>
      <c r="E7" s="108">
        <v>70</v>
      </c>
      <c r="F7" s="109">
        <v>218</v>
      </c>
      <c r="G7" s="4">
        <v>32664</v>
      </c>
      <c r="H7" s="113">
        <f t="shared" ca="1" si="1"/>
        <v>31.3</v>
      </c>
      <c r="I7" s="3" t="s">
        <v>281</v>
      </c>
      <c r="J7" s="3">
        <v>11</v>
      </c>
      <c r="K7" s="3">
        <v>2010</v>
      </c>
      <c r="L7" s="3">
        <v>13</v>
      </c>
      <c r="M7" s="3" t="s">
        <v>1924</v>
      </c>
      <c r="N7" s="3" t="s">
        <v>299</v>
      </c>
      <c r="O7" s="3" t="s">
        <v>2094</v>
      </c>
      <c r="P7" s="11">
        <v>5005350</v>
      </c>
      <c r="Q7" s="14">
        <f>P7*1.3</f>
        <v>6506955</v>
      </c>
      <c r="R7" s="3"/>
      <c r="S7" s="3"/>
      <c r="T7" s="3"/>
      <c r="U7" s="3"/>
      <c r="V7" s="3"/>
      <c r="W7" s="98" t="s">
        <v>240</v>
      </c>
      <c r="X7" s="69">
        <v>5</v>
      </c>
      <c r="Y7" s="69">
        <v>25</v>
      </c>
      <c r="Z7" s="65">
        <f>15/25</f>
        <v>0.6</v>
      </c>
      <c r="AA7" s="122">
        <v>94.4</v>
      </c>
      <c r="AB7" s="122">
        <v>108.2</v>
      </c>
      <c r="AC7" s="122">
        <f t="shared" si="0"/>
        <v>-13.799999999999997</v>
      </c>
      <c r="AD7" s="122">
        <v>10.7</v>
      </c>
      <c r="AE7" s="122">
        <v>7.3</v>
      </c>
      <c r="AF7" s="65">
        <v>0.42499999999999999</v>
      </c>
      <c r="AG7" s="122">
        <v>8.5</v>
      </c>
      <c r="AH7" s="122">
        <v>-0.1</v>
      </c>
      <c r="AI7" s="122">
        <v>0.5</v>
      </c>
      <c r="AJ7" s="65">
        <v>7.3999999999999996E-2</v>
      </c>
      <c r="AK7" s="122">
        <v>-5.5</v>
      </c>
      <c r="AL7" s="122">
        <v>1.7</v>
      </c>
      <c r="AM7" s="122">
        <v>-0.1</v>
      </c>
      <c r="AN7" s="122">
        <v>4.8</v>
      </c>
    </row>
    <row r="8" spans="1:44" x14ac:dyDescent="0.2">
      <c r="A8" s="3">
        <v>45</v>
      </c>
      <c r="B8" s="3" t="s">
        <v>1952</v>
      </c>
      <c r="C8" s="3" t="s">
        <v>232</v>
      </c>
      <c r="D8" s="108">
        <v>61</v>
      </c>
      <c r="E8" s="108">
        <v>610</v>
      </c>
      <c r="F8" s="109">
        <v>215</v>
      </c>
      <c r="G8" s="4">
        <v>35315</v>
      </c>
      <c r="H8" s="113">
        <f t="shared" ca="1" si="1"/>
        <v>24.1</v>
      </c>
      <c r="I8" s="3" t="s">
        <v>498</v>
      </c>
      <c r="J8" s="3">
        <v>4</v>
      </c>
      <c r="K8" s="3">
        <v>2017</v>
      </c>
      <c r="L8" s="3">
        <v>13</v>
      </c>
      <c r="M8" s="3" t="s">
        <v>1953</v>
      </c>
      <c r="N8" s="3" t="s">
        <v>247</v>
      </c>
      <c r="O8" s="3" t="s">
        <v>2259</v>
      </c>
      <c r="P8" s="11">
        <v>5195501</v>
      </c>
      <c r="Q8" s="50">
        <f>P8*3</f>
        <v>15586503</v>
      </c>
      <c r="R8" s="3"/>
      <c r="S8" s="3"/>
      <c r="T8" s="3"/>
      <c r="U8" s="3"/>
      <c r="V8" s="3"/>
      <c r="W8" s="60" t="s">
        <v>1954</v>
      </c>
      <c r="X8" s="69">
        <v>2</v>
      </c>
      <c r="Y8" s="69">
        <v>63</v>
      </c>
      <c r="Z8" s="65">
        <f>40/63</f>
        <v>0.63492063492063489</v>
      </c>
      <c r="AA8" s="122">
        <v>111.5</v>
      </c>
      <c r="AB8" s="122">
        <v>109</v>
      </c>
      <c r="AC8" s="122">
        <f t="shared" si="0"/>
        <v>2.5</v>
      </c>
      <c r="AD8" s="122">
        <v>34.4</v>
      </c>
      <c r="AE8" s="122">
        <v>19.100000000000001</v>
      </c>
      <c r="AF8" s="65">
        <v>0.56000000000000005</v>
      </c>
      <c r="AG8" s="122">
        <v>31</v>
      </c>
      <c r="AH8" s="122">
        <v>3</v>
      </c>
      <c r="AI8" s="122">
        <v>2.2000000000000002</v>
      </c>
      <c r="AJ8" s="65">
        <v>0.115</v>
      </c>
      <c r="AK8" s="122">
        <v>2.4</v>
      </c>
      <c r="AL8" s="122">
        <v>-0.5</v>
      </c>
      <c r="AM8" s="122">
        <v>2.1</v>
      </c>
      <c r="AN8" s="122">
        <v>12.6</v>
      </c>
    </row>
    <row r="9" spans="1:44" x14ac:dyDescent="0.2">
      <c r="A9" s="3">
        <v>13</v>
      </c>
      <c r="B9" s="3" t="s">
        <v>1955</v>
      </c>
      <c r="C9" s="3" t="s">
        <v>236</v>
      </c>
      <c r="D9" s="108">
        <v>610</v>
      </c>
      <c r="E9" s="108">
        <v>75</v>
      </c>
      <c r="F9" s="109">
        <v>248</v>
      </c>
      <c r="G9" s="4">
        <v>35803</v>
      </c>
      <c r="H9" s="113">
        <f t="shared" ca="1" si="1"/>
        <v>22.7</v>
      </c>
      <c r="I9" s="3" t="s">
        <v>281</v>
      </c>
      <c r="J9" s="3">
        <v>4</v>
      </c>
      <c r="K9" s="3">
        <v>2017</v>
      </c>
      <c r="L9" s="3">
        <v>28</v>
      </c>
      <c r="M9" s="3" t="s">
        <v>1956</v>
      </c>
      <c r="N9" s="3" t="s">
        <v>247</v>
      </c>
      <c r="O9" s="3" t="s">
        <v>2161</v>
      </c>
      <c r="P9" s="11">
        <v>3542060</v>
      </c>
      <c r="Q9" s="50">
        <f>P9*3</f>
        <v>10626180</v>
      </c>
      <c r="R9" s="3"/>
      <c r="S9" s="3"/>
      <c r="T9" s="3"/>
      <c r="U9" s="3"/>
      <c r="V9" s="3"/>
      <c r="W9" s="98" t="s">
        <v>240</v>
      </c>
      <c r="X9" s="69">
        <v>5</v>
      </c>
      <c r="Y9" s="69">
        <v>50</v>
      </c>
      <c r="Z9" s="65">
        <f>33/50</f>
        <v>0.66</v>
      </c>
      <c r="AA9" s="122">
        <v>110.1</v>
      </c>
      <c r="AB9" s="122">
        <v>106.8</v>
      </c>
      <c r="AC9" s="122">
        <f t="shared" si="0"/>
        <v>3.2999999999999972</v>
      </c>
      <c r="AD9" s="122">
        <v>10.7</v>
      </c>
      <c r="AE9" s="122">
        <v>21.8</v>
      </c>
      <c r="AF9" s="65">
        <v>0.67500000000000004</v>
      </c>
      <c r="AG9" s="122">
        <v>16.100000000000001</v>
      </c>
      <c r="AH9" s="122">
        <v>1.8</v>
      </c>
      <c r="AI9" s="122">
        <v>0.9</v>
      </c>
      <c r="AJ9" s="65">
        <v>0.24199999999999999</v>
      </c>
      <c r="AK9" s="122">
        <v>0.9</v>
      </c>
      <c r="AL9" s="122">
        <v>0.4</v>
      </c>
      <c r="AM9" s="122">
        <v>0.4</v>
      </c>
      <c r="AN9" s="122">
        <v>12.1</v>
      </c>
    </row>
    <row r="10" spans="1:44" x14ac:dyDescent="0.2">
      <c r="A10" s="3">
        <v>31</v>
      </c>
      <c r="B10" s="3" t="s">
        <v>180</v>
      </c>
      <c r="C10" s="3" t="s">
        <v>236</v>
      </c>
      <c r="D10" s="108">
        <v>67</v>
      </c>
      <c r="E10" s="108">
        <v>610</v>
      </c>
      <c r="F10" s="109">
        <v>230</v>
      </c>
      <c r="G10" s="4">
        <v>34137</v>
      </c>
      <c r="H10" s="113">
        <f t="shared" ca="1" si="1"/>
        <v>27.3</v>
      </c>
      <c r="I10" s="3" t="s">
        <v>230</v>
      </c>
      <c r="J10" s="3">
        <v>5</v>
      </c>
      <c r="K10" s="3">
        <v>2016</v>
      </c>
      <c r="L10" s="3">
        <v>50</v>
      </c>
      <c r="M10" s="3" t="s">
        <v>1957</v>
      </c>
      <c r="N10" s="3" t="s">
        <v>56</v>
      </c>
      <c r="O10" s="163" t="s">
        <v>797</v>
      </c>
      <c r="P10" s="15">
        <v>1783557</v>
      </c>
      <c r="Q10" s="14">
        <v>1856061</v>
      </c>
      <c r="R10" s="3"/>
      <c r="S10" s="3"/>
      <c r="T10" s="3"/>
      <c r="U10" s="3"/>
      <c r="V10" s="3"/>
      <c r="W10" s="60" t="s">
        <v>1958</v>
      </c>
      <c r="X10" s="69">
        <v>4</v>
      </c>
      <c r="Y10" s="69">
        <v>58</v>
      </c>
      <c r="Z10" s="65">
        <f>38/58</f>
        <v>0.65517241379310343</v>
      </c>
      <c r="AA10" s="122">
        <v>105.9</v>
      </c>
      <c r="AB10" s="122">
        <v>107.2</v>
      </c>
      <c r="AC10" s="122">
        <f t="shared" si="0"/>
        <v>-1.2999999999999972</v>
      </c>
      <c r="AD10" s="122">
        <v>13.3</v>
      </c>
      <c r="AE10" s="122">
        <v>12.4</v>
      </c>
      <c r="AF10" s="65">
        <v>0.61199999999999999</v>
      </c>
      <c r="AG10" s="122">
        <v>17.100000000000001</v>
      </c>
      <c r="AH10" s="122">
        <v>1</v>
      </c>
      <c r="AI10" s="122">
        <v>0.7</v>
      </c>
      <c r="AJ10" s="65">
        <v>0.105</v>
      </c>
      <c r="AK10" s="122">
        <v>0.9</v>
      </c>
      <c r="AL10" s="122">
        <v>-0.4</v>
      </c>
      <c r="AM10" s="122">
        <v>0.5</v>
      </c>
      <c r="AN10" s="122">
        <v>8.6</v>
      </c>
    </row>
    <row r="11" spans="1:44" x14ac:dyDescent="0.2">
      <c r="A11" s="3">
        <v>0</v>
      </c>
      <c r="B11" s="3" t="s">
        <v>182</v>
      </c>
      <c r="C11" s="3" t="s">
        <v>250</v>
      </c>
      <c r="D11" s="108">
        <v>62</v>
      </c>
      <c r="E11" s="108">
        <v>67</v>
      </c>
      <c r="F11" s="109">
        <v>190</v>
      </c>
      <c r="G11" s="4">
        <v>34593</v>
      </c>
      <c r="H11" s="113">
        <f t="shared" ca="1" si="1"/>
        <v>26.1</v>
      </c>
      <c r="I11" s="3" t="s">
        <v>1615</v>
      </c>
      <c r="J11" s="3">
        <v>2</v>
      </c>
      <c r="K11" s="3">
        <v>2017</v>
      </c>
      <c r="L11" s="3">
        <v>55</v>
      </c>
      <c r="M11" s="3" t="s">
        <v>982</v>
      </c>
      <c r="N11" s="3" t="s">
        <v>285</v>
      </c>
      <c r="O11" s="163" t="s">
        <v>286</v>
      </c>
      <c r="P11" s="15">
        <v>1517981</v>
      </c>
      <c r="Q11" s="15">
        <v>1782621</v>
      </c>
      <c r="R11" s="50">
        <v>2228276</v>
      </c>
      <c r="S11" s="3"/>
      <c r="T11" s="3"/>
      <c r="U11" s="3"/>
      <c r="V11" s="3"/>
      <c r="W11" s="98" t="s">
        <v>291</v>
      </c>
      <c r="X11" s="69">
        <v>1</v>
      </c>
      <c r="Y11" s="69">
        <v>9</v>
      </c>
      <c r="Z11" s="65">
        <f>5/9</f>
        <v>0.55555555555555558</v>
      </c>
      <c r="AA11" s="122">
        <v>95</v>
      </c>
      <c r="AB11" s="122">
        <v>79.400000000000006</v>
      </c>
      <c r="AC11" s="122">
        <f t="shared" si="0"/>
        <v>15.599999999999994</v>
      </c>
      <c r="AD11" s="122">
        <v>3.1</v>
      </c>
      <c r="AE11" s="122">
        <v>5.7</v>
      </c>
      <c r="AF11" s="65">
        <v>0.254</v>
      </c>
      <c r="AG11" s="122">
        <v>15.5</v>
      </c>
      <c r="AH11" s="122">
        <v>-0.1</v>
      </c>
      <c r="AI11" s="122">
        <v>0</v>
      </c>
      <c r="AJ11" s="65">
        <v>-4.4999999999999998E-2</v>
      </c>
      <c r="AK11" s="122">
        <v>-5.0999999999999996</v>
      </c>
      <c r="AL11" s="122">
        <v>1.1000000000000001</v>
      </c>
      <c r="AM11" s="122">
        <v>0</v>
      </c>
      <c r="AN11" s="122">
        <v>5</v>
      </c>
    </row>
    <row r="12" spans="1:44" x14ac:dyDescent="0.2">
      <c r="A12" s="3">
        <v>81</v>
      </c>
      <c r="B12" s="3" t="s">
        <v>183</v>
      </c>
      <c r="C12" s="3" t="s">
        <v>232</v>
      </c>
      <c r="D12" s="108">
        <v>65</v>
      </c>
      <c r="E12" s="108">
        <v>611</v>
      </c>
      <c r="F12" s="109">
        <v>206</v>
      </c>
      <c r="G12" s="4">
        <v>35646</v>
      </c>
      <c r="H12" s="113">
        <f t="shared" ca="1" si="1"/>
        <v>23.2</v>
      </c>
      <c r="I12" s="3" t="s">
        <v>1962</v>
      </c>
      <c r="J12" s="3">
        <v>2</v>
      </c>
      <c r="K12" s="3">
        <v>2019</v>
      </c>
      <c r="L12" s="3">
        <v>58</v>
      </c>
      <c r="M12" s="3" t="s">
        <v>1963</v>
      </c>
      <c r="N12" s="3" t="s">
        <v>285</v>
      </c>
      <c r="O12" s="163" t="s">
        <v>464</v>
      </c>
      <c r="P12" s="15">
        <v>1517981</v>
      </c>
      <c r="Q12" s="15">
        <v>1782621</v>
      </c>
      <c r="R12" s="50">
        <v>2228276</v>
      </c>
      <c r="S12" s="3"/>
      <c r="T12" s="26"/>
      <c r="U12" s="3"/>
      <c r="V12" s="3"/>
      <c r="W12" s="60" t="s">
        <v>1964</v>
      </c>
      <c r="X12" s="69">
        <v>2</v>
      </c>
      <c r="Y12" s="69">
        <v>5</v>
      </c>
      <c r="Z12" s="65">
        <f>4/5</f>
        <v>0.8</v>
      </c>
      <c r="AA12" s="122">
        <v>52</v>
      </c>
      <c r="AB12" s="122">
        <v>120</v>
      </c>
      <c r="AC12" s="122">
        <f t="shared" si="0"/>
        <v>-68</v>
      </c>
      <c r="AD12" s="122">
        <v>2.1</v>
      </c>
      <c r="AE12" s="122">
        <v>-9.9</v>
      </c>
      <c r="AF12" s="65">
        <v>0</v>
      </c>
      <c r="AG12" s="122">
        <v>12</v>
      </c>
      <c r="AH12" s="122">
        <v>-0.1</v>
      </c>
      <c r="AI12" s="122">
        <v>0</v>
      </c>
      <c r="AJ12" s="65">
        <v>-0.28499999999999998</v>
      </c>
      <c r="AK12" s="122">
        <v>-12.7</v>
      </c>
      <c r="AL12" s="122">
        <v>-4.5999999999999996</v>
      </c>
      <c r="AM12" s="122">
        <v>0</v>
      </c>
      <c r="AN12" s="122">
        <v>-3.1</v>
      </c>
    </row>
    <row r="13" spans="1:44" x14ac:dyDescent="0.2">
      <c r="A13" s="3">
        <v>16</v>
      </c>
      <c r="B13" s="3" t="s">
        <v>184</v>
      </c>
      <c r="C13" s="3" t="s">
        <v>236</v>
      </c>
      <c r="D13" s="108">
        <v>67</v>
      </c>
      <c r="E13" s="108">
        <v>70</v>
      </c>
      <c r="F13" s="109">
        <v>232</v>
      </c>
      <c r="G13" s="4">
        <v>35537</v>
      </c>
      <c r="H13" s="113">
        <f t="shared" ca="1" si="1"/>
        <v>23.5</v>
      </c>
      <c r="I13" s="3" t="s">
        <v>374</v>
      </c>
      <c r="J13" s="3">
        <v>2</v>
      </c>
      <c r="K13" s="3">
        <v>2019</v>
      </c>
      <c r="L13" s="3"/>
      <c r="M13" s="3" t="s">
        <v>1965</v>
      </c>
      <c r="N13" s="3" t="s">
        <v>282</v>
      </c>
      <c r="O13" s="163" t="s">
        <v>290</v>
      </c>
      <c r="P13" s="15">
        <v>1517981</v>
      </c>
      <c r="Q13" s="50">
        <v>2056061</v>
      </c>
      <c r="R13" s="3"/>
      <c r="S13" s="3"/>
      <c r="T13" s="3"/>
      <c r="U13" s="3"/>
      <c r="V13" s="3"/>
      <c r="W13" s="60" t="s">
        <v>1966</v>
      </c>
      <c r="X13" s="69">
        <v>4</v>
      </c>
      <c r="Y13" s="69">
        <v>16</v>
      </c>
      <c r="Z13" s="65">
        <f>10/16</f>
        <v>0.625</v>
      </c>
      <c r="AA13" s="122">
        <v>107</v>
      </c>
      <c r="AB13" s="122">
        <v>92.6</v>
      </c>
      <c r="AC13" s="122">
        <f t="shared" si="0"/>
        <v>14.400000000000006</v>
      </c>
      <c r="AD13" s="122">
        <v>4.5999999999999996</v>
      </c>
      <c r="AE13" s="122">
        <v>8.8000000000000007</v>
      </c>
      <c r="AF13" s="65">
        <v>0.55900000000000005</v>
      </c>
      <c r="AG13" s="122">
        <v>11.9</v>
      </c>
      <c r="AH13" s="122">
        <v>0</v>
      </c>
      <c r="AI13" s="122">
        <v>0.1</v>
      </c>
      <c r="AJ13" s="65">
        <v>6.6000000000000003E-2</v>
      </c>
      <c r="AK13" s="122">
        <v>-2.9</v>
      </c>
      <c r="AL13" s="122">
        <v>-0.4</v>
      </c>
      <c r="AM13" s="122">
        <v>0</v>
      </c>
      <c r="AN13" s="122">
        <v>8.1</v>
      </c>
    </row>
    <row r="14" spans="1:44" x14ac:dyDescent="0.2">
      <c r="A14" s="3">
        <v>6</v>
      </c>
      <c r="B14" s="3" t="s">
        <v>185</v>
      </c>
      <c r="C14" s="3" t="s">
        <v>255</v>
      </c>
      <c r="D14" s="108">
        <v>63</v>
      </c>
      <c r="E14" s="108">
        <v>67</v>
      </c>
      <c r="F14" s="109">
        <v>209</v>
      </c>
      <c r="G14" s="4">
        <v>35697</v>
      </c>
      <c r="H14" s="113">
        <f t="shared" ca="1" si="1"/>
        <v>23</v>
      </c>
      <c r="I14" s="3" t="s">
        <v>1967</v>
      </c>
      <c r="J14" s="3">
        <v>2</v>
      </c>
      <c r="K14" s="3">
        <v>2019</v>
      </c>
      <c r="L14" s="3"/>
      <c r="M14" s="3" t="s">
        <v>1968</v>
      </c>
      <c r="N14" s="3" t="s">
        <v>282</v>
      </c>
      <c r="O14" s="3"/>
      <c r="P14" s="15">
        <v>1517981</v>
      </c>
      <c r="Q14" s="50">
        <v>2056061</v>
      </c>
      <c r="R14" s="3"/>
      <c r="S14" s="3"/>
      <c r="T14" s="3"/>
      <c r="U14" s="3"/>
      <c r="V14" s="3"/>
      <c r="W14" s="60" t="s">
        <v>848</v>
      </c>
      <c r="X14" s="69">
        <v>2</v>
      </c>
      <c r="Y14" s="69">
        <v>14</v>
      </c>
      <c r="Z14" s="65">
        <f>10/14</f>
        <v>0.7142857142857143</v>
      </c>
      <c r="AA14" s="122">
        <v>109.6</v>
      </c>
      <c r="AB14" s="122">
        <v>113.1</v>
      </c>
      <c r="AC14" s="122">
        <f t="shared" si="0"/>
        <v>-3.5</v>
      </c>
      <c r="AD14" s="122">
        <v>5.6</v>
      </c>
      <c r="AE14" s="122">
        <v>4.5</v>
      </c>
      <c r="AF14" s="65">
        <v>0.44800000000000001</v>
      </c>
      <c r="AG14" s="122">
        <v>13.6</v>
      </c>
      <c r="AH14" s="122">
        <v>-0.1</v>
      </c>
      <c r="AI14" s="122">
        <v>0.1</v>
      </c>
      <c r="AJ14" s="65">
        <v>-8.9999999999999993E-3</v>
      </c>
      <c r="AK14" s="122">
        <v>-6.7</v>
      </c>
      <c r="AL14" s="122">
        <v>-1.2</v>
      </c>
      <c r="AM14" s="122">
        <v>-0.1</v>
      </c>
      <c r="AN14" s="122">
        <v>3.5</v>
      </c>
    </row>
    <row r="15" spans="1:44" x14ac:dyDescent="0.2">
      <c r="A15" s="3"/>
      <c r="B15" s="3" t="s">
        <v>297</v>
      </c>
      <c r="C15" s="3"/>
      <c r="D15" s="3"/>
      <c r="E15" s="3"/>
      <c r="F15" s="3"/>
      <c r="G15" s="3"/>
      <c r="H15" s="3"/>
      <c r="I15" s="3"/>
      <c r="J15" s="3"/>
      <c r="K15" s="3"/>
      <c r="L15" s="3"/>
      <c r="M15" s="3"/>
      <c r="N15" s="3"/>
      <c r="O15" s="3"/>
      <c r="P15" s="11"/>
      <c r="Q15" s="11"/>
      <c r="R15" s="11"/>
      <c r="S15" s="11"/>
      <c r="T15" s="3"/>
      <c r="U15" s="3"/>
      <c r="V15" s="3"/>
      <c r="X15" s="69"/>
      <c r="Y15" s="69"/>
      <c r="Z15" s="65"/>
      <c r="AA15" s="122"/>
      <c r="AB15" s="122"/>
      <c r="AC15" s="122"/>
      <c r="AD15" s="122"/>
      <c r="AE15" s="122"/>
      <c r="AF15" s="65"/>
      <c r="AG15" s="122"/>
      <c r="AH15" s="122"/>
      <c r="AI15" s="122"/>
      <c r="AJ15" s="65"/>
      <c r="AK15" s="122"/>
      <c r="AL15" s="122"/>
      <c r="AM15" s="122"/>
      <c r="AN15" s="122"/>
    </row>
    <row r="16" spans="1:44" x14ac:dyDescent="0.2">
      <c r="B16" s="3" t="s">
        <v>2204</v>
      </c>
      <c r="P16" s="11">
        <v>2284800</v>
      </c>
      <c r="Q16" s="11">
        <v>2399160</v>
      </c>
      <c r="R16" s="51">
        <v>2513040</v>
      </c>
      <c r="S16" s="51">
        <f>R16*1.697</f>
        <v>4264628.88</v>
      </c>
      <c r="T16" s="50">
        <f>S16*3</f>
        <v>12793886.640000001</v>
      </c>
      <c r="X16" s="69"/>
      <c r="Y16" s="69"/>
      <c r="Z16" s="65"/>
      <c r="AA16" s="122"/>
      <c r="AB16" s="122"/>
      <c r="AC16" s="122"/>
      <c r="AD16" s="122"/>
      <c r="AE16" s="122"/>
      <c r="AF16" s="65"/>
      <c r="AG16" s="122"/>
      <c r="AH16" s="122"/>
      <c r="AI16" s="122"/>
      <c r="AJ16" s="65"/>
      <c r="AK16" s="122"/>
      <c r="AL16" s="122"/>
      <c r="AM16" s="122"/>
      <c r="AN16" s="122"/>
    </row>
    <row r="17" spans="1:40" x14ac:dyDescent="0.2">
      <c r="B17" s="5"/>
      <c r="P17" s="11"/>
      <c r="Q17" s="11"/>
      <c r="R17" s="16"/>
      <c r="S17" s="16"/>
      <c r="T17" s="16"/>
      <c r="X17" s="69"/>
      <c r="Y17" s="69"/>
      <c r="Z17" s="65"/>
      <c r="AA17" s="122"/>
      <c r="AB17" s="122"/>
      <c r="AC17" s="122"/>
      <c r="AD17" s="122"/>
      <c r="AE17" s="122"/>
      <c r="AF17" s="65"/>
      <c r="AG17" s="122"/>
      <c r="AH17" s="122"/>
      <c r="AI17" s="122"/>
      <c r="AJ17" s="65"/>
      <c r="AK17" s="122"/>
      <c r="AL17" s="122"/>
      <c r="AM17" s="122"/>
      <c r="AN17" s="122"/>
    </row>
    <row r="18" spans="1:40" x14ac:dyDescent="0.2">
      <c r="A18" s="20" t="s">
        <v>231</v>
      </c>
      <c r="B18" s="3" t="s">
        <v>179</v>
      </c>
      <c r="C18" s="3" t="s">
        <v>255</v>
      </c>
      <c r="D18" s="108">
        <v>64</v>
      </c>
      <c r="E18" s="108">
        <v>610</v>
      </c>
      <c r="F18" s="109">
        <v>194</v>
      </c>
      <c r="G18" s="4">
        <v>33762</v>
      </c>
      <c r="H18" s="113">
        <f t="shared" ref="H18:H21" ca="1" si="2">ROUNDDOWN(YEARFRAC(G18,$G$23),1)</f>
        <v>28.3</v>
      </c>
      <c r="I18" s="3" t="s">
        <v>786</v>
      </c>
      <c r="J18" s="3">
        <v>7</v>
      </c>
      <c r="K18" s="3">
        <v>2014</v>
      </c>
      <c r="L18" s="3">
        <v>46</v>
      </c>
      <c r="M18" s="3" t="s">
        <v>1946</v>
      </c>
      <c r="N18" s="3"/>
      <c r="O18" s="3"/>
      <c r="P18" s="14">
        <v>20156250</v>
      </c>
      <c r="Q18" s="3"/>
      <c r="R18" s="3"/>
      <c r="S18" s="3"/>
      <c r="T18" s="3"/>
      <c r="U18" s="3"/>
      <c r="V18" s="3"/>
      <c r="W18" s="60" t="s">
        <v>1947</v>
      </c>
      <c r="X18" s="69">
        <v>2</v>
      </c>
      <c r="Y18" s="69">
        <v>34</v>
      </c>
      <c r="Z18" s="65">
        <f>23/34</f>
        <v>0.67647058823529416</v>
      </c>
      <c r="AA18" s="122">
        <v>115.8</v>
      </c>
      <c r="AB18" s="122">
        <v>110.1</v>
      </c>
      <c r="AC18" s="122">
        <f t="shared" ref="AC18:AC21" si="3">AA18-AB18</f>
        <v>5.7000000000000028</v>
      </c>
      <c r="AD18" s="122">
        <v>25.3</v>
      </c>
      <c r="AE18" s="122">
        <v>17.399999999999999</v>
      </c>
      <c r="AF18" s="65">
        <v>0.58399999999999996</v>
      </c>
      <c r="AG18" s="122">
        <v>25.3</v>
      </c>
      <c r="AH18" s="122">
        <v>1.2</v>
      </c>
      <c r="AI18" s="122">
        <v>0.8</v>
      </c>
      <c r="AJ18" s="65">
        <v>0.112</v>
      </c>
      <c r="AK18" s="122">
        <v>1.6</v>
      </c>
      <c r="AL18" s="122">
        <v>-0.9</v>
      </c>
      <c r="AM18" s="122">
        <v>0.6</v>
      </c>
      <c r="AN18" s="122">
        <v>10.199999999999999</v>
      </c>
    </row>
    <row r="19" spans="1:40" x14ac:dyDescent="0.2">
      <c r="A19" s="3">
        <v>15</v>
      </c>
      <c r="B19" s="3" t="s">
        <v>181</v>
      </c>
      <c r="C19" s="3" t="s">
        <v>250</v>
      </c>
      <c r="D19" s="108">
        <v>63</v>
      </c>
      <c r="E19" s="108">
        <v>69</v>
      </c>
      <c r="F19" s="109">
        <v>200</v>
      </c>
      <c r="G19" s="4">
        <v>35129</v>
      </c>
      <c r="H19" s="113">
        <f t="shared" ca="1" si="2"/>
        <v>24.6</v>
      </c>
      <c r="I19" s="3" t="s">
        <v>2328</v>
      </c>
      <c r="J19" s="3">
        <v>6</v>
      </c>
      <c r="K19" s="3">
        <v>2015</v>
      </c>
      <c r="L19" s="3">
        <v>7</v>
      </c>
      <c r="M19" s="3" t="s">
        <v>1924</v>
      </c>
      <c r="N19" s="3"/>
      <c r="O19" s="3"/>
      <c r="P19" s="14">
        <v>1707576</v>
      </c>
      <c r="Q19" s="3"/>
      <c r="R19" s="3"/>
      <c r="S19" s="3"/>
      <c r="T19" s="3"/>
      <c r="U19" s="3"/>
      <c r="V19" s="3"/>
      <c r="W19" s="60" t="s">
        <v>876</v>
      </c>
      <c r="X19" s="69">
        <v>1</v>
      </c>
      <c r="Y19" s="69">
        <v>48</v>
      </c>
      <c r="Z19" s="65">
        <f>32/48</f>
        <v>0.66666666666666663</v>
      </c>
      <c r="AA19" s="122">
        <v>106.5</v>
      </c>
      <c r="AB19" s="122">
        <v>105.3</v>
      </c>
      <c r="AC19" s="122">
        <f t="shared" si="3"/>
        <v>1.2000000000000028</v>
      </c>
      <c r="AD19" s="122">
        <v>15.7</v>
      </c>
      <c r="AE19" s="122">
        <v>13.7</v>
      </c>
      <c r="AF19" s="65">
        <v>0.55000000000000004</v>
      </c>
      <c r="AG19" s="122">
        <v>22.4</v>
      </c>
      <c r="AH19" s="122">
        <v>0.3</v>
      </c>
      <c r="AI19" s="122">
        <v>0.8</v>
      </c>
      <c r="AJ19" s="65">
        <v>7.0999999999999994E-2</v>
      </c>
      <c r="AK19" s="122">
        <v>-1.2</v>
      </c>
      <c r="AL19" s="122">
        <v>0.1</v>
      </c>
      <c r="AM19" s="122">
        <v>0.2</v>
      </c>
      <c r="AN19" s="122">
        <v>10</v>
      </c>
    </row>
    <row r="20" spans="1:40" x14ac:dyDescent="0.2">
      <c r="A20" s="3">
        <v>5</v>
      </c>
      <c r="B20" s="3" t="s">
        <v>1969</v>
      </c>
      <c r="C20" s="3" t="s">
        <v>236</v>
      </c>
      <c r="D20" s="108">
        <v>65</v>
      </c>
      <c r="E20" s="108">
        <v>71</v>
      </c>
      <c r="F20" s="109">
        <v>250</v>
      </c>
      <c r="G20" s="4">
        <v>35223</v>
      </c>
      <c r="H20" s="113">
        <f t="shared" ca="1" si="2"/>
        <v>24.3</v>
      </c>
      <c r="I20" s="3" t="s">
        <v>1970</v>
      </c>
      <c r="J20" s="3">
        <v>2</v>
      </c>
      <c r="K20" s="3">
        <v>2019</v>
      </c>
      <c r="L20" s="3">
        <v>50</v>
      </c>
      <c r="M20" s="3" t="s">
        <v>1971</v>
      </c>
      <c r="N20" s="3"/>
      <c r="O20" s="3"/>
      <c r="P20" s="34"/>
      <c r="Q20" s="3"/>
      <c r="R20" s="3"/>
      <c r="S20" s="3"/>
      <c r="T20" s="3"/>
      <c r="U20" s="3"/>
      <c r="V20" s="3"/>
      <c r="W20" s="60" t="s">
        <v>1972</v>
      </c>
      <c r="X20" s="69">
        <v>3</v>
      </c>
      <c r="Y20" s="69">
        <v>5</v>
      </c>
      <c r="Z20" s="65">
        <f>2/5</f>
        <v>0.4</v>
      </c>
      <c r="AA20" s="122">
        <v>83.9</v>
      </c>
      <c r="AB20" s="122">
        <v>81.3</v>
      </c>
      <c r="AC20" s="122">
        <f t="shared" si="3"/>
        <v>2.6000000000000085</v>
      </c>
      <c r="AD20" s="122">
        <v>2.7</v>
      </c>
      <c r="AE20" s="122">
        <v>2.7</v>
      </c>
      <c r="AF20" s="65">
        <v>0</v>
      </c>
      <c r="AG20" s="122">
        <v>6.8</v>
      </c>
      <c r="AH20" s="122">
        <v>0</v>
      </c>
      <c r="AI20" s="122">
        <v>0</v>
      </c>
      <c r="AJ20" s="65">
        <v>-5.2999999999999999E-2</v>
      </c>
      <c r="AK20" s="122">
        <v>-8.6</v>
      </c>
      <c r="AL20" s="122">
        <v>5.9</v>
      </c>
      <c r="AM20" s="122">
        <v>0</v>
      </c>
      <c r="AN20" s="122">
        <v>6.6</v>
      </c>
    </row>
    <row r="21" spans="1:40" x14ac:dyDescent="0.2">
      <c r="A21" s="3">
        <v>3</v>
      </c>
      <c r="B21" s="3" t="s">
        <v>1973</v>
      </c>
      <c r="C21" s="3" t="s">
        <v>250</v>
      </c>
      <c r="D21" s="108">
        <v>60</v>
      </c>
      <c r="E21" s="108">
        <v>68</v>
      </c>
      <c r="F21" s="109">
        <v>190</v>
      </c>
      <c r="G21" s="4">
        <v>35730</v>
      </c>
      <c r="H21" s="113">
        <f t="shared" ca="1" si="2"/>
        <v>22.9</v>
      </c>
      <c r="I21" s="3" t="s">
        <v>1974</v>
      </c>
      <c r="J21" s="3">
        <v>2</v>
      </c>
      <c r="K21" s="3">
        <v>2019</v>
      </c>
      <c r="L21" s="3">
        <v>53</v>
      </c>
      <c r="M21" s="3" t="s">
        <v>1975</v>
      </c>
      <c r="N21" s="3"/>
      <c r="O21" s="3"/>
      <c r="P21" s="34"/>
      <c r="Q21" s="3"/>
      <c r="R21" s="3"/>
      <c r="S21" s="3"/>
      <c r="T21" s="3"/>
      <c r="U21" s="3"/>
      <c r="V21" s="3"/>
      <c r="W21" s="98" t="s">
        <v>291</v>
      </c>
      <c r="X21" s="69">
        <v>1</v>
      </c>
      <c r="Y21" s="69">
        <v>1</v>
      </c>
      <c r="Z21" s="65">
        <f>0/1</f>
        <v>0</v>
      </c>
      <c r="AA21" s="122">
        <v>66.7</v>
      </c>
      <c r="AB21" s="122">
        <v>0</v>
      </c>
      <c r="AC21" s="122">
        <f t="shared" si="3"/>
        <v>66.7</v>
      </c>
      <c r="AD21" s="122">
        <v>1.5</v>
      </c>
      <c r="AE21" s="122">
        <v>0</v>
      </c>
      <c r="AF21" s="65">
        <v>0</v>
      </c>
      <c r="AG21" s="122">
        <v>0</v>
      </c>
      <c r="AH21" s="122">
        <v>0</v>
      </c>
      <c r="AI21" s="122">
        <v>0</v>
      </c>
      <c r="AJ21" s="65">
        <v>0.01</v>
      </c>
      <c r="AK21" s="122">
        <v>-6.1</v>
      </c>
      <c r="AL21" s="122">
        <v>-0.9</v>
      </c>
      <c r="AM21" s="122">
        <v>0</v>
      </c>
      <c r="AN21" s="122">
        <v>0</v>
      </c>
    </row>
    <row r="22" spans="1:40" x14ac:dyDescent="0.2">
      <c r="B22" s="5"/>
      <c r="P22" s="11"/>
      <c r="Q22" s="11"/>
      <c r="R22" s="16"/>
      <c r="S22" s="16"/>
      <c r="T22" s="16"/>
      <c r="X22" s="69"/>
      <c r="Y22" s="69"/>
      <c r="Z22" s="65"/>
      <c r="AA22" s="122"/>
      <c r="AB22" s="122"/>
      <c r="AC22" s="122"/>
      <c r="AD22" s="122"/>
      <c r="AE22" s="122"/>
      <c r="AF22" s="65"/>
      <c r="AG22" s="122"/>
      <c r="AH22" s="122"/>
      <c r="AI22" s="122"/>
      <c r="AJ22" s="65"/>
      <c r="AK22" s="122"/>
      <c r="AL22" s="122"/>
      <c r="AM22" s="122"/>
      <c r="AN22" s="122"/>
    </row>
    <row r="23" spans="1:40" x14ac:dyDescent="0.2">
      <c r="G23" s="62">
        <f ca="1">TODAY()</f>
        <v>44128</v>
      </c>
      <c r="H23" s="63">
        <f ca="1">AVERAGE(H2:H14)</f>
        <v>27.253846153846155</v>
      </c>
      <c r="J23" s="63">
        <f>AVERAGE(J2:J14)</f>
        <v>5.5384615384615383</v>
      </c>
      <c r="X23" s="69"/>
      <c r="Y23" s="69"/>
      <c r="Z23" s="65"/>
      <c r="AA23" s="122"/>
      <c r="AB23" s="122"/>
      <c r="AC23" s="122"/>
      <c r="AD23" s="122"/>
      <c r="AE23" s="122"/>
      <c r="AF23" s="65"/>
      <c r="AG23" s="122"/>
      <c r="AH23" s="122"/>
      <c r="AI23" s="122"/>
      <c r="AJ23" s="65"/>
      <c r="AK23" s="122"/>
      <c r="AL23" s="122"/>
      <c r="AM23" s="122"/>
      <c r="AN23" s="122"/>
    </row>
    <row r="24" spans="1:40" x14ac:dyDescent="0.2">
      <c r="H24" s="63">
        <f ca="1">MEDIAN(H2:H14)</f>
        <v>27.3</v>
      </c>
      <c r="J24" s="69">
        <f>MEDIAN(J2:J14)</f>
        <v>4</v>
      </c>
      <c r="P24" s="64"/>
      <c r="X24" s="69"/>
      <c r="Y24" s="69"/>
      <c r="Z24" s="65"/>
      <c r="AF24" s="65"/>
      <c r="AJ24" s="65"/>
    </row>
    <row r="25" spans="1:40" x14ac:dyDescent="0.2">
      <c r="B25" s="209" t="s">
        <v>2224</v>
      </c>
      <c r="P25" s="64">
        <f>P3+P4+P5+P6+P7+P8+P9+P16+340000</f>
        <v>81106629</v>
      </c>
      <c r="Z25" s="65"/>
      <c r="AF25" s="65"/>
      <c r="AJ25" s="65"/>
    </row>
    <row r="26" spans="1:40" x14ac:dyDescent="0.2">
      <c r="B26" s="3" t="s">
        <v>2085</v>
      </c>
      <c r="C26" s="60">
        <v>7</v>
      </c>
      <c r="P26" s="160">
        <f>P2+P3+P4+P5+P6+P7+P8+P9+P16+340000</f>
        <v>115608761</v>
      </c>
      <c r="AF26" s="65"/>
      <c r="AJ26" s="65"/>
    </row>
    <row r="27" spans="1:40" x14ac:dyDescent="0.2">
      <c r="B27" s="3" t="s">
        <v>2088</v>
      </c>
      <c r="C27" s="60">
        <v>6</v>
      </c>
      <c r="I27" s="209"/>
      <c r="P27" s="64">
        <f>P2+P3+P4+P5+P6+P7+P8+P9+P10+P11+P12+P13+P14+P16</f>
        <v>123124242</v>
      </c>
      <c r="AF27" s="65"/>
      <c r="AJ27" s="65"/>
    </row>
    <row r="28" spans="1:40" x14ac:dyDescent="0.2">
      <c r="B28" s="3" t="s">
        <v>2086</v>
      </c>
      <c r="C28" s="60">
        <v>1</v>
      </c>
      <c r="I28" s="3"/>
      <c r="O28" s="176"/>
      <c r="P28" s="124">
        <f>P2+P3+P4+P5+P6+P7+P8+P9+P10+P12+P13+P14+P16</f>
        <v>121606261</v>
      </c>
      <c r="AF28" s="65"/>
    </row>
    <row r="29" spans="1:40" x14ac:dyDescent="0.2">
      <c r="B29" s="3" t="s">
        <v>2219</v>
      </c>
      <c r="C29" s="60" t="s">
        <v>2271</v>
      </c>
      <c r="I29" s="3"/>
      <c r="O29" s="176"/>
      <c r="P29" s="11"/>
      <c r="AF29" s="65"/>
    </row>
    <row r="30" spans="1:40" x14ac:dyDescent="0.2">
      <c r="B30" s="3" t="s">
        <v>301</v>
      </c>
      <c r="C30" s="61">
        <v>0</v>
      </c>
      <c r="I30" s="3"/>
      <c r="O30" s="176" t="s">
        <v>300</v>
      </c>
      <c r="P30" s="11">
        <v>109140000</v>
      </c>
      <c r="AF30" s="65"/>
    </row>
    <row r="31" spans="1:40" x14ac:dyDescent="0.2">
      <c r="B31" s="3" t="s">
        <v>303</v>
      </c>
      <c r="C31" s="61">
        <v>0</v>
      </c>
      <c r="I31" s="3"/>
      <c r="O31" s="177" t="s">
        <v>302</v>
      </c>
      <c r="P31" s="11">
        <v>132627000</v>
      </c>
      <c r="AF31" s="65"/>
    </row>
    <row r="32" spans="1:40" x14ac:dyDescent="0.2">
      <c r="B32" s="3"/>
      <c r="I32" s="3"/>
      <c r="J32" s="61"/>
      <c r="AF32" s="65"/>
    </row>
    <row r="33" spans="2:10" x14ac:dyDescent="0.2">
      <c r="B33" s="71" t="s">
        <v>2084</v>
      </c>
      <c r="I33" s="3"/>
      <c r="J33" s="61"/>
    </row>
    <row r="34" spans="2:10" x14ac:dyDescent="0.2">
      <c r="B34" s="3" t="s">
        <v>304</v>
      </c>
      <c r="C34" s="65">
        <f>44/(44+28)</f>
        <v>0.61111111111111116</v>
      </c>
      <c r="D34" s="60" t="s">
        <v>760</v>
      </c>
      <c r="I34" s="3"/>
    </row>
    <row r="35" spans="2:10" x14ac:dyDescent="0.2">
      <c r="B35" s="3" t="s">
        <v>306</v>
      </c>
      <c r="C35" s="60">
        <v>111.8</v>
      </c>
      <c r="D35" s="60" t="s">
        <v>2235</v>
      </c>
      <c r="I35" s="71"/>
    </row>
    <row r="36" spans="2:10" x14ac:dyDescent="0.2">
      <c r="B36" s="3" t="s">
        <v>307</v>
      </c>
      <c r="C36" s="60">
        <v>109.3</v>
      </c>
      <c r="D36" s="60" t="s">
        <v>2181</v>
      </c>
      <c r="I36" s="3"/>
    </row>
    <row r="37" spans="2:10" x14ac:dyDescent="0.2">
      <c r="B37" s="3" t="s">
        <v>308</v>
      </c>
      <c r="C37" s="60">
        <f>C35-C36</f>
        <v>2.5</v>
      </c>
      <c r="D37" s="60" t="s">
        <v>2235</v>
      </c>
      <c r="I37" s="3"/>
    </row>
    <row r="38" spans="2:10" x14ac:dyDescent="0.2">
      <c r="B38" s="3" t="s">
        <v>309</v>
      </c>
      <c r="C38" s="60">
        <v>99.15</v>
      </c>
      <c r="D38" s="60" t="s">
        <v>2326</v>
      </c>
      <c r="I38" s="3"/>
    </row>
    <row r="39" spans="2:10" x14ac:dyDescent="0.2">
      <c r="B39" s="3"/>
      <c r="I39" s="3"/>
    </row>
    <row r="40" spans="2:10" x14ac:dyDescent="0.2">
      <c r="B40" s="3" t="s">
        <v>310</v>
      </c>
      <c r="I40" s="3"/>
    </row>
    <row r="41" spans="2:10" x14ac:dyDescent="0.2">
      <c r="B41" s="2" t="s">
        <v>1977</v>
      </c>
      <c r="I41" s="3"/>
    </row>
    <row r="42" spans="2:10" x14ac:dyDescent="0.2">
      <c r="B42" s="2" t="s">
        <v>1978</v>
      </c>
      <c r="I42" s="3"/>
    </row>
    <row r="43" spans="2:10" x14ac:dyDescent="0.2">
      <c r="B43" s="10"/>
    </row>
    <row r="44" spans="2:10" x14ac:dyDescent="0.2">
      <c r="B44" s="2" t="s">
        <v>318</v>
      </c>
    </row>
    <row r="45" spans="2:10" x14ac:dyDescent="0.2">
      <c r="B45" s="2" t="s">
        <v>2325</v>
      </c>
    </row>
    <row r="46" spans="2:10" x14ac:dyDescent="0.2">
      <c r="B46" s="2" t="s">
        <v>1979</v>
      </c>
    </row>
    <row r="47" spans="2:10" x14ac:dyDescent="0.2">
      <c r="B47" s="205"/>
    </row>
    <row r="48" spans="2:10" x14ac:dyDescent="0.2">
      <c r="B48" s="71" t="s">
        <v>2228</v>
      </c>
    </row>
    <row r="49" spans="2:10" x14ac:dyDescent="0.2">
      <c r="B49" s="39" t="s">
        <v>322</v>
      </c>
      <c r="C49" s="60">
        <v>44</v>
      </c>
      <c r="D49" s="60">
        <v>28</v>
      </c>
      <c r="E49" s="60" t="s">
        <v>760</v>
      </c>
      <c r="G49" s="60" t="s">
        <v>1976</v>
      </c>
      <c r="J49" s="60" t="s">
        <v>1883</v>
      </c>
    </row>
    <row r="50" spans="2:10" x14ac:dyDescent="0.2">
      <c r="B50" s="39" t="s">
        <v>325</v>
      </c>
      <c r="C50" s="60">
        <v>50</v>
      </c>
      <c r="D50" s="60">
        <v>32</v>
      </c>
      <c r="E50" s="60" t="s">
        <v>826</v>
      </c>
      <c r="G50" s="60" t="s">
        <v>1976</v>
      </c>
      <c r="J50" s="60" t="s">
        <v>762</v>
      </c>
    </row>
    <row r="51" spans="2:10" x14ac:dyDescent="0.2">
      <c r="B51" s="39" t="s">
        <v>327</v>
      </c>
      <c r="C51" s="60">
        <v>48</v>
      </c>
      <c r="D51" s="60">
        <v>34</v>
      </c>
      <c r="E51" s="60" t="s">
        <v>826</v>
      </c>
      <c r="G51" s="60" t="s">
        <v>1976</v>
      </c>
      <c r="J51" s="60" t="s">
        <v>1980</v>
      </c>
    </row>
    <row r="52" spans="2:10" x14ac:dyDescent="0.2">
      <c r="B52" s="39" t="s">
        <v>330</v>
      </c>
      <c r="C52" s="60">
        <v>51</v>
      </c>
      <c r="D52" s="60">
        <v>31</v>
      </c>
      <c r="E52" s="60" t="s">
        <v>826</v>
      </c>
      <c r="G52" s="60" t="s">
        <v>1976</v>
      </c>
      <c r="J52" s="60" t="s">
        <v>1981</v>
      </c>
    </row>
    <row r="53" spans="2:10" x14ac:dyDescent="0.2">
      <c r="B53" s="39" t="s">
        <v>333</v>
      </c>
      <c r="C53" s="60">
        <v>40</v>
      </c>
      <c r="D53" s="60">
        <v>42</v>
      </c>
      <c r="E53" s="60" t="s">
        <v>819</v>
      </c>
      <c r="G53" s="60" t="s">
        <v>1976</v>
      </c>
      <c r="I53" s="148"/>
      <c r="J53" s="148" t="s">
        <v>324</v>
      </c>
    </row>
    <row r="54" spans="2:10" x14ac:dyDescent="0.2">
      <c r="B54" s="39" t="s">
        <v>336</v>
      </c>
      <c r="C54" s="60">
        <v>38</v>
      </c>
      <c r="D54" s="60">
        <v>44</v>
      </c>
      <c r="E54" s="60" t="s">
        <v>759</v>
      </c>
      <c r="G54" s="60" t="s">
        <v>1976</v>
      </c>
      <c r="I54" s="148"/>
      <c r="J54" s="148" t="s">
        <v>324</v>
      </c>
    </row>
    <row r="55" spans="2:10" x14ac:dyDescent="0.2">
      <c r="B55" s="39" t="s">
        <v>339</v>
      </c>
      <c r="C55" s="60">
        <v>25</v>
      </c>
      <c r="D55" s="60">
        <v>57</v>
      </c>
      <c r="E55" s="60" t="s">
        <v>942</v>
      </c>
      <c r="G55" s="60" t="s">
        <v>1982</v>
      </c>
      <c r="I55" s="148"/>
      <c r="J55" s="148" t="s">
        <v>324</v>
      </c>
    </row>
    <row r="56" spans="2:10" x14ac:dyDescent="0.2">
      <c r="B56" s="39" t="s">
        <v>342</v>
      </c>
      <c r="C56" s="60">
        <v>43</v>
      </c>
      <c r="D56" s="60">
        <v>39</v>
      </c>
      <c r="E56" s="60" t="s">
        <v>819</v>
      </c>
      <c r="G56" s="60" t="s">
        <v>1982</v>
      </c>
      <c r="I56" s="148"/>
      <c r="J56" s="148" t="s">
        <v>324</v>
      </c>
    </row>
    <row r="57" spans="2:10" x14ac:dyDescent="0.2">
      <c r="B57" s="39" t="s">
        <v>346</v>
      </c>
      <c r="C57" s="60">
        <v>36</v>
      </c>
      <c r="D57" s="60">
        <v>30</v>
      </c>
      <c r="E57" s="60" t="s">
        <v>763</v>
      </c>
      <c r="G57" s="60" t="s">
        <v>1982</v>
      </c>
      <c r="J57" s="60" t="s">
        <v>1178</v>
      </c>
    </row>
    <row r="58" spans="2:10" x14ac:dyDescent="0.2">
      <c r="B58" s="39" t="s">
        <v>348</v>
      </c>
      <c r="C58" s="60">
        <v>39</v>
      </c>
      <c r="D58" s="60">
        <v>43</v>
      </c>
      <c r="E58" s="60" t="s">
        <v>759</v>
      </c>
      <c r="G58" s="60" t="s">
        <v>1983</v>
      </c>
      <c r="J58" s="148" t="s">
        <v>324</v>
      </c>
    </row>
    <row r="59" spans="2:10" x14ac:dyDescent="0.2">
      <c r="B59" s="60" t="s">
        <v>350</v>
      </c>
      <c r="C59" s="60">
        <f>SUM(C49:C58)</f>
        <v>414</v>
      </c>
      <c r="D59" s="60">
        <f>SUM(D49:D58)</f>
        <v>380</v>
      </c>
      <c r="E59" s="65">
        <f>C59/(C59+D59)</f>
        <v>0.52141057934508817</v>
      </c>
    </row>
    <row r="61" spans="2:10" x14ac:dyDescent="0.2">
      <c r="D61" s="77"/>
    </row>
    <row r="62" spans="2:10" x14ac:dyDescent="0.2">
      <c r="D62" s="77"/>
    </row>
    <row r="63" spans="2:10" x14ac:dyDescent="0.2">
      <c r="C63" s="77"/>
      <c r="D63" s="77"/>
    </row>
  </sheetData>
  <pageMargins left="0.7" right="0.7" top="0.75" bottom="0.75" header="0.3" footer="0.3"/>
  <ignoredErrors>
    <ignoredError sqref="A18" numberStoredAsText="1"/>
  </ignoredErrors>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47D8B-FA2B-2E40-AC28-65B5CA9C4AFF}">
  <dimension ref="A1:AR68"/>
  <sheetViews>
    <sheetView zoomScaleNormal="100" workbookViewId="0">
      <selection sqref="A1:AR1"/>
    </sheetView>
  </sheetViews>
  <sheetFormatPr baseColWidth="10" defaultColWidth="10.83203125" defaultRowHeight="16" x14ac:dyDescent="0.2"/>
  <cols>
    <col min="1" max="1" width="4.83203125" style="3" customWidth="1"/>
    <col min="2" max="2" width="23.1640625" style="3" customWidth="1"/>
    <col min="3" max="3" width="9.6640625" style="3" customWidth="1"/>
    <col min="4" max="4" width="7" style="3" customWidth="1"/>
    <col min="5" max="5" width="10.33203125" style="3" customWidth="1"/>
    <col min="6" max="6" width="7.6640625" style="3" customWidth="1"/>
    <col min="7" max="7" width="9.1640625" style="3" customWidth="1"/>
    <col min="8" max="8" width="5.83203125" style="3" customWidth="1"/>
    <col min="9" max="9" width="18.6640625" style="3" customWidth="1"/>
    <col min="10" max="10" width="11" style="3" customWidth="1"/>
    <col min="11" max="11" width="13" style="3" customWidth="1"/>
    <col min="12" max="12" width="5.6640625" style="3" customWidth="1"/>
    <col min="13" max="13" width="33.5" style="3" customWidth="1"/>
    <col min="14" max="14" width="14.5" style="3" customWidth="1"/>
    <col min="15" max="15" width="46.1640625" style="3" customWidth="1"/>
    <col min="16" max="16" width="13.5" style="3" customWidth="1"/>
    <col min="17" max="17" width="12.5" style="3" customWidth="1"/>
    <col min="18" max="18" width="13.33203125" style="3" customWidth="1"/>
    <col min="19" max="19" width="13.1640625" style="3" customWidth="1"/>
    <col min="20" max="20" width="12.33203125" style="3" customWidth="1"/>
    <col min="21" max="21" width="10.83203125" style="3"/>
    <col min="22" max="22" width="248.6640625" style="3" customWidth="1"/>
    <col min="23" max="23" width="25.83203125" style="3" customWidth="1"/>
    <col min="24" max="24" width="9.5" style="3" customWidth="1"/>
    <col min="25" max="25" width="4" style="3" customWidth="1"/>
    <col min="26" max="26" width="7.83203125" style="3" customWidth="1"/>
    <col min="27" max="27" width="6.1640625" style="3" customWidth="1"/>
    <col min="28" max="28" width="5.83203125" style="3" customWidth="1"/>
    <col min="29" max="29" width="7.1640625" style="3" customWidth="1"/>
    <col min="30" max="30" width="5.1640625" style="3" customWidth="1"/>
    <col min="31" max="31" width="4.83203125" style="3" customWidth="1"/>
    <col min="32" max="32" width="5.83203125" style="3" customWidth="1"/>
    <col min="33" max="33" width="7.83203125" style="3" customWidth="1"/>
    <col min="34" max="34" width="4.83203125" style="3" customWidth="1"/>
    <col min="35" max="35" width="5" style="3" customWidth="1"/>
    <col min="36" max="36" width="6.6640625" style="3" customWidth="1"/>
    <col min="37" max="37" width="5.83203125" style="3" customWidth="1"/>
    <col min="38" max="38" width="6" style="3" customWidth="1"/>
    <col min="39" max="39" width="5.6640625" style="3" customWidth="1"/>
    <col min="40" max="40" width="4.6640625" style="3" customWidth="1"/>
    <col min="41" max="16384" width="10.83203125" style="3"/>
  </cols>
  <sheetData>
    <row r="1" spans="1:44" x14ac:dyDescent="0.2">
      <c r="A1" s="223" t="s">
        <v>2394</v>
      </c>
      <c r="B1" s="223" t="s">
        <v>2395</v>
      </c>
      <c r="C1" s="223" t="s">
        <v>2396</v>
      </c>
      <c r="D1" s="223" t="s">
        <v>2397</v>
      </c>
      <c r="E1" s="223" t="s">
        <v>2398</v>
      </c>
      <c r="F1" s="223" t="s">
        <v>2399</v>
      </c>
      <c r="G1" s="223" t="s">
        <v>2400</v>
      </c>
      <c r="H1" s="223" t="s">
        <v>2401</v>
      </c>
      <c r="I1" s="223" t="s">
        <v>2402</v>
      </c>
      <c r="J1" s="223" t="s">
        <v>2403</v>
      </c>
      <c r="K1" s="223" t="s">
        <v>2404</v>
      </c>
      <c r="L1" s="223" t="s">
        <v>2405</v>
      </c>
      <c r="M1" s="223" t="s">
        <v>2406</v>
      </c>
      <c r="N1" s="223" t="s">
        <v>2407</v>
      </c>
      <c r="O1" s="223" t="s">
        <v>2408</v>
      </c>
      <c r="P1" s="223" t="s">
        <v>2409</v>
      </c>
      <c r="Q1" s="223" t="s">
        <v>2410</v>
      </c>
      <c r="R1" s="223" t="s">
        <v>2411</v>
      </c>
      <c r="S1" s="223" t="s">
        <v>2412</v>
      </c>
      <c r="T1" s="223" t="s">
        <v>2413</v>
      </c>
      <c r="U1" s="223" t="s">
        <v>2414</v>
      </c>
      <c r="V1" s="223" t="s">
        <v>2415</v>
      </c>
      <c r="W1" s="223" t="s">
        <v>2416</v>
      </c>
      <c r="X1" s="223" t="s">
        <v>2433</v>
      </c>
      <c r="Y1" s="223" t="s">
        <v>2417</v>
      </c>
      <c r="Z1" s="223" t="s">
        <v>2418</v>
      </c>
      <c r="AA1" s="223" t="s">
        <v>2419</v>
      </c>
      <c r="AB1" s="223" t="s">
        <v>2420</v>
      </c>
      <c r="AC1" s="223" t="s">
        <v>2421</v>
      </c>
      <c r="AD1" s="223" t="s">
        <v>2422</v>
      </c>
      <c r="AE1" s="223" t="s">
        <v>2423</v>
      </c>
      <c r="AF1" s="223" t="s">
        <v>2424</v>
      </c>
      <c r="AG1" s="223" t="s">
        <v>2425</v>
      </c>
      <c r="AH1" s="223" t="s">
        <v>2426</v>
      </c>
      <c r="AI1" s="223" t="s">
        <v>2427</v>
      </c>
      <c r="AJ1" s="223" t="s">
        <v>2428</v>
      </c>
      <c r="AK1" s="223" t="s">
        <v>2429</v>
      </c>
      <c r="AL1" s="223" t="s">
        <v>2430</v>
      </c>
      <c r="AM1" s="223" t="s">
        <v>2431</v>
      </c>
      <c r="AN1" s="223" t="s">
        <v>2432</v>
      </c>
      <c r="AO1" s="224"/>
      <c r="AP1" s="225"/>
      <c r="AQ1" s="6"/>
      <c r="AR1" s="6"/>
    </row>
    <row r="2" spans="1:44" x14ac:dyDescent="0.2">
      <c r="A2" s="3">
        <v>7</v>
      </c>
      <c r="B2" s="3" t="s">
        <v>196</v>
      </c>
      <c r="C2" s="3" t="s">
        <v>244</v>
      </c>
      <c r="D2" s="108">
        <v>610</v>
      </c>
      <c r="E2" s="108">
        <v>75</v>
      </c>
      <c r="F2" s="109">
        <v>240</v>
      </c>
      <c r="G2" s="4">
        <v>32415</v>
      </c>
      <c r="H2" s="113">
        <f t="shared" ref="H2:H14" ca="1" si="0">ROUNDDOWN(YEARFRAC($G$28,G2),1)</f>
        <v>32</v>
      </c>
      <c r="I2" s="3" t="s">
        <v>424</v>
      </c>
      <c r="J2" s="3">
        <v>14</v>
      </c>
      <c r="K2" s="112">
        <v>2007</v>
      </c>
      <c r="L2" s="112">
        <v>2</v>
      </c>
      <c r="M2" s="3" t="s">
        <v>425</v>
      </c>
      <c r="N2" s="3" t="s">
        <v>354</v>
      </c>
      <c r="O2" s="3" t="s">
        <v>2127</v>
      </c>
      <c r="P2" s="22">
        <v>40108950</v>
      </c>
      <c r="Q2" s="22">
        <v>42018900</v>
      </c>
      <c r="R2" s="56">
        <v>43928850</v>
      </c>
      <c r="S2" s="52">
        <v>48234375</v>
      </c>
      <c r="T2" s="58"/>
      <c r="U2" s="22"/>
      <c r="V2" s="3" t="s">
        <v>2033</v>
      </c>
      <c r="W2" s="3" t="s">
        <v>426</v>
      </c>
      <c r="X2" s="110">
        <v>4</v>
      </c>
      <c r="Y2" s="110">
        <v>78</v>
      </c>
      <c r="Z2" s="41">
        <f>54/78</f>
        <v>0.69230769230769229</v>
      </c>
      <c r="AA2" s="113">
        <v>118.7</v>
      </c>
      <c r="AB2" s="113">
        <v>107.3</v>
      </c>
      <c r="AC2" s="113">
        <f t="shared" ref="AC2:AC14" si="1">AA2-AB2</f>
        <v>11.400000000000006</v>
      </c>
      <c r="AD2" s="113">
        <v>34.6</v>
      </c>
      <c r="AE2" s="113">
        <v>24.2</v>
      </c>
      <c r="AF2" s="41">
        <v>0.63100000000000001</v>
      </c>
      <c r="AG2" s="113">
        <v>29</v>
      </c>
      <c r="AH2" s="113">
        <v>8.6</v>
      </c>
      <c r="AI2" s="113">
        <v>2.9</v>
      </c>
      <c r="AJ2" s="41">
        <v>0.20399999999999999</v>
      </c>
      <c r="AK2" s="113">
        <v>5.4</v>
      </c>
      <c r="AL2" s="113">
        <v>0.1</v>
      </c>
      <c r="AM2" s="113">
        <v>5.0999999999999996</v>
      </c>
      <c r="AN2" s="113">
        <v>16.2</v>
      </c>
    </row>
    <row r="3" spans="1:44" x14ac:dyDescent="0.2">
      <c r="A3" s="3">
        <v>11</v>
      </c>
      <c r="B3" s="3" t="s">
        <v>197</v>
      </c>
      <c r="C3" s="3" t="s">
        <v>250</v>
      </c>
      <c r="D3" s="108">
        <v>62</v>
      </c>
      <c r="E3" s="108">
        <v>64</v>
      </c>
      <c r="F3" s="109">
        <v>195</v>
      </c>
      <c r="G3" s="4">
        <v>33686</v>
      </c>
      <c r="H3" s="113">
        <f t="shared" ca="1" si="0"/>
        <v>28.5</v>
      </c>
      <c r="I3" s="3" t="s">
        <v>256</v>
      </c>
      <c r="J3" s="3">
        <v>10</v>
      </c>
      <c r="K3" s="112">
        <v>2011</v>
      </c>
      <c r="L3" s="112">
        <v>1</v>
      </c>
      <c r="M3" s="3" t="s">
        <v>427</v>
      </c>
      <c r="N3" s="3" t="s">
        <v>285</v>
      </c>
      <c r="O3" s="3" t="s">
        <v>2128</v>
      </c>
      <c r="P3" s="22">
        <f>33329100+250000</f>
        <v>33579100</v>
      </c>
      <c r="Q3" s="22">
        <f>34916200+250000</f>
        <v>35166200</v>
      </c>
      <c r="R3" s="56">
        <f>36503300+250000</f>
        <v>36753300</v>
      </c>
      <c r="S3" s="52">
        <v>48234375</v>
      </c>
      <c r="T3" s="58"/>
      <c r="U3" s="22"/>
      <c r="V3" s="3" t="s">
        <v>2029</v>
      </c>
      <c r="W3" s="5" t="s">
        <v>291</v>
      </c>
      <c r="X3" s="110">
        <v>1</v>
      </c>
      <c r="Y3" s="110">
        <v>20</v>
      </c>
      <c r="Z3" s="41">
        <f>8/20</f>
        <v>0.4</v>
      </c>
      <c r="AA3" s="113">
        <v>112.7</v>
      </c>
      <c r="AB3" s="113">
        <v>113.1</v>
      </c>
      <c r="AC3" s="113">
        <f t="shared" si="1"/>
        <v>-0.39999999999999147</v>
      </c>
      <c r="AD3" s="113">
        <v>32.9</v>
      </c>
      <c r="AE3" s="113">
        <v>26.3</v>
      </c>
      <c r="AF3" s="41">
        <v>0.59499999999999997</v>
      </c>
      <c r="AG3" s="113">
        <v>32.6</v>
      </c>
      <c r="AH3" s="113">
        <v>2.1</v>
      </c>
      <c r="AI3" s="113">
        <v>0.8</v>
      </c>
      <c r="AJ3" s="41">
        <v>0.216</v>
      </c>
      <c r="AK3" s="113">
        <v>6.6</v>
      </c>
      <c r="AL3" s="113">
        <v>1</v>
      </c>
      <c r="AM3" s="113">
        <v>1.6</v>
      </c>
      <c r="AN3" s="113">
        <v>16.399999999999999</v>
      </c>
    </row>
    <row r="4" spans="1:44" x14ac:dyDescent="0.2">
      <c r="A4" s="3">
        <v>22</v>
      </c>
      <c r="B4" s="3" t="s">
        <v>442</v>
      </c>
      <c r="C4" s="3" t="s">
        <v>232</v>
      </c>
      <c r="D4" s="108">
        <v>66</v>
      </c>
      <c r="E4" s="108">
        <v>610</v>
      </c>
      <c r="F4" s="109">
        <v>205</v>
      </c>
      <c r="G4" s="4">
        <v>34571</v>
      </c>
      <c r="H4" s="113">
        <f t="shared" ca="1" si="0"/>
        <v>26.1</v>
      </c>
      <c r="I4" s="3" t="s">
        <v>443</v>
      </c>
      <c r="J4" s="3">
        <v>5</v>
      </c>
      <c r="K4" s="112">
        <v>2016</v>
      </c>
      <c r="L4" s="112">
        <v>20</v>
      </c>
      <c r="M4" s="3" t="s">
        <v>444</v>
      </c>
      <c r="N4" s="3" t="s">
        <v>1</v>
      </c>
      <c r="O4" s="3" t="s">
        <v>2126</v>
      </c>
      <c r="P4" s="22">
        <v>16203704</v>
      </c>
      <c r="Q4" s="22">
        <v>17500000</v>
      </c>
      <c r="R4" s="22">
        <v>18796296</v>
      </c>
      <c r="S4" s="52">
        <f>R4*1.5</f>
        <v>28194444</v>
      </c>
      <c r="T4" s="58"/>
      <c r="U4" s="22"/>
      <c r="W4" s="3" t="s">
        <v>445</v>
      </c>
      <c r="X4" s="110">
        <v>2</v>
      </c>
      <c r="Y4" s="110">
        <v>39</v>
      </c>
      <c r="Z4" s="41">
        <f>18/39</f>
        <v>0.46153846153846156</v>
      </c>
      <c r="AA4" s="113">
        <v>108.4</v>
      </c>
      <c r="AB4" s="113">
        <v>108.5</v>
      </c>
      <c r="AC4" s="113">
        <f t="shared" si="1"/>
        <v>-9.9999999999994316E-2</v>
      </c>
      <c r="AD4" s="113">
        <v>29</v>
      </c>
      <c r="AE4" s="113">
        <v>15.1</v>
      </c>
      <c r="AF4" s="41">
        <v>0.50900000000000001</v>
      </c>
      <c r="AG4" s="113">
        <v>28.8</v>
      </c>
      <c r="AH4" s="113">
        <v>-0.1</v>
      </c>
      <c r="AI4" s="113">
        <v>1.2</v>
      </c>
      <c r="AJ4" s="41">
        <v>0.05</v>
      </c>
      <c r="AK4" s="113">
        <v>0.1</v>
      </c>
      <c r="AL4" s="113">
        <v>-0.7</v>
      </c>
      <c r="AM4" s="113">
        <v>0.4</v>
      </c>
      <c r="AN4" s="113">
        <v>10.5</v>
      </c>
    </row>
    <row r="5" spans="1:44" x14ac:dyDescent="0.2">
      <c r="A5" s="3">
        <v>2</v>
      </c>
      <c r="B5" s="3" t="s">
        <v>438</v>
      </c>
      <c r="C5" s="3" t="s">
        <v>236</v>
      </c>
      <c r="D5" s="108">
        <v>67</v>
      </c>
      <c r="E5" s="108">
        <v>70</v>
      </c>
      <c r="F5" s="109">
        <v>218</v>
      </c>
      <c r="G5" s="4">
        <v>34415</v>
      </c>
      <c r="H5" s="113">
        <f t="shared" ca="1" si="0"/>
        <v>26.5</v>
      </c>
      <c r="I5" s="3" t="s">
        <v>439</v>
      </c>
      <c r="J5" s="3">
        <v>5</v>
      </c>
      <c r="K5" s="112">
        <v>2016</v>
      </c>
      <c r="L5" s="112">
        <v>12</v>
      </c>
      <c r="M5" s="3" t="s">
        <v>440</v>
      </c>
      <c r="N5" s="3" t="s">
        <v>1</v>
      </c>
      <c r="O5" s="3" t="s">
        <v>2125</v>
      </c>
      <c r="P5" s="22">
        <v>12250000</v>
      </c>
      <c r="Q5" s="22">
        <v>13000000</v>
      </c>
      <c r="R5" s="52">
        <f>Q5*1.5</f>
        <v>19500000</v>
      </c>
      <c r="S5" s="226"/>
      <c r="T5" s="227"/>
      <c r="U5" s="22"/>
      <c r="V5" s="3" t="s">
        <v>2034</v>
      </c>
      <c r="W5" s="3" t="s">
        <v>441</v>
      </c>
      <c r="X5" s="110">
        <v>4</v>
      </c>
      <c r="Y5" s="110">
        <v>64</v>
      </c>
      <c r="Z5" s="41">
        <f>30/64</f>
        <v>0.46875</v>
      </c>
      <c r="AA5" s="113">
        <v>109.6</v>
      </c>
      <c r="AB5" s="113">
        <v>108.4</v>
      </c>
      <c r="AC5" s="113">
        <f t="shared" si="1"/>
        <v>1.1999999999999886</v>
      </c>
      <c r="AD5" s="113">
        <v>29</v>
      </c>
      <c r="AE5" s="113">
        <v>9.1999999999999993</v>
      </c>
      <c r="AF5" s="41">
        <v>0.497</v>
      </c>
      <c r="AG5" s="113">
        <v>20.399999999999999</v>
      </c>
      <c r="AH5" s="113">
        <v>-1.7</v>
      </c>
      <c r="AI5" s="113">
        <v>2.4</v>
      </c>
      <c r="AJ5" s="41">
        <v>1.9E-2</v>
      </c>
      <c r="AK5" s="113">
        <v>-2.9</v>
      </c>
      <c r="AL5" s="113">
        <v>-0.1</v>
      </c>
      <c r="AM5" s="113">
        <v>-0.5</v>
      </c>
      <c r="AN5" s="113">
        <v>7.4</v>
      </c>
    </row>
    <row r="6" spans="1:44" x14ac:dyDescent="0.2">
      <c r="A6" s="3">
        <v>26</v>
      </c>
      <c r="B6" s="3" t="s">
        <v>428</v>
      </c>
      <c r="C6" s="3" t="s">
        <v>232</v>
      </c>
      <c r="D6" s="108">
        <v>65</v>
      </c>
      <c r="E6" s="108">
        <v>68</v>
      </c>
      <c r="F6" s="109">
        <v>215</v>
      </c>
      <c r="G6" s="4">
        <v>34065</v>
      </c>
      <c r="H6" s="113">
        <f t="shared" ca="1" si="0"/>
        <v>27.5</v>
      </c>
      <c r="I6" s="3" t="s">
        <v>429</v>
      </c>
      <c r="J6" s="3">
        <v>7</v>
      </c>
      <c r="K6" s="112">
        <v>2014</v>
      </c>
      <c r="L6" s="112">
        <v>38</v>
      </c>
      <c r="M6" s="3" t="s">
        <v>430</v>
      </c>
      <c r="N6" s="3" t="s">
        <v>285</v>
      </c>
      <c r="O6" s="3" t="s">
        <v>2129</v>
      </c>
      <c r="P6" s="22">
        <v>11454048</v>
      </c>
      <c r="Q6" s="56">
        <v>12302496</v>
      </c>
      <c r="R6" s="52">
        <f>Q6*1.5</f>
        <v>18453744</v>
      </c>
      <c r="S6" s="226"/>
      <c r="T6" s="227"/>
      <c r="U6" s="22"/>
      <c r="W6" s="3" t="s">
        <v>431</v>
      </c>
      <c r="X6" s="110">
        <v>2</v>
      </c>
      <c r="Y6" s="110">
        <v>64</v>
      </c>
      <c r="Z6" s="41">
        <f>30/64</f>
        <v>0.46875</v>
      </c>
      <c r="AA6" s="113">
        <v>110.5</v>
      </c>
      <c r="AB6" s="113">
        <v>109.4</v>
      </c>
      <c r="AC6" s="113">
        <f t="shared" si="1"/>
        <v>1.0999999999999943</v>
      </c>
      <c r="AD6" s="113">
        <v>31.2</v>
      </c>
      <c r="AE6" s="113">
        <v>17.899999999999999</v>
      </c>
      <c r="AF6" s="41">
        <v>0.54100000000000004</v>
      </c>
      <c r="AG6" s="113">
        <v>29.2</v>
      </c>
      <c r="AH6" s="113">
        <v>3.4</v>
      </c>
      <c r="AI6" s="113">
        <v>1.7</v>
      </c>
      <c r="AJ6" s="41">
        <v>0.123</v>
      </c>
      <c r="AK6" s="113">
        <v>2.6</v>
      </c>
      <c r="AL6" s="113">
        <v>-0.8</v>
      </c>
      <c r="AM6" s="113">
        <v>1.9</v>
      </c>
      <c r="AN6" s="113">
        <v>12.1</v>
      </c>
    </row>
    <row r="7" spans="1:44" x14ac:dyDescent="0.2">
      <c r="A7" s="3">
        <v>6</v>
      </c>
      <c r="B7" s="3" t="s">
        <v>432</v>
      </c>
      <c r="C7" s="3" t="s">
        <v>236</v>
      </c>
      <c r="D7" s="108">
        <v>611</v>
      </c>
      <c r="E7" s="108">
        <v>76</v>
      </c>
      <c r="F7" s="109">
        <v>265</v>
      </c>
      <c r="G7" s="4">
        <v>32345</v>
      </c>
      <c r="H7" s="113">
        <f t="shared" ca="1" si="0"/>
        <v>32.200000000000003</v>
      </c>
      <c r="I7" s="3" t="s">
        <v>386</v>
      </c>
      <c r="J7" s="3">
        <v>13</v>
      </c>
      <c r="K7" s="112">
        <v>2008</v>
      </c>
      <c r="L7" s="112">
        <v>35</v>
      </c>
      <c r="M7" s="3" t="s">
        <v>433</v>
      </c>
      <c r="N7" s="3" t="s">
        <v>285</v>
      </c>
      <c r="O7" s="3" t="s">
        <v>2130</v>
      </c>
      <c r="P7" s="22">
        <v>10375678</v>
      </c>
      <c r="Q7" s="22">
        <v>9881598</v>
      </c>
      <c r="R7" s="58">
        <v>9821842</v>
      </c>
      <c r="S7" s="52">
        <f>R7*1.9</f>
        <v>18661499.800000001</v>
      </c>
      <c r="T7" s="58"/>
      <c r="U7" s="22"/>
      <c r="W7" s="5" t="s">
        <v>240</v>
      </c>
      <c r="X7" s="110">
        <v>5</v>
      </c>
      <c r="Y7" s="110">
        <v>56</v>
      </c>
      <c r="Z7" s="41">
        <f>27/56</f>
        <v>0.48214285714285715</v>
      </c>
      <c r="AA7" s="113">
        <v>104</v>
      </c>
      <c r="AB7" s="113">
        <v>105.8</v>
      </c>
      <c r="AC7" s="113">
        <f t="shared" si="1"/>
        <v>-1.7999999999999972</v>
      </c>
      <c r="AD7" s="113">
        <v>22</v>
      </c>
      <c r="AE7" s="113">
        <v>20</v>
      </c>
      <c r="AF7" s="41">
        <v>0.68200000000000005</v>
      </c>
      <c r="AG7" s="113">
        <v>14.1</v>
      </c>
      <c r="AH7" s="113">
        <v>3</v>
      </c>
      <c r="AI7" s="113">
        <v>2.2999999999999998</v>
      </c>
      <c r="AJ7" s="41">
        <v>0.20399999999999999</v>
      </c>
      <c r="AK7" s="113">
        <v>1.1000000000000001</v>
      </c>
      <c r="AL7" s="113">
        <v>1.8</v>
      </c>
      <c r="AM7" s="113">
        <v>1.5</v>
      </c>
      <c r="AN7" s="113">
        <v>16.8</v>
      </c>
    </row>
    <row r="8" spans="1:44" x14ac:dyDescent="0.2">
      <c r="A8" s="3">
        <v>17</v>
      </c>
      <c r="B8" s="3" t="s">
        <v>14</v>
      </c>
      <c r="C8" s="3" t="s">
        <v>255</v>
      </c>
      <c r="D8" s="108">
        <v>65</v>
      </c>
      <c r="E8" s="108"/>
      <c r="F8" s="109">
        <v>195</v>
      </c>
      <c r="G8" s="4">
        <v>31540</v>
      </c>
      <c r="H8" s="113">
        <f t="shared" ca="1" si="0"/>
        <v>34.4</v>
      </c>
      <c r="I8" s="3" t="s">
        <v>405</v>
      </c>
      <c r="J8" s="3">
        <v>11</v>
      </c>
      <c r="K8" s="112">
        <v>2009</v>
      </c>
      <c r="L8" s="112"/>
      <c r="M8" s="3" t="s">
        <v>436</v>
      </c>
      <c r="N8" s="3" t="s">
        <v>299</v>
      </c>
      <c r="O8" s="163" t="s">
        <v>371</v>
      </c>
      <c r="P8" s="59">
        <v>5005350</v>
      </c>
      <c r="Q8" s="52">
        <f>P8*1.3</f>
        <v>6506955</v>
      </c>
      <c r="R8" s="226"/>
      <c r="S8" s="226"/>
      <c r="T8" s="227"/>
      <c r="U8" s="22"/>
      <c r="W8" s="3" t="s">
        <v>437</v>
      </c>
      <c r="X8" s="110">
        <v>1</v>
      </c>
      <c r="Y8" s="110">
        <v>55</v>
      </c>
      <c r="Z8" s="41">
        <f>26/55</f>
        <v>0.47272727272727272</v>
      </c>
      <c r="AA8" s="113">
        <v>104.2</v>
      </c>
      <c r="AB8" s="113">
        <v>105.7</v>
      </c>
      <c r="AC8" s="113">
        <f t="shared" si="1"/>
        <v>-1.5</v>
      </c>
      <c r="AD8" s="113">
        <v>28.1</v>
      </c>
      <c r="AE8" s="113">
        <v>10.3</v>
      </c>
      <c r="AF8" s="41">
        <v>0.50700000000000001</v>
      </c>
      <c r="AG8" s="113">
        <v>16.600000000000001</v>
      </c>
      <c r="AH8" s="113">
        <v>0.5</v>
      </c>
      <c r="AI8" s="113">
        <v>1.6</v>
      </c>
      <c r="AJ8" s="41">
        <v>6.5000000000000002E-2</v>
      </c>
      <c r="AK8" s="113">
        <v>1.5</v>
      </c>
      <c r="AL8" s="113">
        <v>0.4</v>
      </c>
      <c r="AM8" s="113">
        <v>0.4</v>
      </c>
      <c r="AN8" s="113">
        <v>7.6</v>
      </c>
    </row>
    <row r="9" spans="1:44" x14ac:dyDescent="0.2">
      <c r="A9" s="3">
        <v>31</v>
      </c>
      <c r="B9" s="3" t="s">
        <v>446</v>
      </c>
      <c r="C9" s="3" t="s">
        <v>236</v>
      </c>
      <c r="D9" s="108">
        <v>611</v>
      </c>
      <c r="E9" s="108">
        <v>76</v>
      </c>
      <c r="F9" s="109">
        <v>243</v>
      </c>
      <c r="G9" s="4">
        <v>35906</v>
      </c>
      <c r="H9" s="113">
        <f t="shared" ca="1" si="0"/>
        <v>22.5</v>
      </c>
      <c r="I9" s="3" t="s">
        <v>424</v>
      </c>
      <c r="J9" s="3">
        <v>4</v>
      </c>
      <c r="K9" s="112">
        <v>2017</v>
      </c>
      <c r="L9" s="112">
        <v>22</v>
      </c>
      <c r="M9" s="3" t="s">
        <v>447</v>
      </c>
      <c r="N9" s="3" t="s">
        <v>247</v>
      </c>
      <c r="O9" s="3" t="s">
        <v>2099</v>
      </c>
      <c r="P9" s="22">
        <v>3909902</v>
      </c>
      <c r="Q9" s="68">
        <f>P9*3</f>
        <v>11729706</v>
      </c>
      <c r="R9" s="226"/>
      <c r="S9" s="226"/>
      <c r="T9" s="227"/>
      <c r="U9" s="22"/>
      <c r="W9" s="5" t="s">
        <v>240</v>
      </c>
      <c r="X9" s="110">
        <v>5</v>
      </c>
      <c r="Y9" s="110">
        <v>64</v>
      </c>
      <c r="Z9" s="41">
        <f>30/64</f>
        <v>0.46875</v>
      </c>
      <c r="AA9" s="113">
        <v>109.4</v>
      </c>
      <c r="AB9" s="113">
        <v>108.9</v>
      </c>
      <c r="AC9" s="113">
        <f t="shared" si="1"/>
        <v>0.5</v>
      </c>
      <c r="AD9" s="113">
        <v>25.7</v>
      </c>
      <c r="AE9" s="113">
        <v>20.3</v>
      </c>
      <c r="AF9" s="41">
        <v>0.65800000000000003</v>
      </c>
      <c r="AG9" s="113">
        <v>15</v>
      </c>
      <c r="AH9" s="113">
        <v>4.3</v>
      </c>
      <c r="AI9" s="113">
        <v>2.8</v>
      </c>
      <c r="AJ9" s="41">
        <v>0.20699999999999999</v>
      </c>
      <c r="AK9" s="113">
        <v>1</v>
      </c>
      <c r="AL9" s="113">
        <v>1.1000000000000001</v>
      </c>
      <c r="AM9" s="113">
        <v>1.7</v>
      </c>
      <c r="AN9" s="113">
        <v>13.8</v>
      </c>
    </row>
    <row r="10" spans="1:44" x14ac:dyDescent="0.2">
      <c r="A10" s="3">
        <v>13</v>
      </c>
      <c r="B10" s="3" t="s">
        <v>448</v>
      </c>
      <c r="C10" s="3" t="s">
        <v>244</v>
      </c>
      <c r="D10" s="108">
        <v>69</v>
      </c>
      <c r="E10" s="108">
        <v>69</v>
      </c>
      <c r="F10" s="109">
        <v>217</v>
      </c>
      <c r="G10" s="4">
        <v>36288</v>
      </c>
      <c r="H10" s="113">
        <f t="shared" ca="1" si="0"/>
        <v>21.4</v>
      </c>
      <c r="I10" s="3" t="s">
        <v>449</v>
      </c>
      <c r="J10" s="3">
        <v>3</v>
      </c>
      <c r="K10" s="112">
        <v>2018</v>
      </c>
      <c r="L10" s="112">
        <v>29</v>
      </c>
      <c r="M10" s="3" t="s">
        <v>450</v>
      </c>
      <c r="N10" s="3" t="s">
        <v>247</v>
      </c>
      <c r="O10" s="3" t="s">
        <v>2117</v>
      </c>
      <c r="P10" s="22">
        <v>2002800</v>
      </c>
      <c r="Q10" s="228">
        <v>3615054</v>
      </c>
      <c r="R10" s="68">
        <v>10856162</v>
      </c>
      <c r="S10" s="226"/>
      <c r="T10" s="227"/>
      <c r="U10" s="22"/>
      <c r="W10" s="3" t="s">
        <v>451</v>
      </c>
      <c r="X10" s="110">
        <v>4</v>
      </c>
      <c r="Y10" s="110">
        <v>35</v>
      </c>
      <c r="Z10" s="41">
        <f>17/35</f>
        <v>0.48571428571428571</v>
      </c>
      <c r="AA10" s="113">
        <v>100.1</v>
      </c>
      <c r="AB10" s="113">
        <v>105.5</v>
      </c>
      <c r="AC10" s="113">
        <f t="shared" si="1"/>
        <v>-5.4000000000000057</v>
      </c>
      <c r="AD10" s="113">
        <v>11.5</v>
      </c>
      <c r="AE10" s="113">
        <v>8.4</v>
      </c>
      <c r="AF10" s="41">
        <v>0.46700000000000003</v>
      </c>
      <c r="AG10" s="113">
        <v>19.399999999999999</v>
      </c>
      <c r="AH10" s="113">
        <v>-0.4</v>
      </c>
      <c r="AI10" s="113">
        <v>0.4</v>
      </c>
      <c r="AJ10" s="41">
        <v>6.0000000000000001E-3</v>
      </c>
      <c r="AK10" s="113">
        <v>-4.0999999999999996</v>
      </c>
      <c r="AL10" s="113">
        <v>-0.7</v>
      </c>
      <c r="AM10" s="113">
        <v>-0.3</v>
      </c>
      <c r="AN10" s="113">
        <v>6.6</v>
      </c>
    </row>
    <row r="11" spans="1:44" x14ac:dyDescent="0.2">
      <c r="A11" s="3">
        <v>9</v>
      </c>
      <c r="B11" s="3" t="s">
        <v>15</v>
      </c>
      <c r="C11" s="3" t="s">
        <v>255</v>
      </c>
      <c r="D11" s="108">
        <v>67</v>
      </c>
      <c r="E11" s="108">
        <v>72</v>
      </c>
      <c r="F11" s="109">
        <v>220</v>
      </c>
      <c r="G11" s="4">
        <v>34828</v>
      </c>
      <c r="H11" s="113">
        <f t="shared" ca="1" si="0"/>
        <v>25.4</v>
      </c>
      <c r="I11" s="3" t="s">
        <v>466</v>
      </c>
      <c r="J11" s="3">
        <v>5</v>
      </c>
      <c r="K11" s="112">
        <v>2016</v>
      </c>
      <c r="L11" s="112">
        <v>24</v>
      </c>
      <c r="M11" s="3" t="s">
        <v>467</v>
      </c>
      <c r="N11" s="3" t="s">
        <v>282</v>
      </c>
      <c r="O11" s="163" t="s">
        <v>290</v>
      </c>
      <c r="P11" s="57">
        <v>1824003</v>
      </c>
      <c r="Q11" s="52">
        <v>1856061</v>
      </c>
      <c r="R11" s="22"/>
      <c r="S11" s="226"/>
      <c r="T11" s="227"/>
      <c r="U11" s="22"/>
      <c r="W11" s="3" t="s">
        <v>468</v>
      </c>
      <c r="X11" s="110">
        <v>3</v>
      </c>
      <c r="Y11" s="110">
        <v>39</v>
      </c>
      <c r="Z11" s="41">
        <f>15/39</f>
        <v>0.38461538461538464</v>
      </c>
      <c r="AA11" s="113">
        <v>99.9</v>
      </c>
      <c r="AB11" s="113">
        <v>103.8</v>
      </c>
      <c r="AC11" s="113">
        <f t="shared" si="1"/>
        <v>-3.8999999999999915</v>
      </c>
      <c r="AD11" s="113">
        <v>17.2</v>
      </c>
      <c r="AE11" s="113">
        <v>8.9</v>
      </c>
      <c r="AF11" s="41">
        <v>0.56299999999999994</v>
      </c>
      <c r="AG11" s="113">
        <v>15.7</v>
      </c>
      <c r="AH11" s="113">
        <v>0.4</v>
      </c>
      <c r="AI11" s="113">
        <v>0.6</v>
      </c>
      <c r="AJ11" s="41">
        <v>6.9000000000000006E-2</v>
      </c>
      <c r="AK11" s="113">
        <v>-3</v>
      </c>
      <c r="AL11" s="113">
        <v>-0.2</v>
      </c>
      <c r="AM11" s="113">
        <v>-0.2</v>
      </c>
      <c r="AN11" s="113">
        <v>5.5</v>
      </c>
    </row>
    <row r="12" spans="1:44" x14ac:dyDescent="0.2">
      <c r="A12" s="20" t="s">
        <v>231</v>
      </c>
      <c r="B12" s="3" t="s">
        <v>452</v>
      </c>
      <c r="C12" s="3" t="s">
        <v>244</v>
      </c>
      <c r="D12" s="108">
        <v>69</v>
      </c>
      <c r="E12" s="108">
        <v>72</v>
      </c>
      <c r="F12" s="109">
        <v>228</v>
      </c>
      <c r="G12" s="4">
        <v>35831</v>
      </c>
      <c r="H12" s="113">
        <f t="shared" ca="1" si="0"/>
        <v>22.7</v>
      </c>
      <c r="I12" s="3" t="s">
        <v>453</v>
      </c>
      <c r="J12" s="3">
        <v>3</v>
      </c>
      <c r="K12" s="112">
        <v>2018</v>
      </c>
      <c r="L12" s="112">
        <v>40</v>
      </c>
      <c r="M12" s="3" t="s">
        <v>454</v>
      </c>
      <c r="N12" s="3" t="s">
        <v>285</v>
      </c>
      <c r="O12" s="3" t="s">
        <v>2131</v>
      </c>
      <c r="P12" s="22">
        <v>1780152</v>
      </c>
      <c r="Q12" s="59">
        <v>1861068</v>
      </c>
      <c r="R12" s="52">
        <v>1898973</v>
      </c>
      <c r="S12" s="226"/>
      <c r="T12" s="227"/>
      <c r="U12" s="22"/>
      <c r="W12" s="3" t="s">
        <v>456</v>
      </c>
      <c r="X12" s="110">
        <v>4</v>
      </c>
      <c r="Y12" s="110">
        <v>39</v>
      </c>
      <c r="Z12" s="41">
        <f>13/39</f>
        <v>0.33333333333333331</v>
      </c>
      <c r="AA12" s="113">
        <v>99.5</v>
      </c>
      <c r="AB12" s="113">
        <v>101.7</v>
      </c>
      <c r="AC12" s="113">
        <f t="shared" si="1"/>
        <v>-2.2000000000000028</v>
      </c>
      <c r="AD12" s="113">
        <v>12.8</v>
      </c>
      <c r="AE12" s="113">
        <v>8.4</v>
      </c>
      <c r="AF12" s="41">
        <v>0.55400000000000005</v>
      </c>
      <c r="AG12" s="113">
        <v>15.1</v>
      </c>
      <c r="AH12" s="113">
        <v>-0.1</v>
      </c>
      <c r="AI12" s="113">
        <v>0.6</v>
      </c>
      <c r="AJ12" s="41">
        <v>4.8000000000000001E-2</v>
      </c>
      <c r="AK12" s="113">
        <v>-3.9</v>
      </c>
      <c r="AL12" s="113">
        <v>0.9</v>
      </c>
      <c r="AM12" s="113">
        <v>-0.1</v>
      </c>
      <c r="AN12" s="113">
        <v>6.4</v>
      </c>
    </row>
    <row r="13" spans="1:44" x14ac:dyDescent="0.2">
      <c r="A13" s="3">
        <v>33</v>
      </c>
      <c r="B13" s="3" t="s">
        <v>462</v>
      </c>
      <c r="C13" s="3" t="s">
        <v>236</v>
      </c>
      <c r="D13" s="108">
        <v>611</v>
      </c>
      <c r="E13" s="108">
        <v>73</v>
      </c>
      <c r="F13" s="109">
        <v>215</v>
      </c>
      <c r="G13" s="4">
        <v>36267</v>
      </c>
      <c r="H13" s="113">
        <f t="shared" ca="1" si="0"/>
        <v>21.5</v>
      </c>
      <c r="I13" s="3" t="s">
        <v>223</v>
      </c>
      <c r="J13" s="3">
        <v>2</v>
      </c>
      <c r="K13" s="112">
        <v>2019</v>
      </c>
      <c r="L13" s="112">
        <v>31</v>
      </c>
      <c r="M13" s="3" t="s">
        <v>463</v>
      </c>
      <c r="N13" s="3" t="s">
        <v>285</v>
      </c>
      <c r="O13" s="3" t="s">
        <v>799</v>
      </c>
      <c r="P13" s="22">
        <v>1517981</v>
      </c>
      <c r="Q13" s="22">
        <v>1782621</v>
      </c>
      <c r="R13" s="68">
        <v>2228276</v>
      </c>
      <c r="S13" s="226"/>
      <c r="T13" s="227"/>
      <c r="U13" s="22"/>
      <c r="W13" s="3" t="s">
        <v>465</v>
      </c>
      <c r="X13" s="110">
        <v>5</v>
      </c>
      <c r="Y13" s="110">
        <v>15</v>
      </c>
      <c r="Z13" s="41">
        <f>5/15</f>
        <v>0.33333333333333331</v>
      </c>
      <c r="AA13" s="113">
        <v>94.1</v>
      </c>
      <c r="AB13" s="113">
        <v>109.7</v>
      </c>
      <c r="AC13" s="113">
        <f t="shared" si="1"/>
        <v>-15.600000000000009</v>
      </c>
      <c r="AD13" s="113">
        <v>12.5</v>
      </c>
      <c r="AE13" s="113">
        <v>14.9</v>
      </c>
      <c r="AF13" s="41">
        <v>0.57699999999999996</v>
      </c>
      <c r="AG13" s="113">
        <v>14.8</v>
      </c>
      <c r="AH13" s="113">
        <v>0.3</v>
      </c>
      <c r="AI13" s="113">
        <v>0.2</v>
      </c>
      <c r="AJ13" s="41">
        <v>0.124</v>
      </c>
      <c r="AK13" s="113">
        <v>-0.7</v>
      </c>
      <c r="AL13" s="113">
        <v>0</v>
      </c>
      <c r="AM13" s="113">
        <v>0.1</v>
      </c>
      <c r="AN13" s="113">
        <v>9.1999999999999993</v>
      </c>
    </row>
    <row r="14" spans="1:44" x14ac:dyDescent="0.2">
      <c r="A14" s="3">
        <v>0</v>
      </c>
      <c r="B14" s="3" t="s">
        <v>472</v>
      </c>
      <c r="C14" s="3" t="s">
        <v>250</v>
      </c>
      <c r="D14" s="108">
        <v>62</v>
      </c>
      <c r="E14" s="108">
        <v>69</v>
      </c>
      <c r="F14" s="109">
        <v>185</v>
      </c>
      <c r="G14" s="4">
        <v>35235</v>
      </c>
      <c r="H14" s="113">
        <f t="shared" ca="1" si="0"/>
        <v>24.3</v>
      </c>
      <c r="I14" s="3" t="s">
        <v>225</v>
      </c>
      <c r="J14" s="3">
        <v>2</v>
      </c>
      <c r="K14" s="112">
        <v>2019</v>
      </c>
      <c r="L14" s="118"/>
      <c r="M14" s="3" t="s">
        <v>473</v>
      </c>
      <c r="N14" s="3" t="s">
        <v>295</v>
      </c>
      <c r="O14" s="163" t="s">
        <v>1166</v>
      </c>
      <c r="P14" s="58" t="s">
        <v>295</v>
      </c>
      <c r="Q14" s="229"/>
      <c r="R14" s="226"/>
      <c r="S14" s="226"/>
      <c r="T14" s="227"/>
      <c r="U14" s="22"/>
      <c r="W14" s="3" t="s">
        <v>474</v>
      </c>
      <c r="X14" s="110">
        <v>2</v>
      </c>
      <c r="Y14" s="110">
        <v>3</v>
      </c>
      <c r="Z14" s="41">
        <f>3/3</f>
        <v>1</v>
      </c>
      <c r="AA14" s="113">
        <v>105.9</v>
      </c>
      <c r="AB14" s="113">
        <v>100</v>
      </c>
      <c r="AC14" s="113">
        <f t="shared" si="1"/>
        <v>5.9000000000000057</v>
      </c>
      <c r="AD14" s="113">
        <v>5.3</v>
      </c>
      <c r="AE14" s="113">
        <v>5.9</v>
      </c>
      <c r="AF14" s="41">
        <v>0.2</v>
      </c>
      <c r="AG14" s="113">
        <v>13.1</v>
      </c>
      <c r="AH14" s="113">
        <v>0</v>
      </c>
      <c r="AI14" s="113">
        <v>0</v>
      </c>
      <c r="AJ14" s="41">
        <v>-0.04</v>
      </c>
      <c r="AK14" s="113">
        <v>-6.6</v>
      </c>
      <c r="AL14" s="113">
        <v>3.6</v>
      </c>
      <c r="AM14" s="113">
        <v>0</v>
      </c>
      <c r="AN14" s="113">
        <v>5.6</v>
      </c>
    </row>
    <row r="15" spans="1:44" x14ac:dyDescent="0.2">
      <c r="B15" s="3" t="s">
        <v>297</v>
      </c>
      <c r="D15" s="108"/>
      <c r="E15" s="108"/>
      <c r="F15" s="109"/>
      <c r="G15" s="4"/>
      <c r="H15" s="113"/>
      <c r="K15" s="112"/>
      <c r="L15" s="118"/>
      <c r="O15" s="163"/>
      <c r="P15" s="58"/>
      <c r="Q15" s="227"/>
      <c r="R15" s="226"/>
      <c r="S15" s="226"/>
      <c r="T15" s="227"/>
      <c r="U15" s="22"/>
      <c r="X15" s="110"/>
      <c r="Y15" s="110"/>
      <c r="Z15" s="41"/>
      <c r="AA15" s="113"/>
      <c r="AB15" s="113"/>
      <c r="AC15" s="113"/>
      <c r="AD15" s="113"/>
      <c r="AE15" s="113"/>
      <c r="AF15" s="41"/>
      <c r="AG15" s="113"/>
      <c r="AH15" s="113"/>
      <c r="AI15" s="113"/>
      <c r="AJ15" s="41"/>
      <c r="AK15" s="113"/>
      <c r="AL15" s="113"/>
      <c r="AM15" s="113"/>
      <c r="AN15" s="113"/>
    </row>
    <row r="16" spans="1:44" x14ac:dyDescent="0.2">
      <c r="B16" s="3" t="s">
        <v>2184</v>
      </c>
      <c r="D16" s="108"/>
      <c r="E16" s="108"/>
      <c r="F16" s="109"/>
      <c r="H16" s="113"/>
      <c r="K16" s="55"/>
      <c r="L16" s="112"/>
      <c r="M16" s="16"/>
      <c r="N16" s="16"/>
      <c r="O16" s="16"/>
      <c r="P16" s="22">
        <v>2689920</v>
      </c>
      <c r="Q16" s="22">
        <v>2824320</v>
      </c>
      <c r="R16" s="228">
        <v>2959080</v>
      </c>
      <c r="S16" s="228">
        <v>4556983</v>
      </c>
      <c r="T16" s="68">
        <f>S16*3</f>
        <v>13670949</v>
      </c>
      <c r="U16" s="22"/>
    </row>
    <row r="17" spans="1:40" x14ac:dyDescent="0.2">
      <c r="B17" s="3" t="s">
        <v>475</v>
      </c>
      <c r="D17" s="108"/>
      <c r="E17" s="108"/>
      <c r="F17" s="109"/>
      <c r="H17" s="113"/>
      <c r="K17" s="55"/>
      <c r="L17" s="112"/>
      <c r="M17" s="115"/>
      <c r="N17" s="55"/>
      <c r="O17" s="187"/>
      <c r="P17" s="188">
        <v>898310</v>
      </c>
      <c r="Q17" s="22"/>
      <c r="R17" s="22"/>
      <c r="S17" s="22"/>
      <c r="T17" s="22"/>
      <c r="U17" s="22"/>
    </row>
    <row r="18" spans="1:40" x14ac:dyDescent="0.2">
      <c r="D18" s="108"/>
      <c r="E18" s="108"/>
      <c r="F18" s="109"/>
      <c r="H18" s="113"/>
      <c r="K18" s="55"/>
      <c r="L18" s="112"/>
      <c r="M18" s="115"/>
      <c r="N18" s="55"/>
      <c r="O18" s="187"/>
      <c r="P18" s="188"/>
      <c r="Q18" s="22"/>
      <c r="R18" s="22"/>
      <c r="S18" s="22"/>
      <c r="T18" s="22"/>
      <c r="U18" s="22"/>
    </row>
    <row r="19" spans="1:40" x14ac:dyDescent="0.2">
      <c r="A19" s="3">
        <v>12</v>
      </c>
      <c r="B19" s="3" t="s">
        <v>13</v>
      </c>
      <c r="C19" s="3" t="s">
        <v>255</v>
      </c>
      <c r="D19" s="108">
        <v>66</v>
      </c>
      <c r="E19" s="108">
        <v>66</v>
      </c>
      <c r="F19" s="109">
        <v>220</v>
      </c>
      <c r="G19" s="4">
        <v>33487</v>
      </c>
      <c r="H19" s="113">
        <f ca="1">ROUNDDOWN(YEARFRAC($G$28,G19),1)</f>
        <v>29.1</v>
      </c>
      <c r="I19" s="3" t="s">
        <v>245</v>
      </c>
      <c r="J19" s="3">
        <v>7</v>
      </c>
      <c r="K19" s="112">
        <v>2014</v>
      </c>
      <c r="L19" s="112">
        <v>33</v>
      </c>
      <c r="M19" s="3" t="s">
        <v>434</v>
      </c>
      <c r="P19" s="52">
        <v>14566667</v>
      </c>
      <c r="Q19" s="226"/>
      <c r="R19" s="226"/>
      <c r="S19" s="226"/>
      <c r="T19" s="227"/>
      <c r="U19" s="22"/>
      <c r="W19" s="3" t="s">
        <v>435</v>
      </c>
      <c r="X19" s="110">
        <v>3</v>
      </c>
      <c r="Y19" s="110">
        <v>63</v>
      </c>
      <c r="Z19" s="41">
        <f>30/63</f>
        <v>0.47619047619047616</v>
      </c>
      <c r="AA19" s="113">
        <v>109.9</v>
      </c>
      <c r="AB19" s="113">
        <v>108.3</v>
      </c>
      <c r="AC19" s="113">
        <f t="shared" ref="AC19:AC23" si="2">AA19-AB19</f>
        <v>1.6000000000000085</v>
      </c>
      <c r="AD19" s="113">
        <v>30.9</v>
      </c>
      <c r="AE19" s="113">
        <v>12.7</v>
      </c>
      <c r="AF19" s="41">
        <v>0.59199999999999997</v>
      </c>
      <c r="AG19" s="113">
        <v>17.899999999999999</v>
      </c>
      <c r="AH19" s="113">
        <v>2.1</v>
      </c>
      <c r="AI19" s="113">
        <v>1.7</v>
      </c>
      <c r="AJ19" s="41">
        <v>9.4E-2</v>
      </c>
      <c r="AK19" s="113">
        <v>0</v>
      </c>
      <c r="AL19" s="113">
        <v>-0.5</v>
      </c>
      <c r="AM19" s="113">
        <v>0.8</v>
      </c>
      <c r="AN19" s="113">
        <v>8.6</v>
      </c>
    </row>
    <row r="20" spans="1:40" x14ac:dyDescent="0.2">
      <c r="A20" s="3">
        <v>21</v>
      </c>
      <c r="B20" s="3" t="s">
        <v>16</v>
      </c>
      <c r="C20" s="3" t="s">
        <v>236</v>
      </c>
      <c r="D20" s="108">
        <v>68</v>
      </c>
      <c r="E20" s="108">
        <v>611</v>
      </c>
      <c r="F20" s="109">
        <v>235</v>
      </c>
      <c r="G20" s="4">
        <v>31907</v>
      </c>
      <c r="H20" s="113">
        <f ca="1">ROUNDDOWN(YEARFRAC($G$28,G20),1)</f>
        <v>33.4</v>
      </c>
      <c r="I20" s="3" t="s">
        <v>457</v>
      </c>
      <c r="J20" s="3">
        <v>14</v>
      </c>
      <c r="K20" s="112">
        <v>2007</v>
      </c>
      <c r="L20" s="112">
        <v>23</v>
      </c>
      <c r="M20" s="3" t="s">
        <v>436</v>
      </c>
      <c r="P20" s="52">
        <v>1620564</v>
      </c>
      <c r="Q20" s="226"/>
      <c r="R20" s="226"/>
      <c r="S20" s="226"/>
      <c r="T20" s="227"/>
      <c r="U20" s="22"/>
      <c r="W20" s="3" t="s">
        <v>458</v>
      </c>
      <c r="X20" s="110">
        <v>4</v>
      </c>
      <c r="Y20" s="110">
        <v>35</v>
      </c>
      <c r="Z20" s="41">
        <f>16/35</f>
        <v>0.45714285714285713</v>
      </c>
      <c r="AA20" s="113">
        <v>101.7</v>
      </c>
      <c r="AB20" s="113">
        <v>108.2</v>
      </c>
      <c r="AC20" s="113">
        <f t="shared" si="2"/>
        <v>-6.5</v>
      </c>
      <c r="AD20" s="113">
        <v>21</v>
      </c>
      <c r="AE20" s="113">
        <v>7.4</v>
      </c>
      <c r="AF20" s="41">
        <v>0.53100000000000003</v>
      </c>
      <c r="AG20" s="113">
        <v>13</v>
      </c>
      <c r="AH20" s="113">
        <v>-0.1</v>
      </c>
      <c r="AI20" s="113">
        <v>0.9</v>
      </c>
      <c r="AJ20" s="41">
        <v>0.05</v>
      </c>
      <c r="AK20" s="113">
        <v>-3.9</v>
      </c>
      <c r="AL20" s="113">
        <v>1</v>
      </c>
      <c r="AM20" s="113">
        <v>-0.2</v>
      </c>
      <c r="AN20" s="113">
        <v>6.5</v>
      </c>
    </row>
    <row r="21" spans="1:40" x14ac:dyDescent="0.2">
      <c r="A21" s="3">
        <v>8</v>
      </c>
      <c r="B21" s="3" t="s">
        <v>2047</v>
      </c>
      <c r="C21" s="3" t="s">
        <v>232</v>
      </c>
      <c r="D21" s="108">
        <v>63</v>
      </c>
      <c r="E21" s="108">
        <v>66</v>
      </c>
      <c r="F21" s="109">
        <v>186</v>
      </c>
      <c r="G21" s="4">
        <v>33731</v>
      </c>
      <c r="H21" s="113">
        <f ca="1">ROUNDDOWN(YEARFRAC($G$28,G21),1)</f>
        <v>28.4</v>
      </c>
      <c r="I21" s="3" t="s">
        <v>1075</v>
      </c>
      <c r="J21" s="3">
        <v>7</v>
      </c>
      <c r="K21" s="112">
        <v>2014</v>
      </c>
      <c r="L21" s="112"/>
      <c r="M21" s="3" t="s">
        <v>2054</v>
      </c>
      <c r="P21" s="52">
        <v>1620564</v>
      </c>
      <c r="Q21" s="58"/>
      <c r="R21" s="22"/>
      <c r="S21" s="226"/>
      <c r="T21" s="227"/>
      <c r="U21" s="22"/>
      <c r="W21" s="3" t="s">
        <v>2048</v>
      </c>
      <c r="X21" s="110">
        <v>2</v>
      </c>
      <c r="Y21" s="110">
        <v>31</v>
      </c>
      <c r="Z21" s="41">
        <f>11/31</f>
        <v>0.35483870967741937</v>
      </c>
      <c r="AA21" s="113">
        <v>99.1</v>
      </c>
      <c r="AB21" s="113">
        <v>107.2</v>
      </c>
      <c r="AC21" s="113">
        <f t="shared" si="2"/>
        <v>-8.1000000000000085</v>
      </c>
      <c r="AD21" s="113">
        <v>16.600000000000001</v>
      </c>
      <c r="AE21" s="113">
        <v>8.1</v>
      </c>
      <c r="AF21" s="41">
        <v>0.48099999999999998</v>
      </c>
      <c r="AG21" s="113">
        <v>17.3</v>
      </c>
      <c r="AH21" s="113">
        <v>-0.2</v>
      </c>
      <c r="AI21" s="113">
        <v>0.3</v>
      </c>
      <c r="AJ21" s="41">
        <v>1.0999999999999999E-2</v>
      </c>
      <c r="AK21" s="113">
        <v>-3</v>
      </c>
      <c r="AL21" s="113">
        <v>-0.7</v>
      </c>
      <c r="AM21" s="113">
        <v>-0.2</v>
      </c>
      <c r="AN21" s="113">
        <v>5.6</v>
      </c>
    </row>
    <row r="22" spans="1:40" x14ac:dyDescent="0.2">
      <c r="A22" s="3">
        <v>4</v>
      </c>
      <c r="B22" s="3" t="s">
        <v>469</v>
      </c>
      <c r="C22" s="3" t="s">
        <v>250</v>
      </c>
      <c r="D22" s="108">
        <v>511</v>
      </c>
      <c r="E22" s="108">
        <v>61</v>
      </c>
      <c r="F22" s="109">
        <v>175</v>
      </c>
      <c r="G22" s="4">
        <v>35028</v>
      </c>
      <c r="H22" s="113">
        <f t="shared" ref="H22" ca="1" si="3">ROUNDDOWN(YEARFRAC($G$28,G22),1)</f>
        <v>24.9</v>
      </c>
      <c r="I22" s="3" t="s">
        <v>470</v>
      </c>
      <c r="J22" s="3">
        <v>3</v>
      </c>
      <c r="K22" s="112">
        <v>2018</v>
      </c>
      <c r="L22" s="118"/>
      <c r="M22" s="3" t="s">
        <v>471</v>
      </c>
      <c r="P22" s="68">
        <v>1416852</v>
      </c>
      <c r="Q22" s="226"/>
      <c r="R22" s="226"/>
      <c r="S22" s="226"/>
      <c r="T22" s="227"/>
      <c r="U22" s="22"/>
      <c r="W22" s="5" t="s">
        <v>291</v>
      </c>
      <c r="X22" s="110">
        <v>1</v>
      </c>
      <c r="Y22" s="110">
        <v>11</v>
      </c>
      <c r="Z22" s="41">
        <f>7/11</f>
        <v>0.63636363636363635</v>
      </c>
      <c r="AA22" s="113">
        <v>105.4</v>
      </c>
      <c r="AB22" s="113">
        <v>101.8</v>
      </c>
      <c r="AC22" s="113">
        <f t="shared" si="2"/>
        <v>3.6000000000000085</v>
      </c>
      <c r="AD22" s="113">
        <v>11.5</v>
      </c>
      <c r="AE22" s="113">
        <v>16.5</v>
      </c>
      <c r="AF22" s="41">
        <v>0.621</v>
      </c>
      <c r="AG22" s="113">
        <v>17.899999999999999</v>
      </c>
      <c r="AH22" s="113">
        <v>0.3</v>
      </c>
      <c r="AI22" s="113">
        <v>0.1</v>
      </c>
      <c r="AJ22" s="41">
        <v>0.154</v>
      </c>
      <c r="AK22" s="113">
        <v>1.8</v>
      </c>
      <c r="AL22" s="113">
        <v>1.1000000000000001</v>
      </c>
      <c r="AM22" s="113">
        <v>0.2</v>
      </c>
      <c r="AN22" s="113">
        <v>12.2</v>
      </c>
    </row>
    <row r="23" spans="1:40" x14ac:dyDescent="0.2">
      <c r="A23" s="3">
        <v>10</v>
      </c>
      <c r="B23" s="3" t="s">
        <v>2069</v>
      </c>
      <c r="C23" s="3" t="s">
        <v>255</v>
      </c>
      <c r="D23" s="108">
        <v>65</v>
      </c>
      <c r="E23" s="108">
        <v>611</v>
      </c>
      <c r="F23" s="109">
        <v>231</v>
      </c>
      <c r="G23" s="4">
        <v>34292</v>
      </c>
      <c r="H23" s="113">
        <f ca="1">ROUNDDOWN(YEARFRAC($G$28,G23),1)</f>
        <v>26.9</v>
      </c>
      <c r="I23" s="3" t="s">
        <v>245</v>
      </c>
      <c r="J23" s="3">
        <v>6</v>
      </c>
      <c r="K23" s="112">
        <v>2015</v>
      </c>
      <c r="L23" s="112">
        <v>21</v>
      </c>
      <c r="M23" s="3" t="s">
        <v>2121</v>
      </c>
      <c r="P23" s="52">
        <v>1620564</v>
      </c>
      <c r="Q23" s="58"/>
      <c r="R23" s="22"/>
      <c r="S23" s="226"/>
      <c r="T23" s="227"/>
      <c r="U23" s="22"/>
      <c r="W23" s="3" t="s">
        <v>2070</v>
      </c>
      <c r="X23" s="110">
        <v>3</v>
      </c>
      <c r="Y23" s="110">
        <v>3</v>
      </c>
      <c r="Z23" s="41">
        <f>2/3</f>
        <v>0.66666666666666663</v>
      </c>
      <c r="AA23" s="113">
        <v>69.2</v>
      </c>
      <c r="AB23" s="113">
        <v>94.6</v>
      </c>
      <c r="AC23" s="113">
        <f t="shared" si="2"/>
        <v>-25.399999999999991</v>
      </c>
      <c r="AD23" s="113">
        <v>5.6</v>
      </c>
      <c r="AE23" s="113">
        <v>-3.8</v>
      </c>
      <c r="AF23" s="41">
        <v>0.218</v>
      </c>
      <c r="AG23" s="113">
        <v>16.899999999999999</v>
      </c>
      <c r="AH23" s="113">
        <v>-0.1</v>
      </c>
      <c r="AI23" s="113">
        <v>0</v>
      </c>
      <c r="AJ23" s="41">
        <v>-0.16700000000000001</v>
      </c>
      <c r="AK23" s="113">
        <v>-12.8</v>
      </c>
      <c r="AL23" s="113">
        <v>-2.2999999999999998</v>
      </c>
      <c r="AM23" s="113">
        <v>-0.1</v>
      </c>
      <c r="AN23" s="113">
        <v>-4.7</v>
      </c>
    </row>
    <row r="24" spans="1:40" x14ac:dyDescent="0.2">
      <c r="A24" s="3">
        <v>45</v>
      </c>
      <c r="B24" s="3" t="s">
        <v>2118</v>
      </c>
      <c r="C24" s="3" t="s">
        <v>236</v>
      </c>
      <c r="D24" s="108">
        <v>69</v>
      </c>
      <c r="E24" s="108">
        <v>72</v>
      </c>
      <c r="F24" s="109">
        <v>229</v>
      </c>
      <c r="G24" s="4">
        <v>35649</v>
      </c>
      <c r="H24" s="113">
        <f ca="1">ROUNDDOWN(YEARFRAC($G$28,G24),1)</f>
        <v>23.2</v>
      </c>
      <c r="I24" s="3" t="s">
        <v>650</v>
      </c>
      <c r="J24" s="3">
        <v>2</v>
      </c>
      <c r="K24" s="55">
        <v>2019</v>
      </c>
      <c r="L24" s="112"/>
      <c r="M24" s="115" t="s">
        <v>2123</v>
      </c>
      <c r="P24" s="52">
        <v>1620564</v>
      </c>
      <c r="Q24" s="22"/>
      <c r="R24" s="22"/>
      <c r="S24" s="22"/>
      <c r="T24" s="22"/>
      <c r="U24" s="22"/>
    </row>
    <row r="25" spans="1:40" x14ac:dyDescent="0.2">
      <c r="A25" s="3">
        <v>42</v>
      </c>
      <c r="B25" s="3" t="s">
        <v>2119</v>
      </c>
      <c r="C25" s="3" t="s">
        <v>236</v>
      </c>
      <c r="D25" s="108">
        <v>68</v>
      </c>
      <c r="E25" s="108">
        <v>73</v>
      </c>
      <c r="F25" s="109">
        <v>225</v>
      </c>
      <c r="G25" s="4">
        <v>32257</v>
      </c>
      <c r="H25" s="113">
        <f ca="1">ROUNDDOWN(YEARFRAC($G$28,G25),1)</f>
        <v>32.5</v>
      </c>
      <c r="I25" s="3" t="s">
        <v>256</v>
      </c>
      <c r="J25" s="3">
        <v>10</v>
      </c>
      <c r="K25" s="55">
        <v>2010</v>
      </c>
      <c r="L25" s="112"/>
      <c r="M25" s="115" t="s">
        <v>2122</v>
      </c>
      <c r="P25" s="52">
        <v>1620564</v>
      </c>
      <c r="Q25" s="22"/>
      <c r="R25" s="22"/>
      <c r="S25" s="22"/>
      <c r="T25" s="22"/>
      <c r="U25" s="22"/>
    </row>
    <row r="26" spans="1:40" x14ac:dyDescent="0.2">
      <c r="A26" s="3">
        <v>1</v>
      </c>
      <c r="B26" s="3" t="s">
        <v>2120</v>
      </c>
      <c r="C26" s="3" t="s">
        <v>255</v>
      </c>
      <c r="D26" s="108">
        <v>65</v>
      </c>
      <c r="E26" s="108">
        <v>610</v>
      </c>
      <c r="F26" s="109">
        <v>200</v>
      </c>
      <c r="G26" s="4">
        <v>29300</v>
      </c>
      <c r="H26" s="113">
        <f ca="1">ROUNDDOWN(YEARFRAC($G$28,G26),1)</f>
        <v>40.5</v>
      </c>
      <c r="I26" s="3" t="s">
        <v>443</v>
      </c>
      <c r="J26" s="3">
        <v>21</v>
      </c>
      <c r="K26" s="55">
        <v>2000</v>
      </c>
      <c r="L26" s="112">
        <v>8</v>
      </c>
      <c r="M26" s="115" t="s">
        <v>2124</v>
      </c>
      <c r="P26" s="52">
        <v>1620564</v>
      </c>
      <c r="Q26" s="22"/>
      <c r="R26" s="22"/>
      <c r="S26" s="22"/>
      <c r="T26" s="22"/>
      <c r="U26" s="22"/>
    </row>
    <row r="27" spans="1:40" x14ac:dyDescent="0.2">
      <c r="D27" s="108"/>
      <c r="E27" s="108"/>
      <c r="F27" s="109"/>
      <c r="H27" s="113"/>
      <c r="K27" s="55"/>
      <c r="L27" s="112"/>
      <c r="M27" s="115"/>
      <c r="N27" s="55"/>
      <c r="O27" s="187"/>
      <c r="P27" s="188"/>
      <c r="Q27" s="22"/>
      <c r="R27" s="22"/>
      <c r="S27" s="22"/>
      <c r="T27" s="22"/>
      <c r="U27" s="22"/>
    </row>
    <row r="28" spans="1:40" ht="17" x14ac:dyDescent="0.2">
      <c r="E28" s="4"/>
      <c r="F28" s="36"/>
      <c r="G28" s="4">
        <f ca="1">TODAY()</f>
        <v>44128</v>
      </c>
      <c r="H28" s="36">
        <f ca="1">AVERAGE(H2:H14)</f>
        <v>26.53846153846154</v>
      </c>
      <c r="J28" s="36">
        <f>AVERAGE(J2:J14)</f>
        <v>6.4615384615384617</v>
      </c>
      <c r="K28" s="55"/>
      <c r="L28" s="191"/>
      <c r="M28" s="55"/>
      <c r="N28" s="55"/>
      <c r="O28" s="187"/>
      <c r="P28" s="230"/>
      <c r="Q28" s="22"/>
      <c r="R28" s="22"/>
      <c r="S28" s="22"/>
      <c r="T28" s="22"/>
      <c r="U28" s="22"/>
    </row>
    <row r="29" spans="1:40" ht="17" x14ac:dyDescent="0.2">
      <c r="E29" s="4"/>
      <c r="F29" s="36"/>
      <c r="G29" s="4"/>
      <c r="H29" s="36">
        <f ca="1">MEDIAN(H2:H14)</f>
        <v>26.1</v>
      </c>
      <c r="J29" s="36">
        <f>MEDIAN(J2:J14)</f>
        <v>5</v>
      </c>
      <c r="K29" s="55"/>
      <c r="L29" s="191"/>
      <c r="M29" s="55"/>
      <c r="N29" s="55"/>
      <c r="O29" s="187"/>
      <c r="P29" s="230"/>
      <c r="Q29" s="22"/>
      <c r="R29" s="22"/>
      <c r="S29" s="22"/>
      <c r="T29" s="22"/>
      <c r="U29" s="22"/>
    </row>
    <row r="30" spans="1:40" x14ac:dyDescent="0.2">
      <c r="B30" s="5" t="s">
        <v>2224</v>
      </c>
      <c r="K30" s="58"/>
      <c r="L30" s="58"/>
      <c r="M30" s="55"/>
      <c r="N30" s="55"/>
      <c r="O30" s="16"/>
      <c r="P30" s="22">
        <f>P2+P3+P4+P5+P6+P7+P9+P16+P10+P12+P13</f>
        <v>135872235</v>
      </c>
      <c r="Q30" s="22"/>
      <c r="R30" s="22"/>
      <c r="S30" s="22"/>
      <c r="T30" s="22"/>
      <c r="U30" s="22"/>
    </row>
    <row r="31" spans="1:40" x14ac:dyDescent="0.2">
      <c r="B31" s="3" t="s">
        <v>2085</v>
      </c>
      <c r="C31" s="3">
        <v>10</v>
      </c>
      <c r="K31" s="58"/>
      <c r="L31" s="58"/>
      <c r="M31" s="55"/>
      <c r="N31" s="55"/>
      <c r="O31" s="55"/>
      <c r="P31" s="231">
        <f>P2+P3+P4+P5+P6+P7+P8+P9+P10+P11+P12+P13+P16</f>
        <v>142701588</v>
      </c>
      <c r="Q31" s="22"/>
      <c r="R31" s="22"/>
      <c r="S31" s="22"/>
      <c r="T31" s="22"/>
      <c r="U31" s="22"/>
    </row>
    <row r="32" spans="1:40" x14ac:dyDescent="0.2">
      <c r="B32" s="3" t="s">
        <v>2088</v>
      </c>
      <c r="C32" s="3">
        <v>3</v>
      </c>
      <c r="K32" s="58"/>
      <c r="L32" s="58"/>
      <c r="M32" s="55"/>
      <c r="N32" s="55"/>
      <c r="O32" s="55"/>
      <c r="P32" s="231"/>
      <c r="Q32" s="22"/>
      <c r="R32" s="22"/>
      <c r="S32" s="22"/>
      <c r="T32" s="22"/>
      <c r="U32" s="22"/>
    </row>
    <row r="33" spans="2:21" ht="17" x14ac:dyDescent="0.2">
      <c r="B33" s="3" t="s">
        <v>2086</v>
      </c>
      <c r="C33" s="3">
        <v>2</v>
      </c>
      <c r="K33" s="117"/>
      <c r="L33" s="58"/>
      <c r="M33" s="55"/>
      <c r="N33" s="55"/>
      <c r="O33" s="3" t="s">
        <v>300</v>
      </c>
      <c r="P33" s="22">
        <v>109140000</v>
      </c>
      <c r="Q33" s="22"/>
      <c r="R33" s="22"/>
      <c r="S33" s="22"/>
      <c r="T33" s="22"/>
      <c r="U33" s="22"/>
    </row>
    <row r="34" spans="2:21" ht="17" x14ac:dyDescent="0.2">
      <c r="B34" s="3" t="s">
        <v>2219</v>
      </c>
      <c r="C34" s="3" t="s">
        <v>2301</v>
      </c>
      <c r="K34" s="117"/>
      <c r="L34" s="58"/>
      <c r="M34" s="55"/>
      <c r="N34" s="55"/>
      <c r="O34" s="22" t="s">
        <v>302</v>
      </c>
      <c r="P34" s="22">
        <v>132627000</v>
      </c>
      <c r="Q34" s="22"/>
      <c r="R34" s="22"/>
      <c r="S34" s="22"/>
      <c r="T34" s="22"/>
      <c r="U34" s="22"/>
    </row>
    <row r="35" spans="2:21" x14ac:dyDescent="0.2">
      <c r="B35" s="3" t="s">
        <v>301</v>
      </c>
      <c r="C35" s="47">
        <v>0</v>
      </c>
      <c r="K35" s="58"/>
      <c r="L35" s="58"/>
      <c r="M35" s="55"/>
      <c r="N35" s="55"/>
      <c r="P35" s="22"/>
      <c r="Q35" s="22"/>
      <c r="R35" s="22"/>
      <c r="S35" s="22"/>
      <c r="T35" s="22"/>
      <c r="U35" s="22"/>
    </row>
    <row r="36" spans="2:21" x14ac:dyDescent="0.2">
      <c r="B36" s="24" t="s">
        <v>303</v>
      </c>
      <c r="C36" s="47">
        <v>0</v>
      </c>
      <c r="K36" s="58"/>
      <c r="L36" s="58"/>
      <c r="M36" s="55"/>
      <c r="N36" s="55"/>
      <c r="O36" s="22"/>
      <c r="P36" s="22"/>
      <c r="Q36" s="22"/>
      <c r="R36" s="22"/>
      <c r="S36" s="22"/>
      <c r="T36" s="22"/>
      <c r="U36" s="22"/>
    </row>
    <row r="37" spans="2:21" x14ac:dyDescent="0.2">
      <c r="B37" s="24"/>
      <c r="C37" s="47"/>
      <c r="K37" s="58"/>
      <c r="L37" s="58"/>
      <c r="M37" s="55"/>
      <c r="P37" s="22"/>
    </row>
    <row r="38" spans="2:21" x14ac:dyDescent="0.2">
      <c r="B38" s="5" t="s">
        <v>2084</v>
      </c>
      <c r="J38" s="22"/>
      <c r="K38" s="58"/>
      <c r="L38" s="58"/>
      <c r="M38" s="55"/>
      <c r="P38" s="22"/>
    </row>
    <row r="39" spans="2:21" x14ac:dyDescent="0.2">
      <c r="B39" s="3" t="s">
        <v>304</v>
      </c>
      <c r="C39" s="41">
        <f>35/(35+37)</f>
        <v>0.4861111111111111</v>
      </c>
      <c r="D39" s="3" t="s">
        <v>418</v>
      </c>
      <c r="E39" s="2"/>
      <c r="K39" s="58"/>
      <c r="L39" s="58"/>
      <c r="M39" s="55"/>
      <c r="N39" s="22"/>
      <c r="P39" s="22"/>
    </row>
    <row r="40" spans="2:21" x14ac:dyDescent="0.2">
      <c r="B40" s="3" t="s">
        <v>306</v>
      </c>
      <c r="C40" s="113">
        <v>108.7</v>
      </c>
      <c r="D40" s="3" t="s">
        <v>2230</v>
      </c>
      <c r="E40" s="119"/>
      <c r="L40" s="55"/>
      <c r="M40" s="55"/>
    </row>
    <row r="41" spans="2:21" x14ac:dyDescent="0.2">
      <c r="B41" s="3" t="s">
        <v>307</v>
      </c>
      <c r="C41" s="113">
        <v>109.2</v>
      </c>
      <c r="D41" s="3" t="s">
        <v>2231</v>
      </c>
      <c r="E41" s="119"/>
    </row>
    <row r="42" spans="2:21" x14ac:dyDescent="0.2">
      <c r="B42" s="3" t="s">
        <v>308</v>
      </c>
      <c r="C42" s="113">
        <f>C40-C41</f>
        <v>-0.5</v>
      </c>
      <c r="D42" s="3" t="s">
        <v>2232</v>
      </c>
      <c r="E42" s="119"/>
    </row>
    <row r="43" spans="2:21" x14ac:dyDescent="0.2">
      <c r="B43" s="3" t="s">
        <v>309</v>
      </c>
      <c r="C43" s="36">
        <v>101.7</v>
      </c>
      <c r="D43" s="3" t="s">
        <v>2231</v>
      </c>
      <c r="E43" s="119"/>
    </row>
    <row r="45" spans="2:21" x14ac:dyDescent="0.2">
      <c r="B45" s="2" t="s">
        <v>310</v>
      </c>
    </row>
    <row r="46" spans="2:21" x14ac:dyDescent="0.2">
      <c r="B46" s="2" t="s">
        <v>2227</v>
      </c>
    </row>
    <row r="47" spans="2:21" x14ac:dyDescent="0.2">
      <c r="B47" s="2" t="s">
        <v>477</v>
      </c>
    </row>
    <row r="48" spans="2:21" x14ac:dyDescent="0.2">
      <c r="B48" s="2" t="s">
        <v>478</v>
      </c>
    </row>
    <row r="49" spans="2:10" x14ac:dyDescent="0.2">
      <c r="B49" s="2" t="s">
        <v>479</v>
      </c>
    </row>
    <row r="50" spans="2:10" x14ac:dyDescent="0.2">
      <c r="B50" s="2" t="s">
        <v>2226</v>
      </c>
    </row>
    <row r="51" spans="2:10" x14ac:dyDescent="0.2">
      <c r="B51" s="10"/>
    </row>
    <row r="52" spans="2:10" x14ac:dyDescent="0.2">
      <c r="B52" s="2" t="s">
        <v>318</v>
      </c>
    </row>
    <row r="53" spans="2:10" x14ac:dyDescent="0.2">
      <c r="B53" s="2" t="s">
        <v>2229</v>
      </c>
    </row>
    <row r="54" spans="2:10" x14ac:dyDescent="0.2">
      <c r="B54" s="2" t="s">
        <v>481</v>
      </c>
    </row>
    <row r="55" spans="2:10" x14ac:dyDescent="0.2">
      <c r="B55" s="2" t="s">
        <v>482</v>
      </c>
    </row>
    <row r="56" spans="2:10" x14ac:dyDescent="0.2">
      <c r="B56" s="2"/>
    </row>
    <row r="57" spans="2:10" x14ac:dyDescent="0.2">
      <c r="B57" s="205" t="s">
        <v>2228</v>
      </c>
    </row>
    <row r="58" spans="2:10" x14ac:dyDescent="0.2">
      <c r="B58" s="40" t="s">
        <v>322</v>
      </c>
      <c r="C58" s="3">
        <v>35</v>
      </c>
      <c r="D58" s="3">
        <v>37</v>
      </c>
      <c r="E58" s="3" t="s">
        <v>418</v>
      </c>
      <c r="G58" s="3" t="s">
        <v>483</v>
      </c>
      <c r="J58" s="3" t="s">
        <v>2346</v>
      </c>
    </row>
    <row r="59" spans="2:10" x14ac:dyDescent="0.2">
      <c r="B59" s="40" t="s">
        <v>325</v>
      </c>
      <c r="C59" s="3">
        <v>42</v>
      </c>
      <c r="D59" s="3">
        <v>40</v>
      </c>
      <c r="E59" s="3" t="s">
        <v>343</v>
      </c>
      <c r="G59" s="3" t="s">
        <v>484</v>
      </c>
      <c r="J59" s="3" t="s">
        <v>485</v>
      </c>
    </row>
    <row r="60" spans="2:10" x14ac:dyDescent="0.2">
      <c r="B60" s="40" t="s">
        <v>327</v>
      </c>
      <c r="C60" s="3">
        <v>28</v>
      </c>
      <c r="D60" s="3">
        <v>54</v>
      </c>
      <c r="E60" s="3" t="s">
        <v>326</v>
      </c>
      <c r="G60" s="3" t="s">
        <v>484</v>
      </c>
      <c r="H60" s="38"/>
      <c r="I60" s="38"/>
      <c r="J60" s="38" t="s">
        <v>324</v>
      </c>
    </row>
    <row r="61" spans="2:10" x14ac:dyDescent="0.2">
      <c r="B61" s="40" t="s">
        <v>330</v>
      </c>
      <c r="C61" s="3">
        <v>20</v>
      </c>
      <c r="D61" s="3">
        <v>62</v>
      </c>
      <c r="E61" s="3" t="s">
        <v>328</v>
      </c>
      <c r="G61" s="3" t="s">
        <v>484</v>
      </c>
      <c r="H61" s="38"/>
      <c r="I61" s="38"/>
      <c r="J61" s="38" t="s">
        <v>324</v>
      </c>
    </row>
    <row r="62" spans="2:10" x14ac:dyDescent="0.2">
      <c r="B62" s="40" t="s">
        <v>333</v>
      </c>
      <c r="C62" s="3">
        <v>21</v>
      </c>
      <c r="D62" s="3">
        <v>61</v>
      </c>
      <c r="E62" s="3" t="s">
        <v>323</v>
      </c>
      <c r="G62" s="3" t="s">
        <v>486</v>
      </c>
      <c r="H62" s="38"/>
      <c r="I62" s="38"/>
      <c r="J62" s="38" t="s">
        <v>324</v>
      </c>
    </row>
    <row r="63" spans="2:10" x14ac:dyDescent="0.2">
      <c r="B63" s="40" t="s">
        <v>336</v>
      </c>
      <c r="C63" s="3">
        <v>38</v>
      </c>
      <c r="D63" s="3">
        <v>44</v>
      </c>
      <c r="E63" s="3" t="s">
        <v>340</v>
      </c>
      <c r="G63" s="3" t="s">
        <v>487</v>
      </c>
      <c r="J63" s="3" t="s">
        <v>417</v>
      </c>
    </row>
    <row r="64" spans="2:10" x14ac:dyDescent="0.2">
      <c r="B64" s="40" t="s">
        <v>339</v>
      </c>
      <c r="C64" s="3">
        <v>44</v>
      </c>
      <c r="D64" s="3">
        <v>38</v>
      </c>
      <c r="E64" s="3" t="s">
        <v>343</v>
      </c>
      <c r="G64" s="3" t="s">
        <v>488</v>
      </c>
      <c r="J64" s="3" t="s">
        <v>489</v>
      </c>
    </row>
    <row r="65" spans="2:10" x14ac:dyDescent="0.2">
      <c r="B65" s="40" t="s">
        <v>342</v>
      </c>
      <c r="C65" s="3">
        <v>49</v>
      </c>
      <c r="D65" s="3">
        <v>33</v>
      </c>
      <c r="E65" s="3" t="s">
        <v>334</v>
      </c>
      <c r="G65" s="3" t="s">
        <v>490</v>
      </c>
      <c r="J65" s="3" t="s">
        <v>491</v>
      </c>
    </row>
    <row r="66" spans="2:10" x14ac:dyDescent="0.2">
      <c r="B66" s="40" t="s">
        <v>346</v>
      </c>
      <c r="C66" s="3">
        <v>22</v>
      </c>
      <c r="D66" s="3">
        <v>44</v>
      </c>
      <c r="E66" s="3" t="s">
        <v>326</v>
      </c>
      <c r="G66" s="3" t="s">
        <v>492</v>
      </c>
      <c r="H66" s="38"/>
      <c r="I66" s="38"/>
      <c r="J66" s="38" t="s">
        <v>324</v>
      </c>
    </row>
    <row r="67" spans="2:10" x14ac:dyDescent="0.2">
      <c r="B67" s="40" t="s">
        <v>348</v>
      </c>
      <c r="C67" s="3">
        <v>24</v>
      </c>
      <c r="D67" s="3">
        <v>58</v>
      </c>
      <c r="E67" s="3" t="s">
        <v>326</v>
      </c>
      <c r="G67" s="3" t="s">
        <v>492</v>
      </c>
      <c r="H67" s="38"/>
      <c r="I67" s="38"/>
      <c r="J67" s="38" t="s">
        <v>324</v>
      </c>
    </row>
    <row r="68" spans="2:10" x14ac:dyDescent="0.2">
      <c r="B68" s="3" t="s">
        <v>350</v>
      </c>
      <c r="C68" s="3">
        <f>SUM(C58:C67)</f>
        <v>323</v>
      </c>
      <c r="D68" s="3">
        <f>SUM(D58:D67)</f>
        <v>471</v>
      </c>
      <c r="E68" s="41">
        <f>C68/(D68+C68)</f>
        <v>0.40680100755667509</v>
      </c>
    </row>
  </sheetData>
  <pageMargins left="0.7" right="0.7" top="0.75" bottom="0.75" header="0.3" footer="0.3"/>
  <ignoredErrors>
    <ignoredError sqref="A12" numberStoredAsText="1"/>
  </ignoredErrors>
  <legacy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A4BCF-AFDD-8B42-A5D2-50855AD5FCD4}">
  <dimension ref="A1:AR129"/>
  <sheetViews>
    <sheetView tabSelected="1" zoomScaleNormal="100" workbookViewId="0">
      <selection activeCell="D8" sqref="D8"/>
    </sheetView>
  </sheetViews>
  <sheetFormatPr baseColWidth="10" defaultColWidth="11" defaultRowHeight="16" x14ac:dyDescent="0.2"/>
  <cols>
    <col min="1" max="1" width="3.1640625" customWidth="1"/>
    <col min="2" max="2" width="19.5" customWidth="1"/>
    <col min="3" max="3" width="11.1640625" customWidth="1"/>
    <col min="4" max="4" width="9.6640625" customWidth="1"/>
    <col min="5" max="5" width="10.5" customWidth="1"/>
    <col min="6" max="6" width="8" customWidth="1"/>
    <col min="7" max="7" width="10.1640625" customWidth="1"/>
    <col min="8" max="8" width="6" customWidth="1"/>
    <col min="9" max="9" width="25.33203125" customWidth="1"/>
    <col min="10" max="10" width="10.83203125" customWidth="1"/>
    <col min="11" max="11" width="12" customWidth="1"/>
    <col min="12" max="12" width="4.83203125" customWidth="1"/>
    <col min="13" max="13" width="26.33203125" customWidth="1"/>
    <col min="14" max="14" width="16.6640625" customWidth="1"/>
    <col min="15" max="15" width="84" customWidth="1"/>
    <col min="16" max="16" width="13.33203125" bestFit="1" customWidth="1"/>
    <col min="17" max="20" width="12.33203125" bestFit="1" customWidth="1"/>
    <col min="21" max="21" width="10.33203125" customWidth="1"/>
    <col min="22" max="22" width="56.33203125" customWidth="1"/>
    <col min="23" max="23" width="26" customWidth="1"/>
    <col min="24" max="24" width="9.83203125" customWidth="1"/>
    <col min="25" max="25" width="4.1640625" customWidth="1"/>
    <col min="26" max="26" width="7.83203125" customWidth="1"/>
    <col min="27" max="27" width="6.1640625" customWidth="1"/>
    <col min="28" max="28" width="5.83203125" customWidth="1"/>
    <col min="29" max="29" width="7.33203125" customWidth="1"/>
    <col min="30" max="31" width="5" customWidth="1"/>
    <col min="32" max="32" width="5.83203125" customWidth="1"/>
    <col min="33" max="33" width="7.83203125" customWidth="1"/>
    <col min="34" max="34" width="5.83203125" customWidth="1"/>
    <col min="35" max="35" width="5.1640625" customWidth="1"/>
    <col min="36" max="36" width="6.83203125" customWidth="1"/>
    <col min="37" max="37" width="6.1640625" customWidth="1"/>
    <col min="38" max="38" width="6.33203125" customWidth="1"/>
    <col min="39" max="39" width="5.83203125" customWidth="1"/>
    <col min="40" max="40" width="4.83203125" customWidth="1"/>
  </cols>
  <sheetData>
    <row r="1" spans="1:44" x14ac:dyDescent="0.2">
      <c r="A1" s="223" t="s">
        <v>2394</v>
      </c>
      <c r="B1" s="223" t="s">
        <v>2395</v>
      </c>
      <c r="C1" s="223" t="s">
        <v>2396</v>
      </c>
      <c r="D1" s="223" t="s">
        <v>2397</v>
      </c>
      <c r="E1" s="223" t="s">
        <v>2398</v>
      </c>
      <c r="F1" s="223" t="s">
        <v>2399</v>
      </c>
      <c r="G1" s="223" t="s">
        <v>2400</v>
      </c>
      <c r="H1" s="223" t="s">
        <v>2401</v>
      </c>
      <c r="I1" s="223" t="s">
        <v>2402</v>
      </c>
      <c r="J1" s="223" t="s">
        <v>2403</v>
      </c>
      <c r="K1" s="223" t="s">
        <v>2404</v>
      </c>
      <c r="L1" s="223" t="s">
        <v>2405</v>
      </c>
      <c r="M1" s="223" t="s">
        <v>2406</v>
      </c>
      <c r="N1" s="223" t="s">
        <v>2407</v>
      </c>
      <c r="O1" s="223" t="s">
        <v>2408</v>
      </c>
      <c r="P1" s="223" t="s">
        <v>2409</v>
      </c>
      <c r="Q1" s="223" t="s">
        <v>2410</v>
      </c>
      <c r="R1" s="223" t="s">
        <v>2411</v>
      </c>
      <c r="S1" s="223" t="s">
        <v>2412</v>
      </c>
      <c r="T1" s="223" t="s">
        <v>2413</v>
      </c>
      <c r="U1" s="223" t="s">
        <v>2414</v>
      </c>
      <c r="V1" s="223" t="s">
        <v>2415</v>
      </c>
      <c r="W1" s="223" t="s">
        <v>2416</v>
      </c>
      <c r="X1" s="223" t="s">
        <v>2433</v>
      </c>
      <c r="Y1" s="223" t="s">
        <v>2417</v>
      </c>
      <c r="Z1" s="223" t="s">
        <v>2418</v>
      </c>
      <c r="AA1" s="223" t="s">
        <v>2419</v>
      </c>
      <c r="AB1" s="223" t="s">
        <v>2420</v>
      </c>
      <c r="AC1" s="223" t="s">
        <v>2421</v>
      </c>
      <c r="AD1" s="223" t="s">
        <v>2422</v>
      </c>
      <c r="AE1" s="223" t="s">
        <v>2423</v>
      </c>
      <c r="AF1" s="223" t="s">
        <v>2424</v>
      </c>
      <c r="AG1" s="223" t="s">
        <v>2425</v>
      </c>
      <c r="AH1" s="223" t="s">
        <v>2426</v>
      </c>
      <c r="AI1" s="223" t="s">
        <v>2427</v>
      </c>
      <c r="AJ1" s="223" t="s">
        <v>2428</v>
      </c>
      <c r="AK1" s="223" t="s">
        <v>2429</v>
      </c>
      <c r="AL1" s="223" t="s">
        <v>2430</v>
      </c>
      <c r="AM1" s="223" t="s">
        <v>2431</v>
      </c>
      <c r="AN1" s="223" t="s">
        <v>2432</v>
      </c>
      <c r="AO1" s="224"/>
      <c r="AP1" s="225"/>
      <c r="AQ1" s="6"/>
      <c r="AR1" s="6"/>
    </row>
    <row r="2" spans="1:44" x14ac:dyDescent="0.2">
      <c r="A2" s="3">
        <v>2</v>
      </c>
      <c r="B2" s="3" t="s">
        <v>1984</v>
      </c>
      <c r="C2" s="3" t="s">
        <v>250</v>
      </c>
      <c r="D2" s="108">
        <v>64</v>
      </c>
      <c r="E2" s="108">
        <v>69</v>
      </c>
      <c r="F2" s="109">
        <v>210</v>
      </c>
      <c r="G2" s="4">
        <v>33122</v>
      </c>
      <c r="H2" s="113">
        <f ca="1">ROUNDDOWN(YEARFRAC(G2,$G$26),1)</f>
        <v>30.1</v>
      </c>
      <c r="I2" s="3" t="s">
        <v>270</v>
      </c>
      <c r="J2" s="3">
        <v>11</v>
      </c>
      <c r="K2" s="3">
        <v>2010</v>
      </c>
      <c r="L2" s="3">
        <v>1</v>
      </c>
      <c r="M2" s="3" t="s">
        <v>1985</v>
      </c>
      <c r="N2" s="3" t="s">
        <v>1</v>
      </c>
      <c r="O2" s="3" t="s">
        <v>2151</v>
      </c>
      <c r="P2" s="11">
        <v>41254920</v>
      </c>
      <c r="Q2" s="11">
        <v>44310840</v>
      </c>
      <c r="R2" s="48">
        <v>47366760</v>
      </c>
      <c r="S2" s="14">
        <v>48234375</v>
      </c>
      <c r="T2" s="3"/>
      <c r="U2" s="3"/>
      <c r="V2" s="3" t="s">
        <v>355</v>
      </c>
      <c r="W2" s="5" t="s">
        <v>291</v>
      </c>
      <c r="X2" s="110">
        <v>1</v>
      </c>
      <c r="Y2" s="110">
        <v>32</v>
      </c>
      <c r="Z2" s="41">
        <f>11/32</f>
        <v>0.34375</v>
      </c>
      <c r="AA2" s="113">
        <v>107</v>
      </c>
      <c r="AB2" s="113">
        <v>113.2</v>
      </c>
      <c r="AC2" s="113">
        <f t="shared" ref="AC2:AC12" si="0">AA2-AB2</f>
        <v>-6.2000000000000028</v>
      </c>
      <c r="AD2" s="113">
        <v>34.5</v>
      </c>
      <c r="AE2" s="113">
        <v>18</v>
      </c>
      <c r="AF2" s="41">
        <v>0.52700000000000002</v>
      </c>
      <c r="AG2" s="113">
        <v>28.8</v>
      </c>
      <c r="AH2" s="113">
        <v>0.5</v>
      </c>
      <c r="AI2" s="113">
        <v>0.7</v>
      </c>
      <c r="AJ2" s="41">
        <v>5.0999999999999997E-2</v>
      </c>
      <c r="AK2" s="113">
        <v>2.2000000000000002</v>
      </c>
      <c r="AL2" s="113">
        <v>-1.4</v>
      </c>
      <c r="AM2" s="113">
        <v>0.8</v>
      </c>
      <c r="AN2" s="113">
        <v>12.3</v>
      </c>
    </row>
    <row r="3" spans="1:44" x14ac:dyDescent="0.2">
      <c r="A3" s="3">
        <v>3</v>
      </c>
      <c r="B3" s="3" t="s">
        <v>222</v>
      </c>
      <c r="C3" s="3" t="s">
        <v>255</v>
      </c>
      <c r="D3" s="108">
        <v>63</v>
      </c>
      <c r="E3" s="108">
        <v>68</v>
      </c>
      <c r="F3" s="109">
        <v>207</v>
      </c>
      <c r="G3" s="4">
        <v>34148</v>
      </c>
      <c r="H3" s="113">
        <f t="shared" ref="H3:H12" ca="1" si="1">ROUNDDOWN(YEARFRAC(G3,$G$26),1)</f>
        <v>27.3</v>
      </c>
      <c r="I3" s="3" t="s">
        <v>470</v>
      </c>
      <c r="J3" s="3">
        <v>9</v>
      </c>
      <c r="K3" s="3">
        <v>2012</v>
      </c>
      <c r="L3" s="3">
        <v>3</v>
      </c>
      <c r="M3" s="3" t="s">
        <v>1986</v>
      </c>
      <c r="N3" s="3" t="s">
        <v>1</v>
      </c>
      <c r="O3" s="3" t="s">
        <v>2150</v>
      </c>
      <c r="P3" s="11">
        <v>28751774</v>
      </c>
      <c r="Q3" s="11">
        <v>34502129</v>
      </c>
      <c r="R3" s="48">
        <v>37262299</v>
      </c>
      <c r="S3" s="14">
        <v>48234375</v>
      </c>
      <c r="T3" s="3"/>
      <c r="U3" s="3"/>
      <c r="V3" s="3" t="s">
        <v>1987</v>
      </c>
      <c r="W3" s="3" t="s">
        <v>1988</v>
      </c>
      <c r="X3" s="110">
        <v>2</v>
      </c>
      <c r="Y3" s="110">
        <v>57</v>
      </c>
      <c r="Z3" s="41">
        <f>20/57</f>
        <v>0.35087719298245612</v>
      </c>
      <c r="AA3" s="113">
        <v>113.1</v>
      </c>
      <c r="AB3" s="113">
        <v>117.6</v>
      </c>
      <c r="AC3" s="113">
        <f t="shared" si="0"/>
        <v>-4.5</v>
      </c>
      <c r="AD3" s="113">
        <v>36</v>
      </c>
      <c r="AE3" s="113">
        <v>23.1</v>
      </c>
      <c r="AF3" s="41">
        <v>0.57899999999999996</v>
      </c>
      <c r="AG3" s="113">
        <v>34.4</v>
      </c>
      <c r="AH3" s="113">
        <v>4.5999999999999996</v>
      </c>
      <c r="AI3" s="113">
        <v>0.5</v>
      </c>
      <c r="AJ3" s="41">
        <v>0.11899999999999999</v>
      </c>
      <c r="AK3" s="113">
        <v>5.3</v>
      </c>
      <c r="AL3" s="113">
        <v>-2.4</v>
      </c>
      <c r="AM3" s="113">
        <v>2.5</v>
      </c>
      <c r="AN3" s="113">
        <v>14.34</v>
      </c>
    </row>
    <row r="4" spans="1:44" x14ac:dyDescent="0.2">
      <c r="A4" s="3">
        <v>13</v>
      </c>
      <c r="B4" s="3" t="s">
        <v>1989</v>
      </c>
      <c r="C4" s="3" t="s">
        <v>236</v>
      </c>
      <c r="D4" s="108">
        <v>610</v>
      </c>
      <c r="E4" s="108">
        <v>76</v>
      </c>
      <c r="F4" s="109">
        <v>248</v>
      </c>
      <c r="G4" s="4">
        <v>35642</v>
      </c>
      <c r="H4" s="113">
        <f t="shared" ca="1" si="1"/>
        <v>23.2</v>
      </c>
      <c r="I4" s="3" t="s">
        <v>374</v>
      </c>
      <c r="J4" s="3">
        <v>4</v>
      </c>
      <c r="K4" s="3">
        <v>2017</v>
      </c>
      <c r="L4" s="3">
        <v>42</v>
      </c>
      <c r="M4" s="3" t="s">
        <v>1990</v>
      </c>
      <c r="N4" s="3" t="s">
        <v>5</v>
      </c>
      <c r="O4" s="3" t="s">
        <v>2152</v>
      </c>
      <c r="P4" s="11">
        <v>8333333</v>
      </c>
      <c r="Q4" s="11">
        <v>8666667</v>
      </c>
      <c r="R4" s="14">
        <f>Q4*1.9</f>
        <v>16466667.299999999</v>
      </c>
      <c r="S4" s="3"/>
      <c r="T4" s="3"/>
      <c r="U4" s="3"/>
      <c r="V4" s="3"/>
      <c r="W4" s="3" t="s">
        <v>1991</v>
      </c>
      <c r="X4" s="110">
        <v>5</v>
      </c>
      <c r="Y4" s="110">
        <v>38</v>
      </c>
      <c r="Z4" s="41">
        <f>14/38</f>
        <v>0.36842105263157893</v>
      </c>
      <c r="AA4" s="113">
        <v>110.6</v>
      </c>
      <c r="AB4" s="113">
        <v>117.6</v>
      </c>
      <c r="AC4" s="113">
        <f t="shared" si="0"/>
        <v>-7</v>
      </c>
      <c r="AD4" s="113">
        <v>23.7</v>
      </c>
      <c r="AE4" s="113">
        <v>20</v>
      </c>
      <c r="AF4" s="41">
        <v>0.65900000000000003</v>
      </c>
      <c r="AG4" s="113">
        <v>18.3</v>
      </c>
      <c r="AH4" s="113">
        <v>2.4</v>
      </c>
      <c r="AI4" s="113">
        <v>0.5</v>
      </c>
      <c r="AJ4" s="41">
        <v>0.153</v>
      </c>
      <c r="AK4" s="113">
        <v>2.1</v>
      </c>
      <c r="AL4" s="113">
        <v>-1.2</v>
      </c>
      <c r="AM4" s="113">
        <v>0.7</v>
      </c>
      <c r="AN4" s="113">
        <v>12.2</v>
      </c>
    </row>
    <row r="5" spans="1:44" x14ac:dyDescent="0.2">
      <c r="A5" s="3">
        <v>14</v>
      </c>
      <c r="B5" s="3" t="s">
        <v>1994</v>
      </c>
      <c r="C5" s="3" t="s">
        <v>250</v>
      </c>
      <c r="D5" s="108">
        <v>60</v>
      </c>
      <c r="E5" s="108">
        <v>65</v>
      </c>
      <c r="F5" s="109">
        <v>175</v>
      </c>
      <c r="G5" s="4">
        <v>32329</v>
      </c>
      <c r="H5" s="113">
        <f t="shared" ca="1" si="1"/>
        <v>32.299999999999997</v>
      </c>
      <c r="I5" s="3" t="s">
        <v>233</v>
      </c>
      <c r="J5" s="3">
        <v>11</v>
      </c>
      <c r="K5" s="3">
        <v>2010</v>
      </c>
      <c r="L5" s="3"/>
      <c r="M5" s="3" t="s">
        <v>672</v>
      </c>
      <c r="N5" s="3" t="s">
        <v>521</v>
      </c>
      <c r="O5" s="3" t="s">
        <v>2153</v>
      </c>
      <c r="P5" s="11">
        <v>6000000</v>
      </c>
      <c r="Q5" s="14">
        <f>P5*1.3</f>
        <v>7800000</v>
      </c>
      <c r="R5" s="3"/>
      <c r="S5" s="3"/>
      <c r="T5" s="3"/>
      <c r="U5" s="3"/>
      <c r="V5" s="3"/>
      <c r="W5" s="3" t="s">
        <v>1995</v>
      </c>
      <c r="X5" s="110">
        <v>1</v>
      </c>
      <c r="Y5" s="110">
        <v>60</v>
      </c>
      <c r="Z5" s="41">
        <f>22/60</f>
        <v>0.36666666666666664</v>
      </c>
      <c r="AA5" s="113">
        <v>110.1</v>
      </c>
      <c r="AB5" s="113">
        <v>113.6</v>
      </c>
      <c r="AC5" s="113">
        <f t="shared" si="0"/>
        <v>-3.5</v>
      </c>
      <c r="AD5" s="113">
        <v>26.2</v>
      </c>
      <c r="AE5" s="113">
        <v>13.8</v>
      </c>
      <c r="AF5" s="41">
        <v>0.51200000000000001</v>
      </c>
      <c r="AG5" s="113">
        <v>18.3</v>
      </c>
      <c r="AH5" s="113">
        <v>1.3</v>
      </c>
      <c r="AI5" s="113">
        <v>0.4</v>
      </c>
      <c r="AJ5" s="41">
        <v>5.2999999999999999E-2</v>
      </c>
      <c r="AK5" s="113">
        <v>-0.3</v>
      </c>
      <c r="AL5" s="113">
        <v>-1.1000000000000001</v>
      </c>
      <c r="AM5" s="113">
        <v>0.2</v>
      </c>
      <c r="AN5" s="113">
        <v>9.9</v>
      </c>
    </row>
    <row r="6" spans="1:44" x14ac:dyDescent="0.2">
      <c r="A6" s="3">
        <v>8</v>
      </c>
      <c r="B6" s="3" t="s">
        <v>1996</v>
      </c>
      <c r="C6" s="3" t="s">
        <v>236</v>
      </c>
      <c r="D6" s="108">
        <v>68</v>
      </c>
      <c r="E6" s="108">
        <v>72</v>
      </c>
      <c r="F6" s="109">
        <v>230</v>
      </c>
      <c r="G6" s="4">
        <v>35834</v>
      </c>
      <c r="H6" s="113">
        <f t="shared" ca="1" si="1"/>
        <v>22.7</v>
      </c>
      <c r="I6" s="3" t="s">
        <v>1036</v>
      </c>
      <c r="J6" s="3">
        <v>2</v>
      </c>
      <c r="K6" s="3">
        <v>2019</v>
      </c>
      <c r="L6" s="3">
        <v>9</v>
      </c>
      <c r="M6" s="3" t="s">
        <v>1997</v>
      </c>
      <c r="N6" s="3" t="s">
        <v>247</v>
      </c>
      <c r="O6" s="11" t="s">
        <v>2154</v>
      </c>
      <c r="P6" s="11">
        <v>4692840</v>
      </c>
      <c r="Q6" s="51">
        <v>4916160</v>
      </c>
      <c r="R6" s="51">
        <v>6263188</v>
      </c>
      <c r="S6" s="50">
        <f>R6*3</f>
        <v>18789564</v>
      </c>
      <c r="T6" s="3"/>
      <c r="U6" s="3"/>
      <c r="V6" s="3"/>
      <c r="W6" s="3" t="s">
        <v>1998</v>
      </c>
      <c r="X6" s="110">
        <v>4</v>
      </c>
      <c r="Y6" s="110">
        <v>41</v>
      </c>
      <c r="Z6" s="41">
        <f>15/41</f>
        <v>0.36585365853658536</v>
      </c>
      <c r="AA6" s="113">
        <v>109.9</v>
      </c>
      <c r="AB6" s="113">
        <v>117.8</v>
      </c>
      <c r="AC6" s="113">
        <f t="shared" si="0"/>
        <v>-7.8999999999999915</v>
      </c>
      <c r="AD6" s="113">
        <v>29.7</v>
      </c>
      <c r="AE6" s="113">
        <v>13.9</v>
      </c>
      <c r="AF6" s="41">
        <v>0.54300000000000004</v>
      </c>
      <c r="AG6" s="113">
        <v>18.7</v>
      </c>
      <c r="AH6" s="113">
        <v>1.3</v>
      </c>
      <c r="AI6" s="113">
        <v>0.4</v>
      </c>
      <c r="AJ6" s="41">
        <v>6.6000000000000003E-2</v>
      </c>
      <c r="AK6" s="113">
        <v>-1.1000000000000001</v>
      </c>
      <c r="AL6" s="113">
        <v>-0.9</v>
      </c>
      <c r="AM6" s="113">
        <v>-0.3</v>
      </c>
      <c r="AN6" s="113">
        <v>9.1999999999999993</v>
      </c>
    </row>
    <row r="7" spans="1:44" x14ac:dyDescent="0.2">
      <c r="A7" s="3">
        <v>12</v>
      </c>
      <c r="B7" s="3" t="s">
        <v>1999</v>
      </c>
      <c r="C7" s="3" t="s">
        <v>255</v>
      </c>
      <c r="D7" s="108">
        <v>64</v>
      </c>
      <c r="E7" s="108">
        <v>67</v>
      </c>
      <c r="F7" s="109">
        <v>190</v>
      </c>
      <c r="G7" s="4">
        <v>35483</v>
      </c>
      <c r="H7" s="113">
        <f t="shared" ca="1" si="1"/>
        <v>23.6</v>
      </c>
      <c r="I7" s="3" t="s">
        <v>915</v>
      </c>
      <c r="J7" s="3">
        <v>3</v>
      </c>
      <c r="K7" s="3">
        <v>2018</v>
      </c>
      <c r="L7" s="3">
        <v>13</v>
      </c>
      <c r="M7" s="3" t="s">
        <v>1472</v>
      </c>
      <c r="N7" s="3" t="s">
        <v>1539</v>
      </c>
      <c r="O7" s="3" t="s">
        <v>2136</v>
      </c>
      <c r="P7" s="11">
        <v>3737520</v>
      </c>
      <c r="Q7" s="51">
        <v>5340916</v>
      </c>
      <c r="R7" s="50">
        <f>Q7*3</f>
        <v>16022748</v>
      </c>
      <c r="S7" s="3"/>
      <c r="T7" s="3"/>
      <c r="U7" s="3"/>
      <c r="V7" s="3"/>
      <c r="W7" s="3" t="s">
        <v>2000</v>
      </c>
      <c r="X7" s="110">
        <v>2</v>
      </c>
      <c r="Y7" s="110">
        <v>13</v>
      </c>
      <c r="Z7" s="41">
        <f>6/13</f>
        <v>0.46153846153846156</v>
      </c>
      <c r="AA7" s="113">
        <v>106</v>
      </c>
      <c r="AB7" s="113">
        <v>107.9</v>
      </c>
      <c r="AC7" s="113">
        <f t="shared" si="0"/>
        <v>-1.9000000000000057</v>
      </c>
      <c r="AD7" s="113">
        <v>20.9</v>
      </c>
      <c r="AE7" s="113">
        <v>8.1</v>
      </c>
      <c r="AF7" s="41">
        <v>0.46800000000000003</v>
      </c>
      <c r="AG7" s="113">
        <v>14.1</v>
      </c>
      <c r="AH7" s="113">
        <v>-0.1</v>
      </c>
      <c r="AI7" s="113">
        <v>0.1</v>
      </c>
      <c r="AJ7" s="41">
        <v>1.0999999999999999E-2</v>
      </c>
      <c r="AK7" s="113">
        <v>-3.3</v>
      </c>
      <c r="AL7" s="113">
        <v>-0.6</v>
      </c>
      <c r="AM7" s="113">
        <v>-0.1</v>
      </c>
      <c r="AN7" s="113">
        <v>5.9</v>
      </c>
    </row>
    <row r="8" spans="1:44" x14ac:dyDescent="0.2">
      <c r="A8" s="3">
        <v>6</v>
      </c>
      <c r="B8" s="3" t="s">
        <v>2001</v>
      </c>
      <c r="C8" s="3" t="s">
        <v>255</v>
      </c>
      <c r="D8" s="108">
        <v>66</v>
      </c>
      <c r="E8" s="108">
        <v>610</v>
      </c>
      <c r="F8" s="109">
        <v>215</v>
      </c>
      <c r="G8" s="4">
        <v>36369</v>
      </c>
      <c r="H8" s="113">
        <f t="shared" ca="1" si="1"/>
        <v>21.2</v>
      </c>
      <c r="I8" s="3" t="s">
        <v>812</v>
      </c>
      <c r="J8" s="3">
        <v>3</v>
      </c>
      <c r="K8" s="3">
        <v>2018</v>
      </c>
      <c r="L8" s="3">
        <v>15</v>
      </c>
      <c r="M8" s="3" t="s">
        <v>2002</v>
      </c>
      <c r="N8" s="3" t="s">
        <v>247</v>
      </c>
      <c r="O8" s="3" t="s">
        <v>2155</v>
      </c>
      <c r="P8" s="11">
        <v>3372840</v>
      </c>
      <c r="Q8" s="51">
        <v>5170564</v>
      </c>
      <c r="R8" s="50">
        <f>Q8*3</f>
        <v>15511692</v>
      </c>
      <c r="S8" s="3"/>
      <c r="T8" s="3"/>
      <c r="U8" s="3"/>
      <c r="V8" s="3"/>
      <c r="W8" s="3" t="s">
        <v>2003</v>
      </c>
      <c r="X8" s="110">
        <v>3</v>
      </c>
      <c r="Y8" s="110">
        <v>61</v>
      </c>
      <c r="Z8" s="41">
        <f>23/61</f>
        <v>0.37704918032786883</v>
      </c>
      <c r="AA8" s="113">
        <v>108.9</v>
      </c>
      <c r="AB8" s="113">
        <v>113.7</v>
      </c>
      <c r="AC8" s="113">
        <f t="shared" si="0"/>
        <v>-4.7999999999999972</v>
      </c>
      <c r="AD8" s="113">
        <v>24.9</v>
      </c>
      <c r="AE8" s="113">
        <v>13.7</v>
      </c>
      <c r="AF8" s="41">
        <v>0.53400000000000003</v>
      </c>
      <c r="AG8" s="113">
        <v>17</v>
      </c>
      <c r="AH8" s="113">
        <v>1.2</v>
      </c>
      <c r="AI8" s="113">
        <v>0.9</v>
      </c>
      <c r="AJ8" s="41">
        <v>6.9000000000000006E-2</v>
      </c>
      <c r="AK8" s="113">
        <v>-0.8</v>
      </c>
      <c r="AL8" s="113">
        <v>-0.4</v>
      </c>
      <c r="AM8" s="113">
        <v>0.3</v>
      </c>
      <c r="AN8" s="113">
        <v>9.9</v>
      </c>
    </row>
    <row r="9" spans="1:44" x14ac:dyDescent="0.2">
      <c r="A9" s="3">
        <v>21</v>
      </c>
      <c r="B9" s="3" t="s">
        <v>2004</v>
      </c>
      <c r="C9" s="3" t="s">
        <v>236</v>
      </c>
      <c r="D9" s="108">
        <v>611</v>
      </c>
      <c r="E9" s="108">
        <v>70</v>
      </c>
      <c r="F9" s="109">
        <v>245</v>
      </c>
      <c r="G9" s="4">
        <v>35546</v>
      </c>
      <c r="H9" s="113">
        <f t="shared" ca="1" si="1"/>
        <v>23.4</v>
      </c>
      <c r="I9" s="3" t="s">
        <v>443</v>
      </c>
      <c r="J9" s="3">
        <v>3</v>
      </c>
      <c r="K9" s="3">
        <v>2018</v>
      </c>
      <c r="L9" s="3">
        <v>25</v>
      </c>
      <c r="M9" s="3" t="s">
        <v>1421</v>
      </c>
      <c r="N9" s="3" t="s">
        <v>1422</v>
      </c>
      <c r="O9" s="3" t="s">
        <v>2156</v>
      </c>
      <c r="P9" s="11">
        <v>2161920</v>
      </c>
      <c r="Q9" s="51">
        <v>3893618</v>
      </c>
      <c r="R9" s="50">
        <f>Q9*3</f>
        <v>11680854</v>
      </c>
      <c r="S9" s="3"/>
      <c r="T9" s="3"/>
      <c r="U9" s="3"/>
      <c r="V9" s="3"/>
      <c r="W9" s="5" t="s">
        <v>240</v>
      </c>
      <c r="X9" s="110">
        <v>5</v>
      </c>
      <c r="Y9" s="110">
        <v>37</v>
      </c>
      <c r="Z9" s="41">
        <f>14/37</f>
        <v>0.3783783783783784</v>
      </c>
      <c r="AA9" s="113">
        <v>109.6</v>
      </c>
      <c r="AB9" s="113">
        <v>111.1</v>
      </c>
      <c r="AC9" s="113">
        <f t="shared" si="0"/>
        <v>-1.5</v>
      </c>
      <c r="AD9" s="113">
        <v>19.100000000000001</v>
      </c>
      <c r="AE9" s="113">
        <v>16.600000000000001</v>
      </c>
      <c r="AF9" s="41">
        <v>0.66600000000000004</v>
      </c>
      <c r="AG9" s="113">
        <v>18.8</v>
      </c>
      <c r="AH9" s="113">
        <v>1.3</v>
      </c>
      <c r="AI9" s="113">
        <v>0.5</v>
      </c>
      <c r="AJ9" s="41">
        <v>0.122</v>
      </c>
      <c r="AK9" s="113">
        <v>-1.2</v>
      </c>
      <c r="AL9" s="113">
        <v>-0.3</v>
      </c>
      <c r="AM9" s="113">
        <v>0.1</v>
      </c>
      <c r="AN9" s="113">
        <v>10</v>
      </c>
    </row>
    <row r="10" spans="1:44" x14ac:dyDescent="0.2">
      <c r="A10" s="3">
        <v>17</v>
      </c>
      <c r="B10" s="3" t="s">
        <v>189</v>
      </c>
      <c r="C10" s="3" t="s">
        <v>244</v>
      </c>
      <c r="D10" s="108">
        <v>68</v>
      </c>
      <c r="E10" s="108">
        <v>70</v>
      </c>
      <c r="F10" s="109">
        <v>180</v>
      </c>
      <c r="G10" s="4">
        <v>36472</v>
      </c>
      <c r="H10" s="113">
        <f t="shared" ca="1" si="1"/>
        <v>20.9</v>
      </c>
      <c r="I10" s="3" t="s">
        <v>2006</v>
      </c>
      <c r="J10" s="3">
        <v>3</v>
      </c>
      <c r="K10" s="3">
        <v>2018</v>
      </c>
      <c r="L10" s="3">
        <v>39</v>
      </c>
      <c r="M10" s="3" t="s">
        <v>1421</v>
      </c>
      <c r="N10" s="3" t="s">
        <v>869</v>
      </c>
      <c r="O10" s="163" t="s">
        <v>526</v>
      </c>
      <c r="P10" s="15">
        <v>1663861</v>
      </c>
      <c r="Q10" s="50">
        <v>2122822</v>
      </c>
      <c r="R10" s="3"/>
      <c r="S10" s="3"/>
      <c r="T10" s="3"/>
      <c r="U10" s="3"/>
      <c r="V10" s="3"/>
      <c r="W10" s="3" t="s">
        <v>2007</v>
      </c>
      <c r="X10" s="110">
        <v>3</v>
      </c>
      <c r="Y10" s="110">
        <v>58</v>
      </c>
      <c r="Z10" s="41">
        <f>21/58</f>
        <v>0.36206896551724138</v>
      </c>
      <c r="AA10" s="113">
        <v>109.3</v>
      </c>
      <c r="AB10" s="113">
        <v>107.4</v>
      </c>
      <c r="AC10" s="113">
        <f t="shared" si="0"/>
        <v>1.8999999999999915</v>
      </c>
      <c r="AD10" s="113">
        <v>17.7</v>
      </c>
      <c r="AE10" s="113">
        <v>10.7</v>
      </c>
      <c r="AF10" s="41">
        <v>0.627</v>
      </c>
      <c r="AG10" s="113">
        <v>10.3</v>
      </c>
      <c r="AH10" s="113">
        <v>1.3</v>
      </c>
      <c r="AI10" s="113">
        <v>0.4</v>
      </c>
      <c r="AJ10" s="41">
        <v>8.1000000000000003E-2</v>
      </c>
      <c r="AK10" s="113">
        <v>-2.4</v>
      </c>
      <c r="AL10" s="113">
        <v>0</v>
      </c>
      <c r="AM10" s="113">
        <v>-0.1</v>
      </c>
      <c r="AN10" s="113">
        <v>6.2</v>
      </c>
    </row>
    <row r="11" spans="1:44" x14ac:dyDescent="0.2">
      <c r="A11" s="3">
        <v>1</v>
      </c>
      <c r="B11" s="3" t="s">
        <v>2010</v>
      </c>
      <c r="C11" s="3" t="s">
        <v>244</v>
      </c>
      <c r="D11" s="108">
        <v>65</v>
      </c>
      <c r="E11" s="108">
        <v>610</v>
      </c>
      <c r="F11" s="109">
        <v>241</v>
      </c>
      <c r="G11" s="4">
        <v>35519</v>
      </c>
      <c r="H11" s="113">
        <f t="shared" ca="1" si="1"/>
        <v>23.5</v>
      </c>
      <c r="I11" s="3" t="s">
        <v>382</v>
      </c>
      <c r="J11" s="3">
        <v>2</v>
      </c>
      <c r="K11" s="3">
        <v>2019</v>
      </c>
      <c r="L11" s="3"/>
      <c r="M11" s="3" t="s">
        <v>2011</v>
      </c>
      <c r="N11" s="3" t="s">
        <v>521</v>
      </c>
      <c r="O11" s="3" t="s">
        <v>799</v>
      </c>
      <c r="P11" s="11">
        <v>1517981</v>
      </c>
      <c r="Q11" s="15">
        <v>1782621</v>
      </c>
      <c r="R11" s="50">
        <v>2228276</v>
      </c>
      <c r="S11" s="3"/>
      <c r="T11" s="3"/>
      <c r="U11" s="3"/>
      <c r="V11" s="3"/>
      <c r="W11" s="3" t="s">
        <v>2012</v>
      </c>
      <c r="X11" s="110">
        <v>4</v>
      </c>
      <c r="Y11" s="110">
        <v>27</v>
      </c>
      <c r="Z11" s="41">
        <f>9/27</f>
        <v>0.33333333333333331</v>
      </c>
      <c r="AA11" s="113">
        <v>104.1</v>
      </c>
      <c r="AB11" s="113">
        <v>109</v>
      </c>
      <c r="AC11" s="113">
        <f t="shared" si="0"/>
        <v>-4.9000000000000057</v>
      </c>
      <c r="AD11" s="113">
        <v>10.8</v>
      </c>
      <c r="AE11" s="113">
        <v>6.8</v>
      </c>
      <c r="AF11" s="41">
        <v>0.51400000000000001</v>
      </c>
      <c r="AG11" s="113">
        <v>12.5</v>
      </c>
      <c r="AH11" s="113">
        <v>0.1</v>
      </c>
      <c r="AI11" s="113">
        <v>0</v>
      </c>
      <c r="AJ11" s="41">
        <v>0.02</v>
      </c>
      <c r="AK11" s="113">
        <v>-4.2</v>
      </c>
      <c r="AL11" s="113">
        <v>-1.1000000000000001</v>
      </c>
      <c r="AM11" s="113">
        <v>-0.2</v>
      </c>
      <c r="AN11" s="113">
        <v>3.7</v>
      </c>
    </row>
    <row r="12" spans="1:44" x14ac:dyDescent="0.2">
      <c r="A12" s="3">
        <v>18</v>
      </c>
      <c r="B12" s="3" t="s">
        <v>191</v>
      </c>
      <c r="C12" s="3" t="s">
        <v>236</v>
      </c>
      <c r="D12" s="108">
        <v>72</v>
      </c>
      <c r="E12" s="108">
        <v>74</v>
      </c>
      <c r="F12" s="109">
        <v>229</v>
      </c>
      <c r="G12" s="4">
        <v>35053</v>
      </c>
      <c r="H12" s="113">
        <f t="shared" ca="1" si="1"/>
        <v>24.8</v>
      </c>
      <c r="I12" s="3" t="s">
        <v>1960</v>
      </c>
      <c r="J12" s="3">
        <v>2</v>
      </c>
      <c r="K12" s="3">
        <v>2017</v>
      </c>
      <c r="L12" s="3">
        <v>25</v>
      </c>
      <c r="M12" s="3" t="s">
        <v>2013</v>
      </c>
      <c r="N12" s="3" t="s">
        <v>521</v>
      </c>
      <c r="O12" s="163" t="s">
        <v>916</v>
      </c>
      <c r="P12" s="15">
        <v>1517981</v>
      </c>
      <c r="Q12" s="15">
        <v>1782621</v>
      </c>
      <c r="R12" s="50">
        <v>2228276</v>
      </c>
      <c r="S12" s="3"/>
      <c r="T12" s="3"/>
      <c r="U12" s="3"/>
      <c r="V12" s="3"/>
      <c r="W12" s="5" t="s">
        <v>240</v>
      </c>
      <c r="X12" s="110">
        <v>5</v>
      </c>
      <c r="Y12" s="110">
        <v>24</v>
      </c>
      <c r="Z12" s="41">
        <f>9/24</f>
        <v>0.375</v>
      </c>
      <c r="AA12" s="113">
        <v>109.3</v>
      </c>
      <c r="AB12" s="113">
        <v>108.9</v>
      </c>
      <c r="AC12" s="113">
        <f t="shared" si="0"/>
        <v>0.39999999999999147</v>
      </c>
      <c r="AD12" s="113">
        <v>16.899999999999999</v>
      </c>
      <c r="AE12" s="113">
        <v>11.6</v>
      </c>
      <c r="AF12" s="41">
        <v>0.55500000000000005</v>
      </c>
      <c r="AG12" s="113">
        <v>15.6</v>
      </c>
      <c r="AH12" s="113">
        <v>0.3</v>
      </c>
      <c r="AI12" s="113">
        <v>0.2</v>
      </c>
      <c r="AJ12" s="41">
        <v>5.6000000000000001E-2</v>
      </c>
      <c r="AK12" s="113">
        <v>-3.8</v>
      </c>
      <c r="AL12" s="113">
        <v>-1.6</v>
      </c>
      <c r="AM12" s="113">
        <v>-0.3</v>
      </c>
      <c r="AN12" s="113">
        <v>6.1</v>
      </c>
    </row>
    <row r="13" spans="1:44" x14ac:dyDescent="0.2">
      <c r="A13" s="3"/>
      <c r="B13" s="3" t="s">
        <v>297</v>
      </c>
      <c r="C13" s="3"/>
      <c r="D13" s="108"/>
      <c r="E13" s="108"/>
      <c r="F13" s="109"/>
      <c r="G13" s="4"/>
      <c r="H13" s="113"/>
      <c r="I13" s="3"/>
      <c r="J13" s="3"/>
      <c r="K13" s="3"/>
      <c r="L13" s="3"/>
      <c r="M13" s="3"/>
      <c r="N13" s="3"/>
      <c r="O13" s="163"/>
      <c r="P13" s="16"/>
      <c r="Q13" s="16"/>
      <c r="R13" s="16"/>
      <c r="S13" s="3"/>
      <c r="T13" s="3"/>
      <c r="U13" s="3"/>
      <c r="V13" s="3"/>
      <c r="W13" s="5"/>
      <c r="X13" s="110"/>
      <c r="Y13" s="110"/>
      <c r="Z13" s="41"/>
      <c r="AA13" s="113"/>
      <c r="AB13" s="113"/>
      <c r="AC13" s="113"/>
      <c r="AD13" s="113"/>
      <c r="AE13" s="113"/>
      <c r="AF13" s="41"/>
      <c r="AG13" s="113"/>
      <c r="AH13" s="113"/>
      <c r="AI13" s="113"/>
      <c r="AJ13" s="41"/>
      <c r="AK13" s="113"/>
      <c r="AL13" s="113"/>
      <c r="AM13" s="113"/>
      <c r="AN13" s="113"/>
    </row>
    <row r="14" spans="1:44" x14ac:dyDescent="0.2">
      <c r="A14" s="60"/>
      <c r="B14" s="3" t="s">
        <v>2018</v>
      </c>
      <c r="C14" s="60"/>
      <c r="D14" s="60"/>
      <c r="E14" s="60"/>
      <c r="F14" s="146"/>
      <c r="G14" s="60"/>
      <c r="H14" s="60"/>
      <c r="I14" s="60"/>
      <c r="J14" s="60"/>
      <c r="K14" s="60"/>
      <c r="L14" s="60"/>
      <c r="M14" s="60"/>
      <c r="N14" s="60"/>
      <c r="O14" s="60"/>
      <c r="P14" s="11">
        <v>4469160</v>
      </c>
      <c r="Q14" s="11">
        <v>4692840</v>
      </c>
      <c r="R14" s="51">
        <v>4916160</v>
      </c>
      <c r="S14" s="51">
        <v>6263188</v>
      </c>
      <c r="T14" s="50">
        <f>S14*3</f>
        <v>18789564</v>
      </c>
      <c r="U14" s="60"/>
      <c r="V14" s="60"/>
      <c r="W14" s="60"/>
      <c r="X14" s="69"/>
      <c r="Y14" s="69"/>
      <c r="Z14" s="65"/>
      <c r="AA14" s="122"/>
      <c r="AB14" s="122"/>
      <c r="AC14" s="122"/>
      <c r="AD14" s="122"/>
      <c r="AE14" s="122"/>
      <c r="AF14" s="65"/>
      <c r="AG14" s="122"/>
      <c r="AH14" s="122"/>
      <c r="AI14" s="122"/>
      <c r="AJ14" s="65"/>
      <c r="AK14" s="122"/>
      <c r="AL14" s="122"/>
      <c r="AM14" s="122"/>
      <c r="AN14" s="122"/>
    </row>
    <row r="15" spans="1:44" x14ac:dyDescent="0.2">
      <c r="A15" s="60"/>
      <c r="B15" s="3" t="s">
        <v>2019</v>
      </c>
      <c r="C15" s="60"/>
      <c r="D15" s="60"/>
      <c r="E15" s="60"/>
      <c r="F15" s="146"/>
      <c r="G15" s="60"/>
      <c r="H15" s="60"/>
      <c r="I15" s="60"/>
      <c r="J15" s="60"/>
      <c r="K15" s="60"/>
      <c r="L15" s="60"/>
      <c r="M15" s="60"/>
      <c r="N15" s="60"/>
      <c r="O15" s="60"/>
      <c r="P15" s="179">
        <v>898310</v>
      </c>
      <c r="Q15" s="16"/>
      <c r="R15" s="16"/>
      <c r="S15" s="16"/>
      <c r="T15" s="16"/>
      <c r="U15" s="60"/>
      <c r="V15" s="60"/>
      <c r="W15" s="60"/>
      <c r="X15" s="69"/>
      <c r="Y15" s="69"/>
      <c r="Z15" s="65"/>
      <c r="AA15" s="122"/>
      <c r="AB15" s="122"/>
      <c r="AC15" s="122"/>
      <c r="AD15" s="122"/>
      <c r="AE15" s="122"/>
      <c r="AF15" s="65"/>
      <c r="AG15" s="122"/>
      <c r="AH15" s="122"/>
      <c r="AI15" s="122"/>
      <c r="AJ15" s="65"/>
      <c r="AK15" s="122"/>
      <c r="AL15" s="122"/>
      <c r="AM15" s="122"/>
      <c r="AN15" s="122"/>
    </row>
    <row r="16" spans="1:44" x14ac:dyDescent="0.2">
      <c r="A16" s="60"/>
      <c r="B16" s="3"/>
      <c r="C16" s="60"/>
      <c r="D16" s="60"/>
      <c r="E16" s="60"/>
      <c r="F16" s="146"/>
      <c r="G16" s="60"/>
      <c r="H16" s="60"/>
      <c r="I16" s="60"/>
      <c r="J16" s="60"/>
      <c r="K16" s="60"/>
      <c r="L16" s="60"/>
      <c r="M16" s="60"/>
      <c r="N16" s="60"/>
      <c r="O16" s="60"/>
      <c r="P16" s="11"/>
      <c r="Q16" s="16"/>
      <c r="R16" s="16"/>
      <c r="S16" s="16"/>
      <c r="T16" s="16"/>
      <c r="U16" s="60"/>
      <c r="V16" s="60"/>
      <c r="W16" s="60"/>
      <c r="X16" s="69"/>
      <c r="Y16" s="69"/>
      <c r="Z16" s="65"/>
      <c r="AA16" s="122"/>
      <c r="AB16" s="122"/>
      <c r="AC16" s="122"/>
      <c r="AD16" s="122"/>
      <c r="AE16" s="122"/>
      <c r="AF16" s="65"/>
      <c r="AG16" s="122"/>
      <c r="AH16" s="122"/>
      <c r="AI16" s="122"/>
      <c r="AJ16" s="65"/>
      <c r="AK16" s="122"/>
      <c r="AL16" s="122"/>
      <c r="AM16" s="122"/>
      <c r="AN16" s="122"/>
    </row>
    <row r="17" spans="1:40" x14ac:dyDescent="0.2">
      <c r="A17" s="3">
        <v>28</v>
      </c>
      <c r="B17" s="3" t="s">
        <v>186</v>
      </c>
      <c r="C17" s="3" t="s">
        <v>236</v>
      </c>
      <c r="D17" s="108">
        <v>611</v>
      </c>
      <c r="E17" s="108">
        <v>77</v>
      </c>
      <c r="F17" s="109">
        <v>262</v>
      </c>
      <c r="G17" s="4">
        <v>31721</v>
      </c>
      <c r="H17" s="113">
        <f t="shared" ref="H17:H24" ca="1" si="2">ROUNDDOWN(YEARFRAC(G17,$G$26),1)</f>
        <v>33.9</v>
      </c>
      <c r="I17" s="3" t="s">
        <v>1726</v>
      </c>
      <c r="J17" s="3">
        <v>13</v>
      </c>
      <c r="K17" s="3">
        <v>2005</v>
      </c>
      <c r="L17" s="3">
        <v>28</v>
      </c>
      <c r="M17" s="3" t="s">
        <v>1608</v>
      </c>
      <c r="N17" s="3"/>
      <c r="O17" s="3"/>
      <c r="P17" s="14">
        <v>23175077</v>
      </c>
      <c r="Q17" s="3"/>
      <c r="R17" s="3"/>
      <c r="S17" s="3"/>
      <c r="T17" s="3"/>
      <c r="U17" s="3"/>
      <c r="V17" s="3"/>
      <c r="W17" s="5" t="s">
        <v>240</v>
      </c>
      <c r="X17" s="110">
        <v>5</v>
      </c>
      <c r="Y17" s="110">
        <v>38</v>
      </c>
      <c r="Z17" s="41">
        <f>15/38</f>
        <v>0.39473684210526316</v>
      </c>
      <c r="AA17" s="113">
        <v>109.5</v>
      </c>
      <c r="AB17" s="113">
        <v>114</v>
      </c>
      <c r="AC17" s="113">
        <f t="shared" ref="AC17:AC22" si="3">AA17-AB17</f>
        <v>-4.5</v>
      </c>
      <c r="AD17" s="113">
        <v>21.3</v>
      </c>
      <c r="AE17" s="113">
        <v>14.1</v>
      </c>
      <c r="AF17" s="41">
        <v>0.54500000000000004</v>
      </c>
      <c r="AG17" s="113">
        <v>15.7</v>
      </c>
      <c r="AH17" s="113">
        <v>0.7</v>
      </c>
      <c r="AI17" s="113">
        <v>0.7</v>
      </c>
      <c r="AJ17" s="41">
        <v>8.2000000000000003E-2</v>
      </c>
      <c r="AK17" s="113">
        <v>-2.7</v>
      </c>
      <c r="AL17" s="113">
        <v>0</v>
      </c>
      <c r="AM17" s="113">
        <v>-0.2</v>
      </c>
      <c r="AN17" s="113">
        <v>7.8</v>
      </c>
    </row>
    <row r="18" spans="1:40" x14ac:dyDescent="0.2">
      <c r="A18" s="3">
        <v>42</v>
      </c>
      <c r="B18" s="3" t="s">
        <v>187</v>
      </c>
      <c r="C18" s="3" t="s">
        <v>244</v>
      </c>
      <c r="D18" s="108">
        <v>610</v>
      </c>
      <c r="E18" s="108">
        <v>610</v>
      </c>
      <c r="F18" s="109">
        <v>225</v>
      </c>
      <c r="G18" s="4">
        <v>33920</v>
      </c>
      <c r="H18" s="113">
        <f t="shared" ca="1" si="2"/>
        <v>27.9</v>
      </c>
      <c r="I18" s="3" t="s">
        <v>378</v>
      </c>
      <c r="J18" s="3">
        <v>4</v>
      </c>
      <c r="K18" s="3">
        <v>2011</v>
      </c>
      <c r="L18" s="3">
        <v>42</v>
      </c>
      <c r="M18" s="3" t="s">
        <v>1992</v>
      </c>
      <c r="N18" s="3"/>
      <c r="O18" s="3"/>
      <c r="P18" s="14">
        <v>13300000</v>
      </c>
      <c r="Q18" s="3"/>
      <c r="R18" s="3"/>
      <c r="S18" s="3"/>
      <c r="T18" s="3"/>
      <c r="U18" s="3"/>
      <c r="V18" s="3"/>
      <c r="W18" s="3" t="s">
        <v>1993</v>
      </c>
      <c r="X18" s="110">
        <v>4</v>
      </c>
      <c r="Y18" s="110">
        <v>54</v>
      </c>
      <c r="Z18" s="41">
        <f>20/54</f>
        <v>0.37037037037037035</v>
      </c>
      <c r="AA18" s="113">
        <v>113.6</v>
      </c>
      <c r="AB18" s="113">
        <v>113.9</v>
      </c>
      <c r="AC18" s="113">
        <f t="shared" si="3"/>
        <v>-0.30000000000001137</v>
      </c>
      <c r="AD18" s="113">
        <v>29.3</v>
      </c>
      <c r="AE18" s="113">
        <v>15.5</v>
      </c>
      <c r="AF18" s="41">
        <v>0.628</v>
      </c>
      <c r="AG18" s="113">
        <v>19</v>
      </c>
      <c r="AH18" s="113">
        <v>3</v>
      </c>
      <c r="AI18" s="113">
        <v>0.5</v>
      </c>
      <c r="AJ18" s="41">
        <v>0.106</v>
      </c>
      <c r="AK18" s="113">
        <v>2.7</v>
      </c>
      <c r="AL18" s="113">
        <v>-1.8</v>
      </c>
      <c r="AM18" s="113">
        <v>1.1000000000000001</v>
      </c>
      <c r="AN18" s="113">
        <v>9.4</v>
      </c>
    </row>
    <row r="19" spans="1:40" x14ac:dyDescent="0.2">
      <c r="A19" s="3">
        <v>5</v>
      </c>
      <c r="B19" s="3" t="s">
        <v>188</v>
      </c>
      <c r="C19" s="3" t="s">
        <v>250</v>
      </c>
      <c r="D19" s="108">
        <v>60</v>
      </c>
      <c r="E19" s="108">
        <v>62</v>
      </c>
      <c r="F19" s="109">
        <v>175</v>
      </c>
      <c r="G19" s="4">
        <v>33433</v>
      </c>
      <c r="H19" s="113">
        <f t="shared" ca="1" si="2"/>
        <v>29.2</v>
      </c>
      <c r="I19" s="3" t="s">
        <v>352</v>
      </c>
      <c r="J19" s="3">
        <v>6</v>
      </c>
      <c r="K19" s="3">
        <v>2014</v>
      </c>
      <c r="L19" s="3">
        <v>24</v>
      </c>
      <c r="M19" s="3" t="s">
        <v>2005</v>
      </c>
      <c r="N19" s="3"/>
      <c r="O19" s="3"/>
      <c r="P19" s="14">
        <v>1707576</v>
      </c>
      <c r="Q19" s="3"/>
      <c r="R19" s="3"/>
      <c r="S19" s="3"/>
      <c r="T19" s="3"/>
      <c r="U19" s="3"/>
      <c r="V19" s="3"/>
      <c r="W19" s="5" t="s">
        <v>291</v>
      </c>
      <c r="X19" s="110">
        <v>1</v>
      </c>
      <c r="Y19" s="110">
        <v>15</v>
      </c>
      <c r="Z19" s="41">
        <f>7/15</f>
        <v>0.46666666666666667</v>
      </c>
      <c r="AA19" s="113">
        <v>112.5</v>
      </c>
      <c r="AB19" s="113">
        <v>112.3</v>
      </c>
      <c r="AC19" s="113">
        <f t="shared" si="3"/>
        <v>0.20000000000000284</v>
      </c>
      <c r="AD19" s="113">
        <v>25.2</v>
      </c>
      <c r="AE19" s="113">
        <v>15.7</v>
      </c>
      <c r="AF19" s="41">
        <v>0.58699999999999997</v>
      </c>
      <c r="AG19" s="113">
        <v>20.7</v>
      </c>
      <c r="AH19" s="113">
        <v>0.4</v>
      </c>
      <c r="AI19" s="113">
        <v>0.2</v>
      </c>
      <c r="AJ19" s="41">
        <v>8.2000000000000003E-2</v>
      </c>
      <c r="AK19" s="113">
        <v>0.2</v>
      </c>
      <c r="AL19" s="113">
        <v>-0.2</v>
      </c>
      <c r="AM19" s="113">
        <v>0.2</v>
      </c>
      <c r="AN19" s="113">
        <v>10.3</v>
      </c>
    </row>
    <row r="20" spans="1:40" x14ac:dyDescent="0.2">
      <c r="A20" s="3">
        <v>20</v>
      </c>
      <c r="B20" s="3" t="s">
        <v>190</v>
      </c>
      <c r="C20" s="3" t="s">
        <v>244</v>
      </c>
      <c r="D20" s="108">
        <v>63</v>
      </c>
      <c r="E20" s="108">
        <v>68</v>
      </c>
      <c r="F20" s="109">
        <v>195</v>
      </c>
      <c r="G20" s="4">
        <v>33939</v>
      </c>
      <c r="H20" s="113">
        <f t="shared" ca="1" si="2"/>
        <v>27.8</v>
      </c>
      <c r="I20" s="3" t="s">
        <v>1875</v>
      </c>
      <c r="J20" s="3">
        <v>4</v>
      </c>
      <c r="K20" s="3">
        <v>2016</v>
      </c>
      <c r="L20" s="3"/>
      <c r="M20" s="3" t="s">
        <v>2008</v>
      </c>
      <c r="N20" s="3"/>
      <c r="O20" s="3"/>
      <c r="P20" s="14">
        <v>1707576</v>
      </c>
      <c r="Q20" s="3"/>
      <c r="R20" s="3"/>
      <c r="S20" s="3"/>
      <c r="T20" s="3"/>
      <c r="U20" s="3"/>
      <c r="V20" s="3"/>
      <c r="W20" s="3" t="s">
        <v>2009</v>
      </c>
      <c r="X20" s="110">
        <v>2</v>
      </c>
      <c r="Y20" s="110">
        <v>29</v>
      </c>
      <c r="Z20" s="41">
        <f>13/29</f>
        <v>0.44827586206896552</v>
      </c>
      <c r="AA20" s="113">
        <v>101.7</v>
      </c>
      <c r="AB20" s="113">
        <v>116.1</v>
      </c>
      <c r="AC20" s="113">
        <f t="shared" si="3"/>
        <v>-14.399999999999991</v>
      </c>
      <c r="AD20" s="113">
        <v>14.9</v>
      </c>
      <c r="AE20" s="113">
        <v>11.3</v>
      </c>
      <c r="AF20" s="41">
        <v>0.47299999999999998</v>
      </c>
      <c r="AG20" s="113">
        <v>13.4</v>
      </c>
      <c r="AH20" s="113">
        <v>0.1</v>
      </c>
      <c r="AI20" s="113">
        <v>0.4</v>
      </c>
      <c r="AJ20" s="41">
        <v>4.9000000000000002E-2</v>
      </c>
      <c r="AK20" s="113">
        <v>-3.1</v>
      </c>
      <c r="AL20" s="113">
        <v>1.5</v>
      </c>
      <c r="AM20" s="113">
        <v>0</v>
      </c>
      <c r="AN20" s="113">
        <v>6.9</v>
      </c>
    </row>
    <row r="21" spans="1:40" x14ac:dyDescent="0.2">
      <c r="A21" s="3">
        <v>24</v>
      </c>
      <c r="B21" s="3" t="s">
        <v>2014</v>
      </c>
      <c r="C21" s="3" t="s">
        <v>255</v>
      </c>
      <c r="D21" s="108">
        <v>65</v>
      </c>
      <c r="E21" s="108"/>
      <c r="F21" s="109">
        <v>215</v>
      </c>
      <c r="G21" s="4">
        <v>35362</v>
      </c>
      <c r="H21" s="113">
        <f t="shared" ca="1" si="2"/>
        <v>24</v>
      </c>
      <c r="I21" s="3" t="s">
        <v>2015</v>
      </c>
      <c r="J21" s="3">
        <v>1</v>
      </c>
      <c r="K21" s="3">
        <v>2019</v>
      </c>
      <c r="L21" s="3"/>
      <c r="M21" s="3" t="s">
        <v>987</v>
      </c>
      <c r="N21" s="3"/>
      <c r="O21" s="3"/>
      <c r="P21" s="34"/>
      <c r="Q21" s="3"/>
      <c r="R21" s="3"/>
      <c r="S21" s="3"/>
      <c r="T21" s="3"/>
      <c r="U21" s="3"/>
      <c r="V21" s="3"/>
      <c r="W21" s="3" t="s">
        <v>2016</v>
      </c>
      <c r="X21" s="110">
        <v>3</v>
      </c>
      <c r="Y21" s="110">
        <v>18</v>
      </c>
      <c r="Z21" s="41">
        <f>8/18</f>
        <v>0.44444444444444442</v>
      </c>
      <c r="AA21" s="113">
        <v>111.8</v>
      </c>
      <c r="AB21" s="113">
        <v>104.7</v>
      </c>
      <c r="AC21" s="113">
        <f t="shared" si="3"/>
        <v>7.0999999999999943</v>
      </c>
      <c r="AD21" s="113">
        <v>12.6</v>
      </c>
      <c r="AE21" s="113">
        <v>13.1</v>
      </c>
      <c r="AF21" s="41">
        <v>0.69099999999999995</v>
      </c>
      <c r="AG21" s="113">
        <v>14.5</v>
      </c>
      <c r="AH21" s="113">
        <v>0.6</v>
      </c>
      <c r="AI21" s="113">
        <v>0</v>
      </c>
      <c r="AJ21" s="41">
        <v>0.129</v>
      </c>
      <c r="AK21" s="113">
        <v>-0.5</v>
      </c>
      <c r="AL21" s="113">
        <v>-0.6</v>
      </c>
      <c r="AM21" s="113">
        <v>0.1</v>
      </c>
      <c r="AN21" s="113">
        <v>7.8</v>
      </c>
    </row>
    <row r="22" spans="1:40" x14ac:dyDescent="0.2">
      <c r="A22" s="3">
        <v>19</v>
      </c>
      <c r="B22" s="3" t="s">
        <v>2017</v>
      </c>
      <c r="C22" s="3" t="s">
        <v>236</v>
      </c>
      <c r="D22" s="108">
        <v>69</v>
      </c>
      <c r="E22" s="108"/>
      <c r="F22" s="109">
        <v>228</v>
      </c>
      <c r="G22" s="4">
        <v>34841</v>
      </c>
      <c r="H22" s="113">
        <f t="shared" ca="1" si="2"/>
        <v>25.4</v>
      </c>
      <c r="I22" s="3" t="s">
        <v>1036</v>
      </c>
      <c r="J22" s="3">
        <v>2</v>
      </c>
      <c r="K22" s="3">
        <v>2018</v>
      </c>
      <c r="L22" s="3"/>
      <c r="M22" s="3" t="s">
        <v>1968</v>
      </c>
      <c r="N22" s="3"/>
      <c r="O22" s="3"/>
      <c r="P22" s="34"/>
      <c r="Q22" s="3"/>
      <c r="R22" s="3"/>
      <c r="S22" s="3"/>
      <c r="T22" s="3"/>
      <c r="U22" s="3"/>
      <c r="V22" s="3"/>
      <c r="W22" s="3" t="s">
        <v>1808</v>
      </c>
      <c r="X22" s="110">
        <v>4</v>
      </c>
      <c r="Y22" s="110">
        <v>11</v>
      </c>
      <c r="Z22" s="41">
        <f>6/11</f>
        <v>0.54545454545454541</v>
      </c>
      <c r="AA22" s="113">
        <v>98.9</v>
      </c>
      <c r="AB22" s="113">
        <v>116.8</v>
      </c>
      <c r="AC22" s="113">
        <f t="shared" si="3"/>
        <v>-17.899999999999991</v>
      </c>
      <c r="AD22" s="113">
        <v>12.3</v>
      </c>
      <c r="AE22" s="113">
        <v>14.4</v>
      </c>
      <c r="AF22" s="41">
        <v>0.64300000000000002</v>
      </c>
      <c r="AG22" s="113">
        <v>9.6</v>
      </c>
      <c r="AH22" s="113">
        <v>0.3</v>
      </c>
      <c r="AI22" s="113">
        <v>0.1</v>
      </c>
      <c r="AJ22" s="41">
        <v>0.11600000000000001</v>
      </c>
      <c r="AK22" s="113">
        <v>-0.5</v>
      </c>
      <c r="AL22" s="113">
        <v>-1.3</v>
      </c>
      <c r="AM22" s="113">
        <v>0</v>
      </c>
      <c r="AN22" s="113">
        <v>11</v>
      </c>
    </row>
    <row r="23" spans="1:40" x14ac:dyDescent="0.2">
      <c r="A23" s="3">
        <v>22</v>
      </c>
      <c r="B23" s="3" t="s">
        <v>2083</v>
      </c>
      <c r="C23" s="3" t="s">
        <v>244</v>
      </c>
      <c r="D23" s="108">
        <v>64</v>
      </c>
      <c r="E23" s="108"/>
      <c r="F23" s="109">
        <v>198</v>
      </c>
      <c r="G23" s="4">
        <v>33886</v>
      </c>
      <c r="H23" s="113">
        <f t="shared" ca="1" si="2"/>
        <v>28</v>
      </c>
      <c r="I23" s="3" t="s">
        <v>1330</v>
      </c>
      <c r="J23" s="3">
        <v>5</v>
      </c>
      <c r="K23" s="3">
        <v>2015</v>
      </c>
      <c r="L23" s="3">
        <v>19</v>
      </c>
      <c r="M23" s="3" t="s">
        <v>2149</v>
      </c>
      <c r="N23" s="3"/>
      <c r="O23" s="3"/>
      <c r="P23" s="14">
        <v>1707576</v>
      </c>
      <c r="Q23" s="16"/>
      <c r="R23" s="16"/>
      <c r="S23" s="3"/>
      <c r="T23" s="3"/>
      <c r="U23" s="3"/>
      <c r="V23" s="3"/>
      <c r="W23" s="5"/>
      <c r="X23" s="110"/>
      <c r="Y23" s="110"/>
      <c r="Z23" s="41"/>
      <c r="AA23" s="113"/>
      <c r="AB23" s="113"/>
      <c r="AC23" s="113"/>
      <c r="AD23" s="113"/>
      <c r="AE23" s="113"/>
      <c r="AF23" s="41"/>
      <c r="AG23" s="113"/>
      <c r="AH23" s="113"/>
      <c r="AI23" s="113"/>
      <c r="AJ23" s="41"/>
      <c r="AK23" s="113"/>
      <c r="AL23" s="122"/>
      <c r="AM23" s="122"/>
      <c r="AN23" s="122"/>
    </row>
    <row r="24" spans="1:40" x14ac:dyDescent="0.2">
      <c r="A24" s="3">
        <v>7</v>
      </c>
      <c r="B24" s="3" t="s">
        <v>2147</v>
      </c>
      <c r="C24" s="3" t="s">
        <v>236</v>
      </c>
      <c r="D24" s="108">
        <v>69</v>
      </c>
      <c r="E24" s="108"/>
      <c r="F24" s="109">
        <v>220</v>
      </c>
      <c r="G24" s="4">
        <v>34108</v>
      </c>
      <c r="H24" s="113">
        <f t="shared" ca="1" si="2"/>
        <v>27.4</v>
      </c>
      <c r="I24" s="3" t="s">
        <v>2066</v>
      </c>
      <c r="J24" s="3">
        <v>2</v>
      </c>
      <c r="K24" s="3">
        <v>2016</v>
      </c>
      <c r="L24" s="3"/>
      <c r="M24" s="3" t="s">
        <v>2148</v>
      </c>
      <c r="N24" s="3"/>
      <c r="O24" s="3"/>
      <c r="P24" s="14">
        <v>1707576</v>
      </c>
      <c r="Q24" s="16"/>
      <c r="R24" s="16"/>
      <c r="S24" s="3"/>
      <c r="T24" s="3"/>
      <c r="U24" s="3"/>
      <c r="V24" s="3"/>
      <c r="W24" s="5"/>
      <c r="X24" s="110"/>
      <c r="Y24" s="110"/>
      <c r="Z24" s="41"/>
      <c r="AA24" s="113"/>
      <c r="AB24" s="113"/>
      <c r="AC24" s="113"/>
      <c r="AD24" s="113"/>
      <c r="AE24" s="113"/>
      <c r="AF24" s="41"/>
      <c r="AG24" s="113"/>
      <c r="AH24" s="113"/>
      <c r="AI24" s="113"/>
      <c r="AJ24" s="41"/>
      <c r="AK24" s="113"/>
      <c r="AL24" s="122"/>
      <c r="AM24" s="122"/>
      <c r="AN24" s="122"/>
    </row>
    <row r="25" spans="1:40" x14ac:dyDescent="0.2">
      <c r="A25" s="3"/>
      <c r="B25" s="3"/>
      <c r="C25" s="3"/>
      <c r="D25" s="108"/>
      <c r="E25" s="108"/>
      <c r="F25" s="109"/>
      <c r="G25" s="4"/>
      <c r="H25" s="113"/>
      <c r="I25" s="3"/>
      <c r="J25" s="3"/>
      <c r="K25" s="3"/>
      <c r="L25" s="3"/>
      <c r="M25" s="3"/>
      <c r="N25" s="3"/>
      <c r="O25" s="3"/>
      <c r="P25" s="16"/>
      <c r="Q25" s="16"/>
      <c r="R25" s="16"/>
      <c r="S25" s="3"/>
      <c r="T25" s="3"/>
      <c r="U25" s="3"/>
      <c r="V25" s="3"/>
      <c r="W25" s="5"/>
      <c r="X25" s="110"/>
      <c r="Y25" s="110"/>
      <c r="Z25" s="41"/>
      <c r="AA25" s="113"/>
      <c r="AB25" s="113"/>
      <c r="AC25" s="113"/>
      <c r="AD25" s="113"/>
      <c r="AE25" s="113"/>
      <c r="AF25" s="41"/>
      <c r="AG25" s="113"/>
      <c r="AH25" s="113"/>
      <c r="AI25" s="113"/>
      <c r="AJ25" s="41"/>
      <c r="AK25" s="113"/>
      <c r="AL25" s="122"/>
      <c r="AM25" s="122"/>
      <c r="AN25" s="122"/>
    </row>
    <row r="26" spans="1:40" x14ac:dyDescent="0.2">
      <c r="A26" s="60"/>
      <c r="B26" s="3"/>
      <c r="C26" s="60"/>
      <c r="D26" s="60"/>
      <c r="E26" s="60"/>
      <c r="F26" s="60"/>
      <c r="G26" s="62">
        <f ca="1">TODAY()</f>
        <v>44128</v>
      </c>
      <c r="H26" s="63">
        <f ca="1">AVERAGE(H2:H12)</f>
        <v>24.818181818181817</v>
      </c>
      <c r="I26" s="60"/>
      <c r="J26" s="63">
        <f>AVERAGE(J2:J12)</f>
        <v>4.8181818181818183</v>
      </c>
      <c r="K26" s="60"/>
      <c r="L26" s="60"/>
      <c r="M26" s="60"/>
      <c r="N26" s="60"/>
      <c r="O26" s="60"/>
      <c r="P26" s="60"/>
      <c r="Q26" s="60"/>
      <c r="R26" s="60"/>
      <c r="S26" s="60"/>
      <c r="T26" s="60"/>
      <c r="U26" s="60"/>
      <c r="V26" s="60"/>
      <c r="W26" s="60"/>
      <c r="X26" s="69"/>
      <c r="Y26" s="69"/>
      <c r="Z26" s="65"/>
      <c r="AA26" s="122"/>
      <c r="AB26" s="122"/>
      <c r="AC26" s="122"/>
      <c r="AD26" s="122"/>
      <c r="AE26" s="122"/>
      <c r="AF26" s="65"/>
      <c r="AG26" s="122"/>
      <c r="AH26" s="122"/>
      <c r="AI26" s="122"/>
      <c r="AJ26" s="65"/>
      <c r="AK26" s="122"/>
      <c r="AL26" s="122"/>
      <c r="AM26" s="122"/>
      <c r="AN26" s="122"/>
    </row>
    <row r="27" spans="1:40" x14ac:dyDescent="0.2">
      <c r="A27" s="60"/>
      <c r="B27" s="60"/>
      <c r="C27" s="60"/>
      <c r="D27" s="60"/>
      <c r="E27" s="60"/>
      <c r="F27" s="60"/>
      <c r="G27" s="60"/>
      <c r="H27" s="63">
        <f ca="1">MEDIAN(H2:H12)</f>
        <v>23.5</v>
      </c>
      <c r="I27" s="60"/>
      <c r="J27" s="69">
        <f>MEDIAN(J2:J12)</f>
        <v>3</v>
      </c>
      <c r="K27" s="60"/>
      <c r="L27" s="60"/>
      <c r="M27" s="60"/>
      <c r="N27" s="60"/>
      <c r="O27" s="60"/>
      <c r="P27" s="64">
        <f>P2+P3+P4+P5+P6+P7+P8+P9+P11+P14</f>
        <v>104292288</v>
      </c>
      <c r="Q27" s="60"/>
      <c r="R27" s="60"/>
      <c r="S27" s="60"/>
      <c r="T27" s="60"/>
      <c r="U27" s="60"/>
      <c r="V27" s="60"/>
      <c r="W27" s="60"/>
      <c r="X27" s="69"/>
      <c r="Y27" s="69"/>
      <c r="Z27" s="65"/>
      <c r="AA27" s="60"/>
      <c r="AB27" s="60"/>
      <c r="AC27" s="60"/>
      <c r="AD27" s="60"/>
      <c r="AE27" s="60"/>
      <c r="AF27" s="65"/>
      <c r="AG27" s="60"/>
      <c r="AH27" s="60"/>
      <c r="AI27" s="60"/>
      <c r="AJ27" s="65"/>
      <c r="AK27" s="60"/>
      <c r="AL27" s="60"/>
      <c r="AM27" s="60"/>
      <c r="AN27" s="60"/>
    </row>
    <row r="28" spans="1:40" x14ac:dyDescent="0.2">
      <c r="B28" s="209" t="s">
        <v>2224</v>
      </c>
      <c r="D28" s="60"/>
      <c r="E28" s="60"/>
      <c r="H28" s="60"/>
      <c r="P28" s="124">
        <f>P2+P3+P4+P5+P6+P7+P8+P9+P10+P11+P12+P14</f>
        <v>107474130</v>
      </c>
      <c r="X28" s="137"/>
      <c r="Y28" s="137"/>
      <c r="Z28" s="127"/>
      <c r="AF28" s="127"/>
    </row>
    <row r="29" spans="1:40" x14ac:dyDescent="0.2">
      <c r="B29" s="3" t="s">
        <v>2085</v>
      </c>
      <c r="C29" s="60">
        <v>9</v>
      </c>
      <c r="D29" s="60"/>
      <c r="E29" s="60"/>
      <c r="P29" s="60"/>
      <c r="X29" s="137"/>
      <c r="Y29" s="137"/>
      <c r="Z29" s="127"/>
    </row>
    <row r="30" spans="1:40" x14ac:dyDescent="0.2">
      <c r="B30" s="3" t="s">
        <v>2088</v>
      </c>
      <c r="C30" s="60">
        <v>2</v>
      </c>
      <c r="D30" s="60"/>
      <c r="E30" s="60"/>
      <c r="I30" s="209"/>
      <c r="O30" s="176" t="s">
        <v>300</v>
      </c>
      <c r="P30" s="61">
        <v>109140000</v>
      </c>
      <c r="X30" s="137"/>
      <c r="Y30" s="137"/>
      <c r="Z30" s="127"/>
    </row>
    <row r="31" spans="1:40" x14ac:dyDescent="0.2">
      <c r="B31" s="3" t="s">
        <v>2086</v>
      </c>
      <c r="C31" s="60">
        <v>2</v>
      </c>
      <c r="D31" s="62"/>
      <c r="E31" s="60"/>
      <c r="I31" s="3"/>
      <c r="O31" s="177" t="s">
        <v>302</v>
      </c>
      <c r="P31" s="61">
        <v>132627000</v>
      </c>
      <c r="X31" s="137"/>
      <c r="Y31" s="137"/>
      <c r="Z31" s="127"/>
    </row>
    <row r="32" spans="1:40" x14ac:dyDescent="0.2">
      <c r="B32" s="3" t="s">
        <v>2219</v>
      </c>
      <c r="C32" t="s">
        <v>2347</v>
      </c>
      <c r="D32" s="62"/>
      <c r="E32" s="60"/>
      <c r="I32" s="3"/>
      <c r="O32" s="176"/>
      <c r="X32" s="137"/>
      <c r="Y32" s="137"/>
      <c r="Z32" s="127"/>
    </row>
    <row r="33" spans="2:26" x14ac:dyDescent="0.2">
      <c r="B33" s="24" t="s">
        <v>301</v>
      </c>
      <c r="C33" s="61">
        <v>0</v>
      </c>
      <c r="D33" s="62"/>
      <c r="E33" s="60"/>
      <c r="I33" s="3"/>
      <c r="X33" s="137"/>
      <c r="Y33" s="137"/>
      <c r="Z33" s="127"/>
    </row>
    <row r="34" spans="2:26" x14ac:dyDescent="0.2">
      <c r="B34" s="3" t="s">
        <v>303</v>
      </c>
      <c r="C34" s="61">
        <v>0</v>
      </c>
      <c r="D34" s="60"/>
      <c r="E34" s="60"/>
      <c r="I34" s="3"/>
      <c r="O34" s="176"/>
      <c r="X34" s="137"/>
      <c r="Y34" s="137"/>
    </row>
    <row r="35" spans="2:26" x14ac:dyDescent="0.2">
      <c r="I35" s="3"/>
      <c r="J35" s="61"/>
      <c r="X35" s="137"/>
      <c r="Y35" s="137"/>
    </row>
    <row r="36" spans="2:26" x14ac:dyDescent="0.2">
      <c r="B36" s="71" t="s">
        <v>2084</v>
      </c>
      <c r="X36" s="137"/>
      <c r="Y36" s="137"/>
    </row>
    <row r="37" spans="2:26" x14ac:dyDescent="0.2">
      <c r="B37" s="175" t="s">
        <v>304</v>
      </c>
      <c r="C37" s="185">
        <f>25/(25+47)</f>
        <v>0.34722222222222221</v>
      </c>
      <c r="D37" t="s">
        <v>550</v>
      </c>
    </row>
    <row r="38" spans="2:26" x14ac:dyDescent="0.2">
      <c r="B38" s="60" t="s">
        <v>306</v>
      </c>
      <c r="C38" s="122">
        <v>110.2</v>
      </c>
      <c r="D38" t="s">
        <v>2193</v>
      </c>
    </row>
    <row r="39" spans="2:26" x14ac:dyDescent="0.2">
      <c r="B39" s="60" t="s">
        <v>307</v>
      </c>
      <c r="C39" s="122">
        <v>114.7</v>
      </c>
      <c r="D39" t="s">
        <v>2194</v>
      </c>
    </row>
    <row r="40" spans="2:26" x14ac:dyDescent="0.2">
      <c r="B40" s="60" t="s">
        <v>308</v>
      </c>
      <c r="C40" s="122">
        <f>C38-C39</f>
        <v>-4.5</v>
      </c>
      <c r="D40" t="s">
        <v>1881</v>
      </c>
    </row>
    <row r="41" spans="2:26" x14ac:dyDescent="0.2">
      <c r="B41" s="60" t="s">
        <v>309</v>
      </c>
      <c r="C41" s="63">
        <v>103.38</v>
      </c>
      <c r="D41" t="s">
        <v>2192</v>
      </c>
    </row>
    <row r="43" spans="2:26" x14ac:dyDescent="0.2">
      <c r="B43" s="2" t="s">
        <v>310</v>
      </c>
    </row>
    <row r="44" spans="2:26" x14ac:dyDescent="0.2">
      <c r="B44" s="2" t="s">
        <v>2020</v>
      </c>
    </row>
    <row r="45" spans="2:26" x14ac:dyDescent="0.2">
      <c r="B45" s="2" t="s">
        <v>2021</v>
      </c>
    </row>
    <row r="46" spans="2:26" x14ac:dyDescent="0.2">
      <c r="B46" s="10"/>
    </row>
    <row r="47" spans="2:26" x14ac:dyDescent="0.2">
      <c r="B47" s="2" t="s">
        <v>318</v>
      </c>
    </row>
    <row r="48" spans="2:26" x14ac:dyDescent="0.2">
      <c r="B48" s="2" t="s">
        <v>2022</v>
      </c>
    </row>
    <row r="49" spans="2:10" x14ac:dyDescent="0.2">
      <c r="B49" s="2" t="s">
        <v>1882</v>
      </c>
    </row>
    <row r="50" spans="2:10" x14ac:dyDescent="0.2">
      <c r="B50" s="2" t="s">
        <v>2023</v>
      </c>
    </row>
    <row r="51" spans="2:10" x14ac:dyDescent="0.2">
      <c r="B51" s="2"/>
    </row>
    <row r="52" spans="2:10" x14ac:dyDescent="0.2">
      <c r="B52" s="152" t="s">
        <v>2228</v>
      </c>
    </row>
    <row r="53" spans="2:10" x14ac:dyDescent="0.2">
      <c r="B53" s="37" t="s">
        <v>322</v>
      </c>
      <c r="C53" s="60">
        <v>25</v>
      </c>
      <c r="D53" s="60">
        <v>47</v>
      </c>
      <c r="E53" t="s">
        <v>550</v>
      </c>
      <c r="G53" t="s">
        <v>1586</v>
      </c>
      <c r="J53" s="144" t="s">
        <v>324</v>
      </c>
    </row>
    <row r="54" spans="2:10" x14ac:dyDescent="0.2">
      <c r="B54" s="37" t="s">
        <v>325</v>
      </c>
      <c r="C54" s="60">
        <v>32</v>
      </c>
      <c r="D54" s="60">
        <v>50</v>
      </c>
      <c r="E54" t="s">
        <v>552</v>
      </c>
      <c r="G54" t="s">
        <v>1586</v>
      </c>
      <c r="I54" s="144"/>
      <c r="J54" s="144" t="s">
        <v>324</v>
      </c>
    </row>
    <row r="55" spans="2:10" x14ac:dyDescent="0.2">
      <c r="B55" s="37" t="s">
        <v>327</v>
      </c>
      <c r="C55" s="60">
        <v>43</v>
      </c>
      <c r="D55" s="60">
        <v>39</v>
      </c>
      <c r="E55" t="s">
        <v>340</v>
      </c>
      <c r="G55" t="s">
        <v>1586</v>
      </c>
      <c r="J55" t="s">
        <v>1354</v>
      </c>
    </row>
    <row r="56" spans="2:10" x14ac:dyDescent="0.2">
      <c r="B56" s="37" t="s">
        <v>330</v>
      </c>
      <c r="C56" s="60">
        <v>49</v>
      </c>
      <c r="D56" s="60">
        <v>33</v>
      </c>
      <c r="E56" t="s">
        <v>334</v>
      </c>
      <c r="G56" t="s">
        <v>1586</v>
      </c>
      <c r="J56" t="s">
        <v>2024</v>
      </c>
    </row>
    <row r="57" spans="2:10" x14ac:dyDescent="0.2">
      <c r="B57" s="37" t="s">
        <v>333</v>
      </c>
      <c r="C57" s="60">
        <v>41</v>
      </c>
      <c r="D57" s="60">
        <v>41</v>
      </c>
      <c r="E57" t="s">
        <v>549</v>
      </c>
      <c r="G57" t="s">
        <v>2025</v>
      </c>
      <c r="I57" s="144"/>
      <c r="J57" s="144" t="s">
        <v>324</v>
      </c>
    </row>
    <row r="58" spans="2:10" x14ac:dyDescent="0.2">
      <c r="B58" s="37" t="s">
        <v>336</v>
      </c>
      <c r="C58" s="60">
        <v>46</v>
      </c>
      <c r="D58" s="60">
        <v>36</v>
      </c>
      <c r="E58" t="s">
        <v>331</v>
      </c>
      <c r="G58" t="s">
        <v>2025</v>
      </c>
      <c r="J58" t="s">
        <v>2026</v>
      </c>
    </row>
    <row r="59" spans="2:10" x14ac:dyDescent="0.2">
      <c r="B59" s="37" t="s">
        <v>339</v>
      </c>
      <c r="C59" s="60">
        <v>44</v>
      </c>
      <c r="D59" s="60">
        <v>38</v>
      </c>
      <c r="E59" t="s">
        <v>331</v>
      </c>
      <c r="G59" t="s">
        <v>2025</v>
      </c>
      <c r="J59" t="s">
        <v>2027</v>
      </c>
    </row>
    <row r="60" spans="2:10" x14ac:dyDescent="0.2">
      <c r="B60" s="37" t="s">
        <v>342</v>
      </c>
      <c r="C60" s="60">
        <v>29</v>
      </c>
      <c r="D60" s="60">
        <v>53</v>
      </c>
      <c r="E60" t="s">
        <v>326</v>
      </c>
      <c r="G60" t="s">
        <v>2025</v>
      </c>
      <c r="I60" s="144"/>
      <c r="J60" s="144" t="s">
        <v>324</v>
      </c>
    </row>
    <row r="61" spans="2:10" x14ac:dyDescent="0.2">
      <c r="B61" s="37" t="s">
        <v>346</v>
      </c>
      <c r="C61" s="60">
        <v>20</v>
      </c>
      <c r="D61" s="60">
        <v>46</v>
      </c>
      <c r="E61" t="s">
        <v>323</v>
      </c>
      <c r="G61" t="s">
        <v>2028</v>
      </c>
      <c r="J61" s="144" t="s">
        <v>324</v>
      </c>
    </row>
    <row r="62" spans="2:10" x14ac:dyDescent="0.2">
      <c r="B62" s="37" t="s">
        <v>348</v>
      </c>
      <c r="C62" s="60">
        <v>23</v>
      </c>
      <c r="D62" s="60">
        <v>59</v>
      </c>
      <c r="E62" t="s">
        <v>617</v>
      </c>
      <c r="G62" t="s">
        <v>1406</v>
      </c>
      <c r="J62" s="144" t="s">
        <v>324</v>
      </c>
    </row>
    <row r="63" spans="2:10" x14ac:dyDescent="0.2">
      <c r="B63" t="s">
        <v>350</v>
      </c>
      <c r="C63" s="60">
        <f>SUM(C53:C62)</f>
        <v>352</v>
      </c>
      <c r="D63" s="60">
        <f>SUM(D53:D62)</f>
        <v>442</v>
      </c>
      <c r="E63" s="65">
        <f>C63/(C63+D63)</f>
        <v>0.44332493702770781</v>
      </c>
    </row>
    <row r="64" spans="2:10" x14ac:dyDescent="0.2">
      <c r="C64" s="60"/>
      <c r="D64" s="60"/>
    </row>
    <row r="65" spans="3:4" x14ac:dyDescent="0.2">
      <c r="C65" s="60"/>
      <c r="D65" s="60"/>
    </row>
    <row r="66" spans="3:4" x14ac:dyDescent="0.2">
      <c r="C66" s="60"/>
      <c r="D66" s="60"/>
    </row>
    <row r="67" spans="3:4" x14ac:dyDescent="0.2">
      <c r="C67" s="60"/>
      <c r="D67" s="60"/>
    </row>
    <row r="68" spans="3:4" x14ac:dyDescent="0.2">
      <c r="C68" s="60"/>
      <c r="D68" s="60"/>
    </row>
    <row r="69" spans="3:4" x14ac:dyDescent="0.2">
      <c r="C69" s="60"/>
      <c r="D69" s="60"/>
    </row>
    <row r="70" spans="3:4" x14ac:dyDescent="0.2">
      <c r="C70" s="60"/>
      <c r="D70" s="60"/>
    </row>
    <row r="71" spans="3:4" x14ac:dyDescent="0.2">
      <c r="C71" s="60"/>
      <c r="D71" s="60"/>
    </row>
    <row r="72" spans="3:4" x14ac:dyDescent="0.2">
      <c r="C72" s="60"/>
      <c r="D72" s="60"/>
    </row>
    <row r="73" spans="3:4" x14ac:dyDescent="0.2">
      <c r="C73" s="60"/>
      <c r="D73" s="60"/>
    </row>
    <row r="74" spans="3:4" x14ac:dyDescent="0.2">
      <c r="C74" s="60"/>
      <c r="D74" s="60"/>
    </row>
    <row r="75" spans="3:4" x14ac:dyDescent="0.2">
      <c r="C75" s="60"/>
      <c r="D75" s="60"/>
    </row>
    <row r="76" spans="3:4" x14ac:dyDescent="0.2">
      <c r="C76" s="60"/>
      <c r="D76" s="60"/>
    </row>
    <row r="77" spans="3:4" x14ac:dyDescent="0.2">
      <c r="C77" s="60"/>
      <c r="D77" s="60"/>
    </row>
    <row r="78" spans="3:4" x14ac:dyDescent="0.2">
      <c r="C78" s="60"/>
      <c r="D78" s="60"/>
    </row>
    <row r="79" spans="3:4" x14ac:dyDescent="0.2">
      <c r="C79" s="60"/>
      <c r="D79" s="60"/>
    </row>
    <row r="80" spans="3:4" x14ac:dyDescent="0.2">
      <c r="C80" s="60"/>
      <c r="D80" s="60"/>
    </row>
    <row r="81" spans="3:4" x14ac:dyDescent="0.2">
      <c r="C81" s="60"/>
      <c r="D81" s="60"/>
    </row>
    <row r="82" spans="3:4" x14ac:dyDescent="0.2">
      <c r="C82" s="60"/>
      <c r="D82" s="60"/>
    </row>
    <row r="83" spans="3:4" x14ac:dyDescent="0.2">
      <c r="C83" s="60"/>
      <c r="D83" s="60"/>
    </row>
    <row r="84" spans="3:4" x14ac:dyDescent="0.2">
      <c r="C84" s="60"/>
      <c r="D84" s="60"/>
    </row>
    <row r="85" spans="3:4" x14ac:dyDescent="0.2">
      <c r="C85" s="60"/>
      <c r="D85" s="60"/>
    </row>
    <row r="86" spans="3:4" x14ac:dyDescent="0.2">
      <c r="C86" s="60"/>
      <c r="D86" s="60"/>
    </row>
    <row r="87" spans="3:4" x14ac:dyDescent="0.2">
      <c r="C87" s="60"/>
      <c r="D87" s="60"/>
    </row>
    <row r="88" spans="3:4" x14ac:dyDescent="0.2">
      <c r="C88" s="60"/>
      <c r="D88" s="60"/>
    </row>
    <row r="89" spans="3:4" x14ac:dyDescent="0.2">
      <c r="C89" s="60"/>
      <c r="D89" s="60"/>
    </row>
    <row r="90" spans="3:4" x14ac:dyDescent="0.2">
      <c r="C90" s="60"/>
      <c r="D90" s="60"/>
    </row>
    <row r="91" spans="3:4" x14ac:dyDescent="0.2">
      <c r="C91" s="60"/>
      <c r="D91" s="60"/>
    </row>
    <row r="92" spans="3:4" x14ac:dyDescent="0.2">
      <c r="C92" s="60"/>
      <c r="D92" s="60"/>
    </row>
    <row r="93" spans="3:4" x14ac:dyDescent="0.2">
      <c r="C93" s="60"/>
      <c r="D93" s="60"/>
    </row>
    <row r="94" spans="3:4" x14ac:dyDescent="0.2">
      <c r="C94" s="60"/>
      <c r="D94" s="60"/>
    </row>
    <row r="95" spans="3:4" x14ac:dyDescent="0.2">
      <c r="C95" s="60"/>
      <c r="D95" s="60"/>
    </row>
    <row r="96" spans="3:4" x14ac:dyDescent="0.2">
      <c r="C96" s="60"/>
      <c r="D96" s="60"/>
    </row>
    <row r="97" spans="3:4" x14ac:dyDescent="0.2">
      <c r="C97" s="60"/>
      <c r="D97" s="60"/>
    </row>
    <row r="98" spans="3:4" x14ac:dyDescent="0.2">
      <c r="C98" s="60"/>
      <c r="D98" s="60"/>
    </row>
    <row r="99" spans="3:4" x14ac:dyDescent="0.2">
      <c r="C99" s="60"/>
      <c r="D99" s="60"/>
    </row>
    <row r="100" spans="3:4" x14ac:dyDescent="0.2">
      <c r="C100" s="60"/>
      <c r="D100" s="60"/>
    </row>
    <row r="101" spans="3:4" x14ac:dyDescent="0.2">
      <c r="C101" s="60"/>
      <c r="D101" s="60"/>
    </row>
    <row r="102" spans="3:4" x14ac:dyDescent="0.2">
      <c r="C102" s="60"/>
      <c r="D102" s="60"/>
    </row>
    <row r="103" spans="3:4" x14ac:dyDescent="0.2">
      <c r="C103" s="60"/>
      <c r="D103" s="60"/>
    </row>
    <row r="104" spans="3:4" x14ac:dyDescent="0.2">
      <c r="C104" s="60"/>
      <c r="D104" s="60"/>
    </row>
    <row r="105" spans="3:4" x14ac:dyDescent="0.2">
      <c r="C105" s="60"/>
      <c r="D105" s="60"/>
    </row>
    <row r="106" spans="3:4" x14ac:dyDescent="0.2">
      <c r="C106" s="60"/>
      <c r="D106" s="60"/>
    </row>
    <row r="107" spans="3:4" x14ac:dyDescent="0.2">
      <c r="C107" s="60"/>
      <c r="D107" s="60"/>
    </row>
    <row r="108" spans="3:4" x14ac:dyDescent="0.2">
      <c r="C108" s="60"/>
      <c r="D108" s="60"/>
    </row>
    <row r="109" spans="3:4" x14ac:dyDescent="0.2">
      <c r="C109" s="60"/>
      <c r="D109" s="60"/>
    </row>
    <row r="110" spans="3:4" x14ac:dyDescent="0.2">
      <c r="C110" s="60"/>
      <c r="D110" s="60"/>
    </row>
    <row r="111" spans="3:4" x14ac:dyDescent="0.2">
      <c r="C111" s="60"/>
      <c r="D111" s="60"/>
    </row>
    <row r="112" spans="3:4" x14ac:dyDescent="0.2">
      <c r="C112" s="60"/>
      <c r="D112" s="60"/>
    </row>
    <row r="113" spans="3:4" x14ac:dyDescent="0.2">
      <c r="C113" s="60"/>
      <c r="D113" s="60"/>
    </row>
    <row r="114" spans="3:4" x14ac:dyDescent="0.2">
      <c r="C114" s="60"/>
      <c r="D114" s="60"/>
    </row>
    <row r="115" spans="3:4" x14ac:dyDescent="0.2">
      <c r="C115" s="60"/>
      <c r="D115" s="60"/>
    </row>
    <row r="116" spans="3:4" x14ac:dyDescent="0.2">
      <c r="C116" s="60"/>
      <c r="D116" s="60"/>
    </row>
    <row r="117" spans="3:4" x14ac:dyDescent="0.2">
      <c r="C117" s="60"/>
      <c r="D117" s="60"/>
    </row>
    <row r="118" spans="3:4" x14ac:dyDescent="0.2">
      <c r="C118" s="60"/>
      <c r="D118" s="60"/>
    </row>
    <row r="119" spans="3:4" x14ac:dyDescent="0.2">
      <c r="C119" s="60"/>
      <c r="D119" s="60"/>
    </row>
    <row r="120" spans="3:4" x14ac:dyDescent="0.2">
      <c r="C120" s="60"/>
      <c r="D120" s="60"/>
    </row>
    <row r="121" spans="3:4" x14ac:dyDescent="0.2">
      <c r="C121" s="60"/>
      <c r="D121" s="60"/>
    </row>
    <row r="122" spans="3:4" x14ac:dyDescent="0.2">
      <c r="C122" s="60"/>
      <c r="D122" s="60"/>
    </row>
    <row r="123" spans="3:4" x14ac:dyDescent="0.2">
      <c r="C123" s="60"/>
      <c r="D123" s="60"/>
    </row>
    <row r="124" spans="3:4" x14ac:dyDescent="0.2">
      <c r="C124" s="60"/>
      <c r="D124" s="60"/>
    </row>
    <row r="125" spans="3:4" x14ac:dyDescent="0.2">
      <c r="C125" s="60"/>
      <c r="D125" s="60"/>
    </row>
    <row r="126" spans="3:4" x14ac:dyDescent="0.2">
      <c r="C126" s="60"/>
      <c r="D126" s="60"/>
    </row>
    <row r="127" spans="3:4" x14ac:dyDescent="0.2">
      <c r="C127" s="60"/>
      <c r="D127" s="60"/>
    </row>
    <row r="128" spans="3:4" x14ac:dyDescent="0.2">
      <c r="C128" s="60"/>
      <c r="D128" s="60"/>
    </row>
    <row r="129" spans="3:4" x14ac:dyDescent="0.2">
      <c r="C129" s="60"/>
      <c r="D129" s="60"/>
    </row>
  </sheetData>
  <hyperlinks>
    <hyperlink ref="B53" r:id="rId1" xr:uid="{D5464C8E-E0DC-5442-A649-36FB6484B9F0}"/>
    <hyperlink ref="B54" r:id="rId2" xr:uid="{6C567820-5929-8A45-A416-6DFFA0F1158C}"/>
    <hyperlink ref="B55" r:id="rId3" xr:uid="{C7BFBD92-8ED4-3B4F-8C46-3648E0BC8EF4}"/>
    <hyperlink ref="B56" r:id="rId4" xr:uid="{4161A9E1-9AE4-E442-80BE-E6A593553EF8}"/>
    <hyperlink ref="B57" r:id="rId5" xr:uid="{A4B4D6BA-CD7B-484D-8B0E-1DDBB93A7D90}"/>
    <hyperlink ref="B58" r:id="rId6" xr:uid="{1108664E-537D-3446-9047-152F474864D7}"/>
    <hyperlink ref="B59" r:id="rId7" xr:uid="{EF13C123-3D05-1141-A1DB-74D5812AD7BC}"/>
    <hyperlink ref="B60" r:id="rId8" xr:uid="{F121A979-13D6-8643-94C1-1F74910B089D}"/>
    <hyperlink ref="B61" r:id="rId9" xr:uid="{61A989E3-3D7D-F24D-BE0D-B37FB97E0257}"/>
    <hyperlink ref="B62" r:id="rId10" xr:uid="{204FD134-C794-CB40-8B9A-08FBA4EDBA31}"/>
  </hyperlinks>
  <pageMargins left="0.7" right="0.7" top="0.75" bottom="0.75" header="0.3" footer="0.3"/>
  <legacyDrawing r:id="rId1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F1A94-B620-FC41-A862-ACF68DBDA649}">
  <dimension ref="A1:AR60"/>
  <sheetViews>
    <sheetView zoomScaleNormal="100" workbookViewId="0">
      <selection sqref="A1:AR1"/>
    </sheetView>
  </sheetViews>
  <sheetFormatPr baseColWidth="10" defaultColWidth="10.83203125" defaultRowHeight="16" x14ac:dyDescent="0.2"/>
  <cols>
    <col min="1" max="1" width="5.1640625" style="60" customWidth="1"/>
    <col min="2" max="2" width="19" style="60" customWidth="1"/>
    <col min="3" max="3" width="10.6640625" style="60" customWidth="1"/>
    <col min="4" max="4" width="7.6640625" style="60" bestFit="1" customWidth="1"/>
    <col min="5" max="5" width="10.33203125" style="60" customWidth="1"/>
    <col min="6" max="6" width="8" style="60" customWidth="1"/>
    <col min="7" max="7" width="10.1640625" style="60" customWidth="1"/>
    <col min="8" max="8" width="6.1640625" style="60" customWidth="1"/>
    <col min="9" max="9" width="17.33203125" style="60" customWidth="1"/>
    <col min="10" max="10" width="10.83203125" style="60" customWidth="1"/>
    <col min="11" max="11" width="11.6640625" style="60" customWidth="1"/>
    <col min="12" max="12" width="4.83203125" style="60" customWidth="1"/>
    <col min="13" max="13" width="33.1640625" style="60" customWidth="1"/>
    <col min="14" max="14" width="14.6640625" style="60" customWidth="1"/>
    <col min="15" max="15" width="46" style="60" customWidth="1"/>
    <col min="16" max="16" width="13.83203125" style="60" customWidth="1"/>
    <col min="17" max="18" width="12.5" style="60" customWidth="1"/>
    <col min="19" max="19" width="12.1640625" style="60" customWidth="1"/>
    <col min="20" max="20" width="12" style="60" customWidth="1"/>
    <col min="21" max="21" width="9.83203125" style="60" bestFit="1" customWidth="1"/>
    <col min="22" max="22" width="19" style="60" customWidth="1"/>
    <col min="23" max="23" width="27.33203125" style="60" customWidth="1"/>
    <col min="24" max="24" width="10.83203125" style="60"/>
    <col min="25" max="25" width="3.83203125" style="60" customWidth="1"/>
    <col min="26" max="26" width="7.83203125" style="60" customWidth="1"/>
    <col min="27" max="27" width="5.83203125" style="60" customWidth="1"/>
    <col min="28" max="28" width="6" style="60" customWidth="1"/>
    <col min="29" max="29" width="7.5" style="60" customWidth="1"/>
    <col min="30" max="30" width="5.1640625" style="60" customWidth="1"/>
    <col min="31" max="31" width="4.33203125" style="60" customWidth="1"/>
    <col min="32" max="32" width="6.1640625" style="60" customWidth="1"/>
    <col min="33" max="33" width="7.6640625" style="60" customWidth="1"/>
    <col min="34" max="35" width="5.1640625" style="60" customWidth="1"/>
    <col min="36" max="36" width="6.5" style="60" customWidth="1"/>
    <col min="37" max="37" width="6.6640625" style="60" customWidth="1"/>
    <col min="38" max="38" width="6.1640625" style="60" customWidth="1"/>
    <col min="39" max="39" width="5.83203125" style="60" customWidth="1"/>
    <col min="40" max="40" width="5" style="60" customWidth="1"/>
    <col min="41" max="16384" width="10.83203125" style="60"/>
  </cols>
  <sheetData>
    <row r="1" spans="1:44" x14ac:dyDescent="0.2">
      <c r="A1" s="223" t="s">
        <v>2394</v>
      </c>
      <c r="B1" s="223" t="s">
        <v>2395</v>
      </c>
      <c r="C1" s="223" t="s">
        <v>2396</v>
      </c>
      <c r="D1" s="223" t="s">
        <v>2397</v>
      </c>
      <c r="E1" s="223" t="s">
        <v>2398</v>
      </c>
      <c r="F1" s="223" t="s">
        <v>2399</v>
      </c>
      <c r="G1" s="223" t="s">
        <v>2400</v>
      </c>
      <c r="H1" s="223" t="s">
        <v>2401</v>
      </c>
      <c r="I1" s="223" t="s">
        <v>2402</v>
      </c>
      <c r="J1" s="223" t="s">
        <v>2403</v>
      </c>
      <c r="K1" s="223" t="s">
        <v>2404</v>
      </c>
      <c r="L1" s="223" t="s">
        <v>2405</v>
      </c>
      <c r="M1" s="223" t="s">
        <v>2406</v>
      </c>
      <c r="N1" s="223" t="s">
        <v>2407</v>
      </c>
      <c r="O1" s="223" t="s">
        <v>2408</v>
      </c>
      <c r="P1" s="223" t="s">
        <v>2409</v>
      </c>
      <c r="Q1" s="223" t="s">
        <v>2410</v>
      </c>
      <c r="R1" s="223" t="s">
        <v>2411</v>
      </c>
      <c r="S1" s="223" t="s">
        <v>2412</v>
      </c>
      <c r="T1" s="223" t="s">
        <v>2413</v>
      </c>
      <c r="U1" s="223" t="s">
        <v>2414</v>
      </c>
      <c r="V1" s="223" t="s">
        <v>2415</v>
      </c>
      <c r="W1" s="223" t="s">
        <v>2416</v>
      </c>
      <c r="X1" s="223" t="s">
        <v>2433</v>
      </c>
      <c r="Y1" s="223" t="s">
        <v>2417</v>
      </c>
      <c r="Z1" s="223" t="s">
        <v>2418</v>
      </c>
      <c r="AA1" s="223" t="s">
        <v>2419</v>
      </c>
      <c r="AB1" s="223" t="s">
        <v>2420</v>
      </c>
      <c r="AC1" s="223" t="s">
        <v>2421</v>
      </c>
      <c r="AD1" s="223" t="s">
        <v>2422</v>
      </c>
      <c r="AE1" s="223" t="s">
        <v>2423</v>
      </c>
      <c r="AF1" s="223" t="s">
        <v>2424</v>
      </c>
      <c r="AG1" s="223" t="s">
        <v>2425</v>
      </c>
      <c r="AH1" s="223" t="s">
        <v>2426</v>
      </c>
      <c r="AI1" s="223" t="s">
        <v>2427</v>
      </c>
      <c r="AJ1" s="223" t="s">
        <v>2428</v>
      </c>
      <c r="AK1" s="223" t="s">
        <v>2429</v>
      </c>
      <c r="AL1" s="223" t="s">
        <v>2430</v>
      </c>
      <c r="AM1" s="223" t="s">
        <v>2431</v>
      </c>
      <c r="AN1" s="223" t="s">
        <v>2432</v>
      </c>
      <c r="AO1" s="224"/>
      <c r="AP1" s="225"/>
      <c r="AQ1" s="6"/>
      <c r="AR1" s="6"/>
    </row>
    <row r="2" spans="1:44" x14ac:dyDescent="0.2">
      <c r="A2" s="3">
        <v>5</v>
      </c>
      <c r="B2" s="3" t="s">
        <v>17</v>
      </c>
      <c r="C2" s="3" t="s">
        <v>255</v>
      </c>
      <c r="D2" s="108">
        <v>69</v>
      </c>
      <c r="E2" s="108">
        <v>74</v>
      </c>
      <c r="F2" s="109">
        <v>230</v>
      </c>
      <c r="G2" s="4">
        <v>32491</v>
      </c>
      <c r="H2" s="113">
        <f t="shared" ref="H2:H11" ca="1" si="0">ROUNDDOWN(YEARFRAC($G$23,G2),1)</f>
        <v>31.8</v>
      </c>
      <c r="I2" s="3" t="s">
        <v>493</v>
      </c>
      <c r="J2" s="3">
        <v>13</v>
      </c>
      <c r="K2" s="112">
        <v>2008</v>
      </c>
      <c r="L2" s="112">
        <v>25</v>
      </c>
      <c r="M2" s="3" t="s">
        <v>494</v>
      </c>
      <c r="N2" s="3" t="s">
        <v>1</v>
      </c>
      <c r="O2" s="163" t="s">
        <v>495</v>
      </c>
      <c r="P2" s="48">
        <v>27130434</v>
      </c>
      <c r="Q2" s="14">
        <f>P2*1.5</f>
        <v>40695651</v>
      </c>
      <c r="R2" s="12"/>
      <c r="S2" s="12"/>
      <c r="T2" s="12"/>
      <c r="W2" s="60" t="s">
        <v>496</v>
      </c>
      <c r="X2" s="69">
        <v>3</v>
      </c>
      <c r="Y2" s="69">
        <v>22</v>
      </c>
      <c r="Z2" s="65">
        <f>6/22</f>
        <v>0.27272727272727271</v>
      </c>
      <c r="AA2" s="122">
        <v>108.6</v>
      </c>
      <c r="AB2" s="122">
        <v>111.9</v>
      </c>
      <c r="AC2" s="122">
        <f t="shared" ref="AC2:AC11" si="1">AA2-AB2</f>
        <v>-3.3000000000000114</v>
      </c>
      <c r="AD2" s="122">
        <v>23</v>
      </c>
      <c r="AE2" s="122">
        <v>9.1999999999999993</v>
      </c>
      <c r="AF2" s="65">
        <v>0.46300000000000002</v>
      </c>
      <c r="AG2" s="122">
        <v>9.4</v>
      </c>
      <c r="AH2" s="122">
        <v>0.2</v>
      </c>
      <c r="AI2" s="122">
        <v>0.4</v>
      </c>
      <c r="AJ2" s="65">
        <v>5.5E-2</v>
      </c>
      <c r="AK2" s="122">
        <v>-2.7</v>
      </c>
      <c r="AL2" s="122">
        <v>0.9</v>
      </c>
      <c r="AM2" s="122">
        <v>0</v>
      </c>
      <c r="AN2" s="122">
        <v>6.8</v>
      </c>
    </row>
    <row r="3" spans="1:44" x14ac:dyDescent="0.2">
      <c r="A3" s="3">
        <v>3</v>
      </c>
      <c r="B3" s="3" t="s">
        <v>497</v>
      </c>
      <c r="C3" s="3" t="s">
        <v>232</v>
      </c>
      <c r="D3" s="108">
        <v>61</v>
      </c>
      <c r="E3" s="108">
        <v>68</v>
      </c>
      <c r="F3" s="109">
        <v>190</v>
      </c>
      <c r="G3" s="4">
        <v>34410</v>
      </c>
      <c r="H3" s="113">
        <f t="shared" ca="1" si="0"/>
        <v>26.6</v>
      </c>
      <c r="I3" s="3" t="s">
        <v>498</v>
      </c>
      <c r="J3" s="3">
        <v>6</v>
      </c>
      <c r="K3" s="112">
        <v>2015</v>
      </c>
      <c r="L3" s="112">
        <v>16</v>
      </c>
      <c r="M3" s="3" t="s">
        <v>499</v>
      </c>
      <c r="N3" s="3" t="s">
        <v>354</v>
      </c>
      <c r="O3" s="3" t="s">
        <v>2132</v>
      </c>
      <c r="P3" s="11">
        <v>18900000</v>
      </c>
      <c r="Q3" s="11">
        <v>17905263</v>
      </c>
      <c r="R3" s="14">
        <f>Q3*1.5</f>
        <v>26857894.5</v>
      </c>
      <c r="S3" s="12"/>
      <c r="T3" s="12"/>
      <c r="W3" s="60" t="s">
        <v>500</v>
      </c>
      <c r="X3" s="69">
        <v>2</v>
      </c>
      <c r="Y3" s="69">
        <v>63</v>
      </c>
      <c r="Z3" s="65">
        <f>21/63</f>
        <v>0.33333333333333331</v>
      </c>
      <c r="AA3" s="122">
        <v>104.5</v>
      </c>
      <c r="AB3" s="122">
        <v>113.4</v>
      </c>
      <c r="AC3" s="122">
        <f t="shared" si="1"/>
        <v>-8.9000000000000057</v>
      </c>
      <c r="AD3" s="122">
        <v>34.4</v>
      </c>
      <c r="AE3" s="122">
        <v>14.9</v>
      </c>
      <c r="AF3" s="65">
        <v>0.55300000000000005</v>
      </c>
      <c r="AG3" s="122">
        <v>23.7</v>
      </c>
      <c r="AH3" s="122">
        <v>1.9</v>
      </c>
      <c r="AI3" s="122">
        <v>1.1000000000000001</v>
      </c>
      <c r="AJ3" s="65">
        <v>6.7000000000000004E-2</v>
      </c>
      <c r="AK3" s="122">
        <v>0.8</v>
      </c>
      <c r="AL3" s="122">
        <v>-1.3</v>
      </c>
      <c r="AM3" s="122">
        <v>0.8</v>
      </c>
      <c r="AN3" s="122">
        <v>10.3</v>
      </c>
    </row>
    <row r="4" spans="1:44" x14ac:dyDescent="0.2">
      <c r="A4" s="3">
        <v>40</v>
      </c>
      <c r="B4" s="3" t="s">
        <v>504</v>
      </c>
      <c r="C4" s="3" t="s">
        <v>236</v>
      </c>
      <c r="D4" s="108">
        <v>70</v>
      </c>
      <c r="E4" s="108">
        <v>611</v>
      </c>
      <c r="F4" s="109">
        <v>240</v>
      </c>
      <c r="G4" s="4">
        <v>33882</v>
      </c>
      <c r="H4" s="113">
        <f t="shared" ca="1" si="0"/>
        <v>28</v>
      </c>
      <c r="I4" s="3" t="s">
        <v>374</v>
      </c>
      <c r="J4" s="3">
        <v>8</v>
      </c>
      <c r="K4" s="112">
        <v>2013</v>
      </c>
      <c r="L4" s="112">
        <v>4</v>
      </c>
      <c r="M4" s="3" t="s">
        <v>505</v>
      </c>
      <c r="N4" s="3" t="s">
        <v>1</v>
      </c>
      <c r="O4" s="3" t="s">
        <v>2133</v>
      </c>
      <c r="P4" s="11">
        <v>15415730</v>
      </c>
      <c r="Q4" s="14">
        <f>P4*1.5</f>
        <v>23123595</v>
      </c>
      <c r="R4" s="12"/>
      <c r="S4" s="12"/>
      <c r="T4" s="12"/>
      <c r="W4" s="98" t="s">
        <v>240</v>
      </c>
      <c r="X4" s="69">
        <v>5</v>
      </c>
      <c r="Y4" s="69">
        <v>58</v>
      </c>
      <c r="Z4" s="65">
        <f>18/58</f>
        <v>0.31034482758620691</v>
      </c>
      <c r="AA4" s="122">
        <v>105.3</v>
      </c>
      <c r="AB4" s="122">
        <v>113.6</v>
      </c>
      <c r="AC4" s="122">
        <f t="shared" si="1"/>
        <v>-8.2999999999999972</v>
      </c>
      <c r="AD4" s="122">
        <v>23.1</v>
      </c>
      <c r="AE4" s="122">
        <v>18.8</v>
      </c>
      <c r="AF4" s="65">
        <v>0.57599999999999996</v>
      </c>
      <c r="AG4" s="122">
        <v>20.8</v>
      </c>
      <c r="AH4" s="122">
        <v>2.4</v>
      </c>
      <c r="AI4" s="122">
        <v>1.2</v>
      </c>
      <c r="AJ4" s="65">
        <v>0.129</v>
      </c>
      <c r="AK4" s="122">
        <v>0.2</v>
      </c>
      <c r="AL4" s="122">
        <v>-0.8</v>
      </c>
      <c r="AM4" s="122">
        <v>0.5</v>
      </c>
      <c r="AN4" s="122">
        <v>11.4</v>
      </c>
    </row>
    <row r="5" spans="1:44" x14ac:dyDescent="0.2">
      <c r="A5" s="3">
        <v>1</v>
      </c>
      <c r="B5" s="3" t="s">
        <v>506</v>
      </c>
      <c r="C5" s="3" t="s">
        <v>255</v>
      </c>
      <c r="D5" s="108">
        <v>63</v>
      </c>
      <c r="E5" s="108">
        <v>64</v>
      </c>
      <c r="F5" s="109">
        <v>200</v>
      </c>
      <c r="G5" s="4">
        <v>35830</v>
      </c>
      <c r="H5" s="113">
        <f t="shared" ca="1" si="0"/>
        <v>22.7</v>
      </c>
      <c r="I5" s="3" t="s">
        <v>270</v>
      </c>
      <c r="J5" s="3">
        <v>4</v>
      </c>
      <c r="K5" s="112">
        <v>2017</v>
      </c>
      <c r="L5" s="112">
        <v>11</v>
      </c>
      <c r="M5" s="3" t="s">
        <v>507</v>
      </c>
      <c r="N5" s="3" t="s">
        <v>247</v>
      </c>
      <c r="O5" s="3" t="s">
        <v>2134</v>
      </c>
      <c r="P5" s="11">
        <v>5345687</v>
      </c>
      <c r="Q5" s="50">
        <v>16037061</v>
      </c>
      <c r="R5" s="12"/>
      <c r="S5" s="12"/>
      <c r="T5" s="12"/>
      <c r="W5" s="60" t="s">
        <v>508</v>
      </c>
      <c r="X5" s="69">
        <v>2</v>
      </c>
      <c r="Y5" s="69">
        <v>55</v>
      </c>
      <c r="Z5" s="65">
        <f>18/55</f>
        <v>0.32727272727272727</v>
      </c>
      <c r="AA5" s="122">
        <v>101.8</v>
      </c>
      <c r="AB5" s="122">
        <v>112.3</v>
      </c>
      <c r="AC5" s="122">
        <f t="shared" si="1"/>
        <v>-10.5</v>
      </c>
      <c r="AD5" s="122">
        <v>21.3</v>
      </c>
      <c r="AE5" s="122">
        <v>12.7</v>
      </c>
      <c r="AF5" s="65">
        <v>0.53</v>
      </c>
      <c r="AG5" s="122">
        <v>22.9</v>
      </c>
      <c r="AH5" s="122">
        <v>0.1</v>
      </c>
      <c r="AI5" s="122">
        <v>0.6</v>
      </c>
      <c r="AJ5" s="65">
        <v>2.8000000000000001E-2</v>
      </c>
      <c r="AK5" s="122">
        <v>-1</v>
      </c>
      <c r="AL5" s="122">
        <v>-1.3</v>
      </c>
      <c r="AM5" s="122">
        <v>-0.1</v>
      </c>
      <c r="AN5" s="122">
        <v>9.1</v>
      </c>
    </row>
    <row r="6" spans="1:44" x14ac:dyDescent="0.2">
      <c r="A6" s="3">
        <v>25</v>
      </c>
      <c r="B6" s="3" t="s">
        <v>509</v>
      </c>
      <c r="C6" s="3" t="s">
        <v>236</v>
      </c>
      <c r="D6" s="108">
        <v>67</v>
      </c>
      <c r="E6" s="108">
        <v>73</v>
      </c>
      <c r="F6" s="109">
        <v>230</v>
      </c>
      <c r="G6" s="4">
        <v>36030</v>
      </c>
      <c r="H6" s="113">
        <f t="shared" ca="1" si="0"/>
        <v>22.1</v>
      </c>
      <c r="I6" s="3" t="s">
        <v>270</v>
      </c>
      <c r="J6" s="3">
        <v>2</v>
      </c>
      <c r="K6" s="112">
        <v>2019</v>
      </c>
      <c r="L6" s="112">
        <v>12</v>
      </c>
      <c r="M6" s="3" t="s">
        <v>510</v>
      </c>
      <c r="N6" s="3" t="s">
        <v>247</v>
      </c>
      <c r="O6" s="3" t="s">
        <v>2135</v>
      </c>
      <c r="P6" s="11">
        <v>4023600</v>
      </c>
      <c r="Q6" s="51">
        <v>4215120</v>
      </c>
      <c r="R6" s="51">
        <v>5808435</v>
      </c>
      <c r="S6" s="50">
        <v>17425305</v>
      </c>
      <c r="T6" s="3"/>
      <c r="W6" s="60" t="s">
        <v>511</v>
      </c>
      <c r="X6" s="69">
        <v>4</v>
      </c>
      <c r="Y6" s="69">
        <v>58</v>
      </c>
      <c r="Z6" s="65">
        <f>22/58</f>
        <v>0.37931034482758619</v>
      </c>
      <c r="AA6" s="122">
        <v>103.9</v>
      </c>
      <c r="AB6" s="122">
        <v>110.1</v>
      </c>
      <c r="AC6" s="122">
        <f t="shared" si="1"/>
        <v>-6.1999999999999886</v>
      </c>
      <c r="AD6" s="122">
        <v>30.3</v>
      </c>
      <c r="AE6" s="122">
        <v>12.4</v>
      </c>
      <c r="AF6" s="65">
        <v>0.54700000000000004</v>
      </c>
      <c r="AG6" s="122">
        <v>18.600000000000001</v>
      </c>
      <c r="AH6" s="122">
        <v>0.5</v>
      </c>
      <c r="AI6" s="122">
        <v>1.4</v>
      </c>
      <c r="AJ6" s="65">
        <v>5.3999999999999999E-2</v>
      </c>
      <c r="AK6" s="122">
        <v>-1.7</v>
      </c>
      <c r="AL6" s="122">
        <v>0.1</v>
      </c>
      <c r="AM6" s="122">
        <v>0.2</v>
      </c>
      <c r="AN6" s="122">
        <v>8.3000000000000007</v>
      </c>
    </row>
    <row r="7" spans="1:44" x14ac:dyDescent="0.2">
      <c r="A7" s="3">
        <v>0</v>
      </c>
      <c r="B7" s="3" t="s">
        <v>512</v>
      </c>
      <c r="C7" s="3" t="s">
        <v>244</v>
      </c>
      <c r="D7" s="108">
        <v>66</v>
      </c>
      <c r="E7" s="108">
        <v>69</v>
      </c>
      <c r="F7" s="109">
        <v>225</v>
      </c>
      <c r="G7" s="4">
        <v>35875</v>
      </c>
      <c r="H7" s="113">
        <f t="shared" ca="1" si="0"/>
        <v>22.5</v>
      </c>
      <c r="I7" s="3" t="s">
        <v>513</v>
      </c>
      <c r="J7" s="3">
        <v>3</v>
      </c>
      <c r="K7" s="112">
        <v>2018</v>
      </c>
      <c r="L7" s="112">
        <v>12</v>
      </c>
      <c r="M7" s="3" t="s">
        <v>514</v>
      </c>
      <c r="N7" s="3" t="s">
        <v>247</v>
      </c>
      <c r="O7" s="3" t="s">
        <v>2136</v>
      </c>
      <c r="P7" s="11">
        <v>3934320</v>
      </c>
      <c r="Q7" s="51">
        <v>5421493</v>
      </c>
      <c r="R7" s="50">
        <v>16264479</v>
      </c>
      <c r="S7" s="12"/>
      <c r="T7" s="12"/>
      <c r="W7" s="60" t="s">
        <v>515</v>
      </c>
      <c r="X7" s="69">
        <v>3</v>
      </c>
      <c r="Y7" s="69">
        <v>65</v>
      </c>
      <c r="Z7" s="65">
        <f>23/65</f>
        <v>0.35384615384615387</v>
      </c>
      <c r="AA7" s="122">
        <v>104.4</v>
      </c>
      <c r="AB7" s="122">
        <v>114</v>
      </c>
      <c r="AC7" s="122">
        <f t="shared" si="1"/>
        <v>-9.5999999999999943</v>
      </c>
      <c r="AD7" s="122">
        <v>30.7</v>
      </c>
      <c r="AE7" s="122">
        <v>12.1</v>
      </c>
      <c r="AF7" s="65">
        <v>0.52</v>
      </c>
      <c r="AG7" s="122">
        <v>20</v>
      </c>
      <c r="AH7" s="122">
        <v>0.3</v>
      </c>
      <c r="AI7" s="122">
        <v>1.3</v>
      </c>
      <c r="AJ7" s="65">
        <v>3.7999999999999999E-2</v>
      </c>
      <c r="AK7" s="122">
        <v>-1.5</v>
      </c>
      <c r="AL7" s="122">
        <v>-1</v>
      </c>
      <c r="AM7" s="122">
        <v>-0.3</v>
      </c>
      <c r="AN7" s="122">
        <v>8.1999999999999993</v>
      </c>
    </row>
    <row r="8" spans="1:44" x14ac:dyDescent="0.2">
      <c r="A8" s="3">
        <v>4</v>
      </c>
      <c r="B8" s="3" t="s">
        <v>523</v>
      </c>
      <c r="C8" s="3" t="s">
        <v>250</v>
      </c>
      <c r="D8" s="108">
        <v>61</v>
      </c>
      <c r="E8" s="108">
        <v>66</v>
      </c>
      <c r="F8" s="109">
        <v>195</v>
      </c>
      <c r="G8" s="4">
        <v>34752</v>
      </c>
      <c r="H8" s="113">
        <f t="shared" ca="1" si="0"/>
        <v>25.6</v>
      </c>
      <c r="I8" s="3" t="s">
        <v>524</v>
      </c>
      <c r="J8" s="3">
        <v>3</v>
      </c>
      <c r="K8" s="112">
        <v>2018</v>
      </c>
      <c r="L8" s="112">
        <v>34</v>
      </c>
      <c r="M8" s="3" t="s">
        <v>525</v>
      </c>
      <c r="N8" s="3" t="s">
        <v>521</v>
      </c>
      <c r="O8" s="179" t="s">
        <v>526</v>
      </c>
      <c r="P8" s="15">
        <v>1663861</v>
      </c>
      <c r="Q8" s="50">
        <v>2122822</v>
      </c>
      <c r="R8" s="12"/>
      <c r="S8" s="12"/>
      <c r="T8" s="12"/>
      <c r="W8" s="98" t="s">
        <v>291</v>
      </c>
      <c r="X8" s="69">
        <v>1</v>
      </c>
      <c r="Y8" s="69">
        <v>63</v>
      </c>
      <c r="Z8" s="65">
        <f>23/63</f>
        <v>0.36507936507936506</v>
      </c>
      <c r="AA8" s="122">
        <v>107.4</v>
      </c>
      <c r="AB8" s="122">
        <v>111.8</v>
      </c>
      <c r="AC8" s="122">
        <f t="shared" si="1"/>
        <v>-4.3999999999999915</v>
      </c>
      <c r="AD8" s="122">
        <v>35.1</v>
      </c>
      <c r="AE8" s="122">
        <v>15.8</v>
      </c>
      <c r="AF8" s="65">
        <v>0.53700000000000003</v>
      </c>
      <c r="AG8" s="122">
        <v>24.8</v>
      </c>
      <c r="AH8" s="122">
        <v>2.5</v>
      </c>
      <c r="AI8" s="122">
        <v>0.9</v>
      </c>
      <c r="AJ8" s="65">
        <v>7.2999999999999995E-2</v>
      </c>
      <c r="AK8" s="122">
        <v>2.6</v>
      </c>
      <c r="AL8" s="122">
        <v>-2.1</v>
      </c>
      <c r="AM8" s="122">
        <v>1.4</v>
      </c>
      <c r="AN8" s="122">
        <v>10.9</v>
      </c>
    </row>
    <row r="9" spans="1:44" x14ac:dyDescent="0.2">
      <c r="A9" s="3">
        <v>11</v>
      </c>
      <c r="B9" s="3" t="s">
        <v>527</v>
      </c>
      <c r="C9" s="3" t="s">
        <v>255</v>
      </c>
      <c r="D9" s="108">
        <v>65</v>
      </c>
      <c r="E9" s="108">
        <v>610</v>
      </c>
      <c r="F9" s="109">
        <v>205</v>
      </c>
      <c r="G9" s="4">
        <v>34970</v>
      </c>
      <c r="H9" s="113">
        <f t="shared" ca="1" si="0"/>
        <v>25</v>
      </c>
      <c r="I9" s="3" t="s">
        <v>528</v>
      </c>
      <c r="J9" s="3">
        <v>2</v>
      </c>
      <c r="K9" s="112">
        <v>2019</v>
      </c>
      <c r="L9" s="112">
        <v>36</v>
      </c>
      <c r="M9" s="3" t="s">
        <v>529</v>
      </c>
      <c r="N9" s="3" t="s">
        <v>521</v>
      </c>
      <c r="O9" s="3" t="s">
        <v>799</v>
      </c>
      <c r="P9" s="11">
        <v>1517981</v>
      </c>
      <c r="Q9" s="30">
        <v>1782621</v>
      </c>
      <c r="R9" s="50">
        <v>2228276</v>
      </c>
      <c r="S9" s="12"/>
      <c r="T9" s="12"/>
      <c r="W9" s="60" t="s">
        <v>530</v>
      </c>
      <c r="X9" s="69">
        <v>3</v>
      </c>
      <c r="Y9" s="69">
        <v>48</v>
      </c>
      <c r="Z9" s="65">
        <f>16/48</f>
        <v>0.33333333333333331</v>
      </c>
      <c r="AA9" s="122">
        <v>104.5</v>
      </c>
      <c r="AB9" s="122">
        <v>107.7</v>
      </c>
      <c r="AC9" s="122">
        <f t="shared" si="1"/>
        <v>-3.2000000000000028</v>
      </c>
      <c r="AD9" s="122">
        <v>18.8</v>
      </c>
      <c r="AE9" s="122">
        <v>10.5</v>
      </c>
      <c r="AF9" s="65">
        <v>0.505</v>
      </c>
      <c r="AG9" s="122">
        <v>13.6</v>
      </c>
      <c r="AH9" s="122">
        <v>0.2</v>
      </c>
      <c r="AI9" s="122">
        <v>0.8</v>
      </c>
      <c r="AJ9" s="65">
        <v>5.1999999999999998E-2</v>
      </c>
      <c r="AK9" s="122">
        <v>-3.1</v>
      </c>
      <c r="AL9" s="122">
        <v>1</v>
      </c>
      <c r="AM9" s="122">
        <v>0</v>
      </c>
      <c r="AN9" s="122">
        <v>7.6</v>
      </c>
    </row>
    <row r="10" spans="1:44" x14ac:dyDescent="0.2">
      <c r="A10" s="3">
        <v>10</v>
      </c>
      <c r="B10" s="3" t="s">
        <v>21</v>
      </c>
      <c r="C10" s="3" t="s">
        <v>255</v>
      </c>
      <c r="D10" s="108">
        <v>65</v>
      </c>
      <c r="E10" s="108">
        <v>610</v>
      </c>
      <c r="F10" s="109">
        <v>205</v>
      </c>
      <c r="G10" s="4">
        <v>34970</v>
      </c>
      <c r="H10" s="113">
        <f t="shared" ca="1" si="0"/>
        <v>25</v>
      </c>
      <c r="I10" s="3" t="s">
        <v>528</v>
      </c>
      <c r="J10" s="3">
        <v>2</v>
      </c>
      <c r="K10" s="112">
        <v>2019</v>
      </c>
      <c r="L10" s="112"/>
      <c r="M10" s="3" t="s">
        <v>531</v>
      </c>
      <c r="N10" s="3" t="s">
        <v>521</v>
      </c>
      <c r="O10" s="163" t="s">
        <v>464</v>
      </c>
      <c r="P10" s="15">
        <v>1517981</v>
      </c>
      <c r="Q10" s="15">
        <v>1782621</v>
      </c>
      <c r="R10" s="50">
        <v>2228276</v>
      </c>
      <c r="S10" s="12"/>
      <c r="T10" s="12"/>
      <c r="W10" s="60" t="s">
        <v>532</v>
      </c>
      <c r="X10" s="69">
        <v>2</v>
      </c>
      <c r="Y10" s="69">
        <v>18</v>
      </c>
      <c r="Z10" s="65">
        <f>6/18</f>
        <v>0.33333333333333331</v>
      </c>
      <c r="AA10" s="122">
        <v>103.2</v>
      </c>
      <c r="AB10" s="122">
        <v>102.4</v>
      </c>
      <c r="AC10" s="122">
        <f t="shared" si="1"/>
        <v>0.79999999999999716</v>
      </c>
      <c r="AD10" s="122">
        <v>17.600000000000001</v>
      </c>
      <c r="AE10" s="122">
        <v>12</v>
      </c>
      <c r="AF10" s="65">
        <v>0.59499999999999997</v>
      </c>
      <c r="AG10" s="122">
        <v>15</v>
      </c>
      <c r="AH10" s="122">
        <v>0.3</v>
      </c>
      <c r="AI10" s="122">
        <v>0.2</v>
      </c>
      <c r="AJ10" s="65">
        <v>8.1000000000000003E-2</v>
      </c>
      <c r="AK10" s="122">
        <v>-1.6</v>
      </c>
      <c r="AL10" s="122">
        <v>0.5</v>
      </c>
      <c r="AM10" s="122">
        <v>0.1</v>
      </c>
      <c r="AN10" s="122">
        <v>7.7</v>
      </c>
    </row>
    <row r="11" spans="1:44" x14ac:dyDescent="0.2">
      <c r="A11" s="3">
        <v>6</v>
      </c>
      <c r="B11" s="3" t="s">
        <v>22</v>
      </c>
      <c r="C11" s="3" t="s">
        <v>255</v>
      </c>
      <c r="D11" s="108">
        <v>610</v>
      </c>
      <c r="E11" s="108">
        <v>71</v>
      </c>
      <c r="F11" s="109">
        <v>205</v>
      </c>
      <c r="G11" s="4">
        <v>35826</v>
      </c>
      <c r="H11" s="113">
        <f t="shared" ca="1" si="0"/>
        <v>22.7</v>
      </c>
      <c r="I11" s="3" t="s">
        <v>533</v>
      </c>
      <c r="J11" s="3">
        <v>2</v>
      </c>
      <c r="K11" s="112">
        <v>2019</v>
      </c>
      <c r="L11" s="112">
        <v>52</v>
      </c>
      <c r="M11" s="3" t="s">
        <v>534</v>
      </c>
      <c r="N11" s="3" t="s">
        <v>521</v>
      </c>
      <c r="O11" s="163" t="s">
        <v>399</v>
      </c>
      <c r="P11" s="15">
        <v>1517981</v>
      </c>
      <c r="Q11" s="15">
        <v>1782621</v>
      </c>
      <c r="R11" s="49">
        <v>1930681</v>
      </c>
      <c r="S11" s="14">
        <v>2046307</v>
      </c>
      <c r="T11" s="3"/>
      <c r="W11" s="60" t="s">
        <v>535</v>
      </c>
      <c r="X11" s="69">
        <v>4</v>
      </c>
      <c r="Y11" s="69">
        <v>16</v>
      </c>
      <c r="Z11" s="65">
        <f>7/16</f>
        <v>0.4375</v>
      </c>
      <c r="AA11" s="122">
        <v>105.3</v>
      </c>
      <c r="AB11" s="122">
        <v>108.8</v>
      </c>
      <c r="AC11" s="122">
        <f t="shared" si="1"/>
        <v>-3.5</v>
      </c>
      <c r="AD11" s="122">
        <v>18.3</v>
      </c>
      <c r="AE11" s="122">
        <v>10.7</v>
      </c>
      <c r="AF11" s="65">
        <v>0.57399999999999995</v>
      </c>
      <c r="AG11" s="122">
        <v>13.3</v>
      </c>
      <c r="AH11" s="122">
        <v>0.2</v>
      </c>
      <c r="AI11" s="122">
        <v>0.2</v>
      </c>
      <c r="AJ11" s="65">
        <v>7.8E-2</v>
      </c>
      <c r="AK11" s="122">
        <v>-3.3</v>
      </c>
      <c r="AL11" s="122">
        <v>0</v>
      </c>
      <c r="AM11" s="122">
        <v>-0.1</v>
      </c>
      <c r="AN11" s="122">
        <v>7.5</v>
      </c>
    </row>
    <row r="12" spans="1:44" x14ac:dyDescent="0.2">
      <c r="A12" s="3">
        <v>26</v>
      </c>
      <c r="B12" s="3" t="s">
        <v>539</v>
      </c>
      <c r="C12" s="3" t="s">
        <v>236</v>
      </c>
      <c r="D12" s="108">
        <v>69</v>
      </c>
      <c r="E12" s="108">
        <v>75</v>
      </c>
      <c r="F12" s="109">
        <v>225</v>
      </c>
      <c r="G12" s="4">
        <v>35500</v>
      </c>
      <c r="H12" s="113">
        <f ca="1">ROUNDDOWN(YEARFRAC($G$23,G12),1)</f>
        <v>23.6</v>
      </c>
      <c r="I12" s="3" t="s">
        <v>498</v>
      </c>
      <c r="J12" s="3">
        <v>3</v>
      </c>
      <c r="K12" s="112">
        <v>2018</v>
      </c>
      <c r="L12" s="112">
        <v>56</v>
      </c>
      <c r="M12" s="3" t="s">
        <v>473</v>
      </c>
      <c r="N12" s="3" t="s">
        <v>295</v>
      </c>
      <c r="O12" s="163" t="s">
        <v>1166</v>
      </c>
      <c r="P12" s="55" t="s">
        <v>295</v>
      </c>
      <c r="Q12" s="53"/>
      <c r="R12" s="12"/>
      <c r="S12" s="12"/>
      <c r="T12" s="12"/>
      <c r="X12" s="69"/>
      <c r="Y12" s="69"/>
      <c r="Z12" s="65"/>
      <c r="AA12" s="122"/>
      <c r="AB12" s="122"/>
      <c r="AC12" s="122"/>
      <c r="AD12" s="122"/>
      <c r="AE12" s="122"/>
      <c r="AF12" s="65"/>
      <c r="AG12" s="122"/>
      <c r="AH12" s="122"/>
      <c r="AI12" s="122"/>
      <c r="AJ12" s="65"/>
      <c r="AK12" s="122"/>
      <c r="AL12" s="122"/>
      <c r="AM12" s="122"/>
      <c r="AN12" s="122"/>
    </row>
    <row r="13" spans="1:44" x14ac:dyDescent="0.2">
      <c r="A13" s="3"/>
      <c r="B13" s="3" t="s">
        <v>297</v>
      </c>
      <c r="C13" s="3"/>
      <c r="D13" s="108"/>
      <c r="E13" s="108"/>
      <c r="F13" s="109"/>
      <c r="G13" s="4"/>
      <c r="H13" s="113"/>
      <c r="I13" s="3"/>
      <c r="J13" s="3"/>
      <c r="K13" s="112"/>
      <c r="L13" s="112"/>
      <c r="M13" s="3"/>
      <c r="N13" s="3"/>
      <c r="O13" s="163"/>
      <c r="P13" s="55"/>
      <c r="Q13" s="53"/>
      <c r="R13" s="12"/>
      <c r="S13" s="12"/>
      <c r="T13" s="12"/>
      <c r="X13" s="69"/>
      <c r="Y13" s="69"/>
      <c r="Z13" s="65"/>
      <c r="AA13" s="122"/>
      <c r="AB13" s="122"/>
      <c r="AC13" s="122"/>
      <c r="AD13" s="122"/>
      <c r="AE13" s="122"/>
      <c r="AF13" s="65"/>
      <c r="AG13" s="122"/>
      <c r="AH13" s="122"/>
      <c r="AI13" s="122"/>
      <c r="AJ13" s="65"/>
      <c r="AK13" s="122"/>
      <c r="AL13" s="122"/>
      <c r="AM13" s="122"/>
      <c r="AN13" s="122"/>
    </row>
    <row r="14" spans="1:44" x14ac:dyDescent="0.2">
      <c r="B14" s="3" t="s">
        <v>1398</v>
      </c>
      <c r="D14" s="145"/>
      <c r="E14" s="145"/>
      <c r="F14" s="146"/>
      <c r="H14" s="178"/>
      <c r="K14" s="78"/>
      <c r="L14" s="16"/>
      <c r="M14" s="16"/>
      <c r="N14" s="16"/>
      <c r="O14" s="183"/>
      <c r="P14" s="11">
        <v>7839960</v>
      </c>
      <c r="Q14" s="11">
        <v>8231760</v>
      </c>
      <c r="R14" s="51">
        <v>8623920</v>
      </c>
      <c r="S14" s="51">
        <f>R14*1.264</f>
        <v>10900634.880000001</v>
      </c>
      <c r="T14" s="50">
        <f>S14*3</f>
        <v>32701904.640000001</v>
      </c>
      <c r="X14" s="69"/>
      <c r="Y14" s="69"/>
      <c r="Z14" s="65"/>
      <c r="AA14" s="122"/>
      <c r="AB14" s="122"/>
      <c r="AC14" s="122"/>
      <c r="AD14" s="122"/>
      <c r="AE14" s="122"/>
      <c r="AF14" s="65"/>
      <c r="AG14" s="122"/>
      <c r="AH14" s="122"/>
      <c r="AI14" s="122"/>
      <c r="AJ14" s="65"/>
      <c r="AK14" s="122"/>
      <c r="AL14" s="122"/>
      <c r="AM14" s="122"/>
      <c r="AN14" s="122"/>
    </row>
    <row r="15" spans="1:44" x14ac:dyDescent="0.2">
      <c r="B15" s="3" t="s">
        <v>541</v>
      </c>
      <c r="D15" s="145"/>
      <c r="E15" s="145"/>
      <c r="F15" s="146"/>
      <c r="H15" s="178"/>
      <c r="K15" s="78"/>
      <c r="L15" s="120"/>
      <c r="M15" s="78"/>
      <c r="N15" s="78"/>
      <c r="O15" s="78"/>
      <c r="P15" s="189">
        <v>898310</v>
      </c>
      <c r="X15" s="69"/>
      <c r="Y15" s="69"/>
      <c r="Z15" s="65"/>
      <c r="AA15" s="122"/>
      <c r="AB15" s="122"/>
      <c r="AC15" s="122"/>
      <c r="AD15" s="122"/>
      <c r="AE15" s="122"/>
      <c r="AF15" s="65"/>
      <c r="AG15" s="122"/>
      <c r="AH15" s="122"/>
      <c r="AI15" s="122"/>
      <c r="AJ15" s="65"/>
      <c r="AK15" s="122"/>
      <c r="AL15" s="122"/>
      <c r="AM15" s="122"/>
      <c r="AN15" s="122"/>
    </row>
    <row r="16" spans="1:44" x14ac:dyDescent="0.2">
      <c r="B16" s="3" t="s">
        <v>542</v>
      </c>
      <c r="D16" s="145"/>
      <c r="E16" s="145"/>
      <c r="F16" s="146"/>
      <c r="H16" s="178"/>
      <c r="K16" s="78"/>
      <c r="L16" s="120"/>
      <c r="M16" s="78"/>
      <c r="N16" s="78"/>
      <c r="O16" s="78"/>
      <c r="P16" s="189">
        <v>898310</v>
      </c>
      <c r="X16" s="69"/>
      <c r="Y16" s="69"/>
      <c r="Z16" s="65"/>
      <c r="AA16" s="122"/>
      <c r="AB16" s="122"/>
      <c r="AC16" s="122"/>
      <c r="AD16" s="122"/>
      <c r="AE16" s="122"/>
      <c r="AF16" s="65"/>
      <c r="AG16" s="122"/>
      <c r="AH16" s="122"/>
      <c r="AI16" s="122"/>
      <c r="AJ16" s="65"/>
      <c r="AK16" s="122"/>
      <c r="AL16" s="122"/>
      <c r="AM16" s="122"/>
      <c r="AN16" s="122"/>
    </row>
    <row r="17" spans="1:40" x14ac:dyDescent="0.2">
      <c r="B17" s="3"/>
      <c r="D17" s="145"/>
      <c r="E17" s="145"/>
      <c r="F17" s="146"/>
      <c r="G17" s="62"/>
      <c r="H17" s="113"/>
      <c r="K17" s="78"/>
      <c r="L17" s="190"/>
      <c r="M17" s="78"/>
      <c r="N17" s="3"/>
      <c r="O17" s="22"/>
      <c r="P17" s="184"/>
      <c r="X17" s="69"/>
      <c r="Y17" s="69"/>
      <c r="Z17" s="65"/>
      <c r="AA17" s="122"/>
      <c r="AB17" s="122"/>
      <c r="AC17" s="122"/>
      <c r="AD17" s="122"/>
      <c r="AE17" s="122"/>
      <c r="AF17" s="65"/>
      <c r="AG17" s="122"/>
      <c r="AH17" s="122"/>
      <c r="AI17" s="122"/>
      <c r="AJ17" s="65"/>
      <c r="AK17" s="122"/>
      <c r="AL17" s="122"/>
      <c r="AM17" s="122"/>
      <c r="AN17" s="122"/>
    </row>
    <row r="18" spans="1:40" x14ac:dyDescent="0.2">
      <c r="A18" s="3">
        <v>8</v>
      </c>
      <c r="B18" s="3" t="s">
        <v>18</v>
      </c>
      <c r="C18" s="3" t="s">
        <v>236</v>
      </c>
      <c r="D18" s="108">
        <v>68</v>
      </c>
      <c r="E18" s="108">
        <v>77</v>
      </c>
      <c r="F18" s="109">
        <v>255</v>
      </c>
      <c r="G18" s="4">
        <v>33844</v>
      </c>
      <c r="H18" s="113">
        <f ca="1">ROUNDDOWN(YEARFRAC($G$23,G18),1)</f>
        <v>28.1</v>
      </c>
      <c r="I18" s="3" t="s">
        <v>501</v>
      </c>
      <c r="J18" s="3">
        <v>10</v>
      </c>
      <c r="K18" s="112">
        <v>2011</v>
      </c>
      <c r="L18" s="112">
        <v>7</v>
      </c>
      <c r="M18" s="3" t="s">
        <v>502</v>
      </c>
      <c r="N18" s="3"/>
      <c r="O18" s="3"/>
      <c r="P18" s="14">
        <v>25500000</v>
      </c>
      <c r="Q18" s="12"/>
      <c r="R18" s="12"/>
      <c r="S18" s="12"/>
      <c r="T18" s="12"/>
      <c r="W18" s="60" t="s">
        <v>503</v>
      </c>
      <c r="X18" s="69">
        <v>5</v>
      </c>
      <c r="Y18" s="69">
        <v>53</v>
      </c>
      <c r="Z18" s="65">
        <f>18/53</f>
        <v>0.33962264150943394</v>
      </c>
      <c r="AA18" s="122">
        <v>104.1</v>
      </c>
      <c r="AB18" s="122">
        <v>110.8</v>
      </c>
      <c r="AC18" s="122">
        <f t="shared" ref="AC18:AC20" si="2">AA18-AB18</f>
        <v>-6.7000000000000028</v>
      </c>
      <c r="AD18" s="122">
        <v>19.399999999999999</v>
      </c>
      <c r="AE18" s="122">
        <v>16.100000000000001</v>
      </c>
      <c r="AF18" s="65">
        <v>0.56999999999999995</v>
      </c>
      <c r="AG18" s="122">
        <v>16.8</v>
      </c>
      <c r="AH18" s="122">
        <v>1.5</v>
      </c>
      <c r="AI18" s="122">
        <v>0.9</v>
      </c>
      <c r="AJ18" s="65">
        <v>0.113</v>
      </c>
      <c r="AK18" s="122">
        <v>-1.8</v>
      </c>
      <c r="AL18" s="122">
        <v>-0.7</v>
      </c>
      <c r="AM18" s="122">
        <v>-0.1</v>
      </c>
      <c r="AN18" s="122">
        <v>9.6999999999999993</v>
      </c>
    </row>
    <row r="19" spans="1:40" x14ac:dyDescent="0.2">
      <c r="A19" s="3">
        <v>9</v>
      </c>
      <c r="B19" s="3" t="s">
        <v>19</v>
      </c>
      <c r="C19" s="3" t="s">
        <v>236</v>
      </c>
      <c r="D19" s="108">
        <v>611</v>
      </c>
      <c r="E19" s="108">
        <v>72</v>
      </c>
      <c r="F19" s="109">
        <v>250</v>
      </c>
      <c r="G19" s="4">
        <v>34481</v>
      </c>
      <c r="H19" s="113">
        <f ca="1">ROUNDDOWN(YEARFRAC($G$23,G19),1)</f>
        <v>26.4</v>
      </c>
      <c r="I19" s="3" t="s">
        <v>516</v>
      </c>
      <c r="J19" s="3">
        <v>5</v>
      </c>
      <c r="K19" s="112">
        <v>2015</v>
      </c>
      <c r="L19" s="112">
        <v>35</v>
      </c>
      <c r="M19" s="3" t="s">
        <v>517</v>
      </c>
      <c r="N19" s="3"/>
      <c r="O19" s="3"/>
      <c r="P19" s="14">
        <v>1707576</v>
      </c>
      <c r="Q19" s="12"/>
      <c r="R19" s="12"/>
      <c r="S19" s="12"/>
      <c r="T19" s="12"/>
      <c r="W19" s="98" t="s">
        <v>240</v>
      </c>
      <c r="X19" s="69">
        <v>5</v>
      </c>
      <c r="Y19" s="69">
        <v>31</v>
      </c>
      <c r="Z19" s="65">
        <f>7/31</f>
        <v>0.22580645161290322</v>
      </c>
      <c r="AA19" s="122">
        <v>102.2</v>
      </c>
      <c r="AB19" s="122">
        <v>104.8</v>
      </c>
      <c r="AC19" s="122">
        <f t="shared" si="2"/>
        <v>-2.5999999999999943</v>
      </c>
      <c r="AD19" s="122">
        <v>23</v>
      </c>
      <c r="AE19" s="122">
        <v>19.2</v>
      </c>
      <c r="AF19" s="65">
        <v>0.57599999999999996</v>
      </c>
      <c r="AG19" s="122">
        <v>22.9</v>
      </c>
      <c r="AH19" s="122">
        <v>0.4</v>
      </c>
      <c r="AI19" s="122">
        <v>0.4</v>
      </c>
      <c r="AJ19" s="65">
        <v>0.107</v>
      </c>
      <c r="AK19" s="122">
        <v>0.6</v>
      </c>
      <c r="AL19" s="122">
        <v>-0.5</v>
      </c>
      <c r="AM19" s="122">
        <v>0.2</v>
      </c>
      <c r="AN19" s="122">
        <v>14.4</v>
      </c>
    </row>
    <row r="20" spans="1:40" x14ac:dyDescent="0.2">
      <c r="A20" s="3">
        <v>7</v>
      </c>
      <c r="B20" s="3" t="s">
        <v>20</v>
      </c>
      <c r="C20" s="3" t="s">
        <v>255</v>
      </c>
      <c r="D20" s="108">
        <v>66</v>
      </c>
      <c r="E20" s="108">
        <v>610</v>
      </c>
      <c r="F20" s="109">
        <v>221</v>
      </c>
      <c r="G20" s="4">
        <v>34941</v>
      </c>
      <c r="H20" s="113">
        <f ca="1">ROUNDDOWN(YEARFRAC($G$23,G20),1)</f>
        <v>25.1</v>
      </c>
      <c r="I20" s="3" t="s">
        <v>519</v>
      </c>
      <c r="J20" s="3">
        <v>4</v>
      </c>
      <c r="K20" s="112">
        <v>2017</v>
      </c>
      <c r="L20" s="112">
        <v>40</v>
      </c>
      <c r="M20" s="3" t="s">
        <v>520</v>
      </c>
      <c r="N20" s="3"/>
      <c r="O20" s="3"/>
      <c r="P20" s="50">
        <v>2023150</v>
      </c>
      <c r="Q20" s="12"/>
      <c r="R20" s="12"/>
      <c r="S20" s="12"/>
      <c r="T20" s="12"/>
      <c r="W20" s="60" t="s">
        <v>522</v>
      </c>
      <c r="X20" s="69">
        <v>3</v>
      </c>
      <c r="Y20" s="69">
        <v>39</v>
      </c>
      <c r="Z20" s="65">
        <f>10/39</f>
        <v>0.25641025641025639</v>
      </c>
      <c r="AA20" s="122">
        <v>100.9</v>
      </c>
      <c r="AB20" s="122">
        <v>109.1</v>
      </c>
      <c r="AC20" s="122">
        <f t="shared" si="2"/>
        <v>-8.1999999999999886</v>
      </c>
      <c r="AD20" s="122">
        <v>17.600000000000001</v>
      </c>
      <c r="AE20" s="122">
        <v>6.1</v>
      </c>
      <c r="AF20" s="65">
        <v>0.41899999999999998</v>
      </c>
      <c r="AG20" s="122">
        <v>19.5</v>
      </c>
      <c r="AH20" s="122">
        <v>-1.2</v>
      </c>
      <c r="AI20" s="122">
        <v>0.4</v>
      </c>
      <c r="AJ20" s="65">
        <v>-5.2999999999999999E-2</v>
      </c>
      <c r="AK20" s="122">
        <v>-5.9</v>
      </c>
      <c r="AL20" s="122">
        <v>-0.9</v>
      </c>
      <c r="AM20" s="122">
        <v>-0.8</v>
      </c>
      <c r="AN20" s="122">
        <v>4.9000000000000004</v>
      </c>
    </row>
    <row r="21" spans="1:40" x14ac:dyDescent="0.2">
      <c r="A21" s="3">
        <v>23</v>
      </c>
      <c r="B21" s="3" t="s">
        <v>536</v>
      </c>
      <c r="C21" s="3" t="s">
        <v>255</v>
      </c>
      <c r="D21" s="108">
        <v>65</v>
      </c>
      <c r="E21" s="108">
        <v>66</v>
      </c>
      <c r="F21" s="109">
        <v>180</v>
      </c>
      <c r="G21" s="4">
        <v>35615</v>
      </c>
      <c r="H21" s="113">
        <f ca="1">ROUNDDOWN(YEARFRAC($G$23,G21),1)</f>
        <v>23.3</v>
      </c>
      <c r="I21" s="3" t="s">
        <v>537</v>
      </c>
      <c r="J21" s="3">
        <v>4</v>
      </c>
      <c r="K21" s="112">
        <v>2017</v>
      </c>
      <c r="L21" s="118"/>
      <c r="M21" s="3" t="s">
        <v>538</v>
      </c>
      <c r="N21" s="3"/>
      <c r="O21" s="3"/>
      <c r="P21" s="50">
        <v>1445697</v>
      </c>
      <c r="Q21" s="12"/>
      <c r="R21" s="12"/>
      <c r="S21" s="12"/>
      <c r="T21" s="12"/>
      <c r="X21" s="69"/>
      <c r="Y21" s="69"/>
      <c r="Z21" s="65"/>
      <c r="AA21" s="122"/>
      <c r="AB21" s="122"/>
      <c r="AC21" s="122"/>
      <c r="AD21" s="122"/>
      <c r="AE21" s="122"/>
      <c r="AF21" s="65"/>
      <c r="AG21" s="122"/>
      <c r="AH21" s="122"/>
      <c r="AI21" s="122"/>
      <c r="AJ21" s="65"/>
      <c r="AK21" s="122"/>
      <c r="AL21" s="122"/>
      <c r="AM21" s="122"/>
      <c r="AN21" s="122"/>
    </row>
    <row r="22" spans="1:40" x14ac:dyDescent="0.2">
      <c r="A22" s="3"/>
      <c r="B22" s="3"/>
      <c r="C22" s="3"/>
      <c r="D22" s="108"/>
      <c r="E22" s="108"/>
      <c r="F22" s="109"/>
      <c r="G22" s="4"/>
      <c r="H22" s="113"/>
      <c r="I22" s="3"/>
      <c r="J22" s="3"/>
      <c r="K22" s="112"/>
      <c r="L22" s="112"/>
      <c r="M22" s="3"/>
      <c r="N22" s="3"/>
      <c r="O22" s="3"/>
      <c r="P22" s="16"/>
      <c r="Q22" s="12"/>
      <c r="R22" s="12"/>
      <c r="S22" s="12"/>
      <c r="T22" s="12"/>
      <c r="X22" s="69"/>
      <c r="Y22" s="69"/>
      <c r="Z22" s="65"/>
      <c r="AA22" s="122"/>
      <c r="AB22" s="122"/>
      <c r="AC22" s="122"/>
      <c r="AD22" s="122"/>
      <c r="AE22" s="122"/>
      <c r="AF22" s="65"/>
      <c r="AG22" s="122"/>
      <c r="AH22" s="122"/>
      <c r="AI22" s="122"/>
      <c r="AJ22" s="65"/>
      <c r="AK22" s="122"/>
      <c r="AL22" s="122"/>
      <c r="AM22" s="122"/>
      <c r="AN22" s="122"/>
    </row>
    <row r="23" spans="1:40" x14ac:dyDescent="0.2">
      <c r="E23" s="62"/>
      <c r="F23" s="63"/>
      <c r="G23" s="62">
        <f ca="1">TODAY()</f>
        <v>44128</v>
      </c>
      <c r="H23" s="63">
        <f ca="1">AVERAGE(H2:H11)</f>
        <v>25.2</v>
      </c>
      <c r="J23" s="133">
        <f>AVERAGE(J2:J11)</f>
        <v>4.5</v>
      </c>
      <c r="K23" s="121"/>
      <c r="L23" s="120"/>
      <c r="M23" s="78"/>
      <c r="N23" s="3"/>
      <c r="O23" s="22"/>
      <c r="P23" s="61"/>
      <c r="X23" s="69"/>
      <c r="Y23" s="69"/>
      <c r="Z23" s="65"/>
      <c r="AA23" s="122"/>
      <c r="AB23" s="122"/>
      <c r="AC23" s="122"/>
      <c r="AD23" s="122"/>
      <c r="AE23" s="122"/>
      <c r="AF23" s="65"/>
      <c r="AG23" s="122"/>
      <c r="AH23" s="122"/>
      <c r="AI23" s="122"/>
      <c r="AJ23" s="65"/>
      <c r="AK23" s="122"/>
      <c r="AL23" s="122"/>
      <c r="AM23" s="122"/>
      <c r="AN23" s="122"/>
    </row>
    <row r="24" spans="1:40" x14ac:dyDescent="0.2">
      <c r="E24" s="62"/>
      <c r="F24" s="63"/>
      <c r="G24" s="62"/>
      <c r="H24" s="63">
        <f ca="1">MEDIAN(H2:H11)</f>
        <v>25</v>
      </c>
      <c r="J24" s="133">
        <f>MEDIAN(J2:J11)</f>
        <v>3</v>
      </c>
      <c r="K24" s="121"/>
      <c r="L24" s="120"/>
      <c r="M24" s="78"/>
      <c r="N24" s="3"/>
      <c r="O24" s="22"/>
      <c r="P24" s="61"/>
      <c r="X24" s="69"/>
      <c r="Y24" s="69"/>
      <c r="Z24" s="65"/>
      <c r="AA24" s="122"/>
      <c r="AB24" s="122"/>
      <c r="AC24" s="122"/>
      <c r="AD24" s="122"/>
      <c r="AE24" s="122"/>
      <c r="AF24" s="65"/>
      <c r="AG24" s="122"/>
      <c r="AH24" s="122"/>
      <c r="AI24" s="122"/>
      <c r="AJ24" s="65"/>
      <c r="AK24" s="122"/>
      <c r="AL24" s="122"/>
      <c r="AM24" s="122"/>
      <c r="AN24" s="122"/>
    </row>
    <row r="25" spans="1:40" x14ac:dyDescent="0.2">
      <c r="B25" s="71" t="s">
        <v>2224</v>
      </c>
      <c r="J25" s="3"/>
      <c r="K25" s="78"/>
      <c r="L25" s="120"/>
      <c r="M25" s="78"/>
      <c r="N25" s="78"/>
      <c r="O25" s="78"/>
      <c r="P25" s="61">
        <f>P3+P4+P14+P5+P6+P7+P9</f>
        <v>56977278</v>
      </c>
      <c r="R25" s="61"/>
      <c r="X25" s="69"/>
      <c r="Y25" s="69"/>
      <c r="Z25" s="65"/>
      <c r="AA25" s="122"/>
      <c r="AB25" s="122"/>
      <c r="AC25" s="122"/>
      <c r="AD25" s="122"/>
      <c r="AE25" s="122"/>
      <c r="AF25" s="65"/>
      <c r="AG25" s="122"/>
      <c r="AH25" s="122"/>
      <c r="AI25" s="122"/>
      <c r="AJ25" s="65"/>
      <c r="AK25" s="122"/>
      <c r="AL25" s="122"/>
      <c r="AM25" s="122"/>
      <c r="AN25" s="122"/>
    </row>
    <row r="26" spans="1:40" x14ac:dyDescent="0.2">
      <c r="B26" s="60" t="s">
        <v>2085</v>
      </c>
      <c r="C26" s="60">
        <v>7</v>
      </c>
      <c r="J26" s="3"/>
      <c r="K26" s="78"/>
      <c r="L26" s="120"/>
      <c r="M26" s="78"/>
      <c r="N26" s="78"/>
      <c r="O26" s="121"/>
      <c r="P26" s="61">
        <f>P2+P3+P4+P14+P5+P6+P7+P9</f>
        <v>84107712</v>
      </c>
      <c r="AA26" s="122"/>
      <c r="AB26" s="122"/>
      <c r="AC26" s="122"/>
      <c r="AD26" s="122"/>
      <c r="AE26" s="122"/>
      <c r="AF26" s="65"/>
      <c r="AG26" s="122"/>
      <c r="AH26" s="122"/>
      <c r="AI26" s="122"/>
      <c r="AJ26" s="65"/>
      <c r="AK26" s="122"/>
      <c r="AL26" s="122"/>
      <c r="AM26" s="122"/>
      <c r="AN26" s="122"/>
    </row>
    <row r="27" spans="1:40" x14ac:dyDescent="0.2">
      <c r="B27" s="3" t="s">
        <v>2088</v>
      </c>
      <c r="C27" s="60">
        <v>4</v>
      </c>
      <c r="J27" s="3"/>
      <c r="K27" s="78"/>
      <c r="L27" s="78"/>
      <c r="M27" s="78"/>
      <c r="N27" s="78"/>
      <c r="O27" s="78"/>
      <c r="P27" s="123">
        <f>P2+P3+P4+P5+P6+P7+P8+P9+P10+P11+P14</f>
        <v>88807535</v>
      </c>
      <c r="AA27" s="122"/>
      <c r="AB27" s="122"/>
      <c r="AC27" s="122"/>
      <c r="AD27" s="122"/>
      <c r="AE27" s="122"/>
      <c r="AF27" s="65"/>
      <c r="AG27" s="122"/>
      <c r="AH27" s="122"/>
      <c r="AI27" s="122"/>
      <c r="AJ27" s="65"/>
      <c r="AK27" s="122"/>
      <c r="AL27" s="122"/>
      <c r="AM27" s="122"/>
      <c r="AN27" s="122"/>
    </row>
    <row r="28" spans="1:40" x14ac:dyDescent="0.2">
      <c r="B28" s="60" t="s">
        <v>2086</v>
      </c>
      <c r="C28" s="60">
        <v>3</v>
      </c>
      <c r="J28" s="3"/>
      <c r="K28" s="78"/>
      <c r="L28" s="78"/>
      <c r="M28" s="78"/>
      <c r="N28" s="78"/>
      <c r="O28" s="78"/>
      <c r="P28" s="123"/>
      <c r="AA28" s="122"/>
      <c r="AB28" s="122"/>
      <c r="AC28" s="122"/>
      <c r="AD28" s="122"/>
      <c r="AE28" s="122"/>
      <c r="AF28" s="65"/>
      <c r="AG28" s="122"/>
      <c r="AH28" s="122"/>
      <c r="AI28" s="122"/>
      <c r="AJ28" s="65"/>
      <c r="AK28" s="122"/>
      <c r="AL28" s="122"/>
      <c r="AM28" s="122"/>
      <c r="AN28" s="122"/>
    </row>
    <row r="29" spans="1:40" x14ac:dyDescent="0.2">
      <c r="B29" s="60" t="s">
        <v>2219</v>
      </c>
      <c r="C29" s="60" t="s">
        <v>2376</v>
      </c>
      <c r="J29" s="3"/>
      <c r="K29" s="78"/>
      <c r="L29" s="78"/>
      <c r="M29" s="78"/>
      <c r="N29" s="78"/>
      <c r="O29" s="3" t="s">
        <v>300</v>
      </c>
      <c r="P29" s="61">
        <v>109140000</v>
      </c>
      <c r="AA29" s="122"/>
      <c r="AB29" s="122"/>
      <c r="AC29" s="122"/>
      <c r="AD29" s="122"/>
      <c r="AE29" s="122"/>
      <c r="AF29" s="65"/>
      <c r="AG29" s="122"/>
      <c r="AH29" s="122"/>
      <c r="AI29" s="122"/>
      <c r="AJ29" s="65"/>
      <c r="AK29" s="122"/>
      <c r="AL29" s="122"/>
      <c r="AM29" s="122"/>
      <c r="AN29" s="122"/>
    </row>
    <row r="30" spans="1:40" x14ac:dyDescent="0.2">
      <c r="B30" s="60" t="s">
        <v>301</v>
      </c>
      <c r="C30" s="61">
        <v>0</v>
      </c>
      <c r="J30" s="3"/>
      <c r="K30" s="58"/>
      <c r="L30" s="78"/>
      <c r="M30" s="78"/>
      <c r="N30" s="78"/>
      <c r="O30" s="22" t="s">
        <v>302</v>
      </c>
      <c r="P30" s="61">
        <v>132627000</v>
      </c>
      <c r="AA30" s="122"/>
      <c r="AB30" s="122"/>
      <c r="AC30" s="122"/>
      <c r="AD30" s="122"/>
      <c r="AE30" s="122"/>
      <c r="AF30" s="65"/>
      <c r="AG30" s="122"/>
      <c r="AH30" s="122"/>
      <c r="AI30" s="122"/>
      <c r="AJ30" s="65"/>
      <c r="AK30" s="122"/>
      <c r="AL30" s="122"/>
      <c r="AM30" s="122"/>
      <c r="AN30" s="122"/>
    </row>
    <row r="31" spans="1:40" x14ac:dyDescent="0.2">
      <c r="B31" s="60" t="s">
        <v>303</v>
      </c>
      <c r="C31" s="61">
        <v>0</v>
      </c>
      <c r="K31" s="58"/>
      <c r="L31" s="78"/>
      <c r="M31" s="78"/>
      <c r="N31" s="3"/>
      <c r="O31" s="3"/>
      <c r="P31" s="61"/>
      <c r="AG31" s="122"/>
      <c r="AH31" s="122"/>
      <c r="AI31" s="122"/>
      <c r="AJ31" s="65"/>
      <c r="AK31" s="122"/>
      <c r="AL31" s="122"/>
      <c r="AM31" s="122"/>
      <c r="AN31" s="122"/>
    </row>
    <row r="32" spans="1:40" x14ac:dyDescent="0.2">
      <c r="C32" s="61"/>
      <c r="K32" s="58"/>
      <c r="L32" s="78"/>
      <c r="M32" s="78"/>
      <c r="N32" s="22"/>
      <c r="O32" s="22"/>
      <c r="P32" s="61"/>
      <c r="S32" s="3"/>
      <c r="AJ32" s="65"/>
      <c r="AK32" s="122"/>
      <c r="AL32" s="122"/>
      <c r="AM32" s="122"/>
      <c r="AN32" s="122"/>
    </row>
    <row r="33" spans="2:40" x14ac:dyDescent="0.2">
      <c r="B33" s="71" t="s">
        <v>2084</v>
      </c>
      <c r="L33" s="78"/>
      <c r="M33" s="78"/>
      <c r="N33" s="22"/>
      <c r="O33" s="22"/>
      <c r="P33" s="61"/>
      <c r="S33" s="3"/>
      <c r="AJ33" s="65"/>
      <c r="AK33" s="122"/>
      <c r="AL33" s="122"/>
      <c r="AM33" s="122"/>
      <c r="AN33" s="122"/>
    </row>
    <row r="34" spans="2:40" x14ac:dyDescent="0.2">
      <c r="B34" s="3" t="s">
        <v>304</v>
      </c>
      <c r="C34" s="41">
        <f>23/65</f>
        <v>0.35384615384615387</v>
      </c>
      <c r="D34" s="60" t="s">
        <v>549</v>
      </c>
      <c r="N34" s="3"/>
      <c r="O34" s="22"/>
      <c r="P34" s="61"/>
      <c r="S34" s="3"/>
    </row>
    <row r="35" spans="2:40" x14ac:dyDescent="0.2">
      <c r="B35" s="3" t="s">
        <v>306</v>
      </c>
      <c r="C35" s="113">
        <v>105.9</v>
      </c>
      <c r="D35" s="3" t="s">
        <v>2171</v>
      </c>
      <c r="O35" s="3"/>
      <c r="S35" s="3"/>
    </row>
    <row r="36" spans="2:40" x14ac:dyDescent="0.2">
      <c r="B36" s="3" t="s">
        <v>307</v>
      </c>
      <c r="C36" s="113">
        <v>112.8</v>
      </c>
      <c r="D36" s="3" t="s">
        <v>1881</v>
      </c>
    </row>
    <row r="37" spans="2:40" x14ac:dyDescent="0.2">
      <c r="B37" s="3" t="s">
        <v>308</v>
      </c>
      <c r="C37" s="113">
        <v>-7</v>
      </c>
      <c r="D37" s="3" t="s">
        <v>2179</v>
      </c>
    </row>
    <row r="38" spans="2:40" x14ac:dyDescent="0.2">
      <c r="B38" s="3" t="s">
        <v>309</v>
      </c>
      <c r="C38" s="36">
        <v>96.24</v>
      </c>
      <c r="D38" s="3" t="s">
        <v>2233</v>
      </c>
    </row>
    <row r="40" spans="2:40" x14ac:dyDescent="0.2">
      <c r="B40" s="3" t="s">
        <v>310</v>
      </c>
    </row>
    <row r="41" spans="2:40" x14ac:dyDescent="0.2">
      <c r="B41" s="3" t="s">
        <v>545</v>
      </c>
    </row>
    <row r="42" spans="2:40" x14ac:dyDescent="0.2">
      <c r="B42" s="3" t="s">
        <v>546</v>
      </c>
    </row>
    <row r="43" spans="2:40" x14ac:dyDescent="0.2">
      <c r="B43" s="12"/>
    </row>
    <row r="44" spans="2:40" x14ac:dyDescent="0.2">
      <c r="B44" s="3" t="s">
        <v>318</v>
      </c>
    </row>
    <row r="45" spans="2:40" x14ac:dyDescent="0.2">
      <c r="B45" s="3" t="s">
        <v>547</v>
      </c>
    </row>
    <row r="46" spans="2:40" x14ac:dyDescent="0.2">
      <c r="B46" s="3" t="s">
        <v>548</v>
      </c>
    </row>
    <row r="47" spans="2:40" x14ac:dyDescent="0.2">
      <c r="B47" s="3"/>
    </row>
    <row r="48" spans="2:40" x14ac:dyDescent="0.2">
      <c r="B48" s="5" t="s">
        <v>2228</v>
      </c>
    </row>
    <row r="49" spans="2:10" x14ac:dyDescent="0.2">
      <c r="B49" s="39" t="s">
        <v>322</v>
      </c>
      <c r="C49" s="3">
        <v>23</v>
      </c>
      <c r="D49" s="3">
        <v>42</v>
      </c>
      <c r="E49" s="3" t="s">
        <v>549</v>
      </c>
      <c r="F49" s="3"/>
      <c r="G49" s="3" t="s">
        <v>544</v>
      </c>
      <c r="H49" s="3"/>
      <c r="I49" s="148"/>
      <c r="J49" s="148" t="s">
        <v>324</v>
      </c>
    </row>
    <row r="50" spans="2:10" x14ac:dyDescent="0.2">
      <c r="B50" s="40" t="s">
        <v>325</v>
      </c>
      <c r="C50" s="3">
        <v>39</v>
      </c>
      <c r="D50" s="3">
        <v>43</v>
      </c>
      <c r="E50" s="3" t="s">
        <v>550</v>
      </c>
      <c r="F50" s="3"/>
      <c r="G50" s="3" t="s">
        <v>544</v>
      </c>
      <c r="H50" s="12"/>
      <c r="I50" s="148"/>
      <c r="J50" s="148" t="s">
        <v>324</v>
      </c>
    </row>
    <row r="51" spans="2:10" x14ac:dyDescent="0.2">
      <c r="B51" s="40" t="s">
        <v>327</v>
      </c>
      <c r="C51" s="3">
        <v>36</v>
      </c>
      <c r="D51" s="3">
        <v>46</v>
      </c>
      <c r="E51" s="3" t="s">
        <v>549</v>
      </c>
      <c r="F51" s="3"/>
      <c r="G51" s="3" t="s">
        <v>551</v>
      </c>
      <c r="H51" s="12"/>
      <c r="I51" s="148"/>
      <c r="J51" s="148" t="s">
        <v>324</v>
      </c>
    </row>
    <row r="52" spans="2:10" x14ac:dyDescent="0.2">
      <c r="B52" s="40" t="s">
        <v>330</v>
      </c>
      <c r="C52" s="3">
        <v>36</v>
      </c>
      <c r="D52" s="3">
        <v>46</v>
      </c>
      <c r="E52" s="3" t="s">
        <v>552</v>
      </c>
      <c r="F52" s="3"/>
      <c r="G52" s="3" t="s">
        <v>551</v>
      </c>
      <c r="H52" s="12"/>
      <c r="I52" s="148"/>
      <c r="J52" s="148" t="s">
        <v>324</v>
      </c>
    </row>
    <row r="53" spans="2:10" x14ac:dyDescent="0.2">
      <c r="B53" s="40" t="s">
        <v>333</v>
      </c>
      <c r="C53" s="3">
        <v>48</v>
      </c>
      <c r="D53" s="3">
        <v>34</v>
      </c>
      <c r="E53" s="3" t="s">
        <v>343</v>
      </c>
      <c r="F53" s="3"/>
      <c r="G53" s="3" t="s">
        <v>551</v>
      </c>
      <c r="H53" s="3"/>
      <c r="I53" s="3"/>
      <c r="J53" s="3" t="s">
        <v>553</v>
      </c>
    </row>
    <row r="54" spans="2:10" x14ac:dyDescent="0.2">
      <c r="B54" s="40" t="s">
        <v>336</v>
      </c>
      <c r="C54" s="3">
        <v>33</v>
      </c>
      <c r="D54" s="3">
        <v>49</v>
      </c>
      <c r="E54" s="3" t="s">
        <v>552</v>
      </c>
      <c r="F54" s="3"/>
      <c r="G54" s="3" t="s">
        <v>551</v>
      </c>
      <c r="H54" s="12"/>
      <c r="I54" s="12"/>
      <c r="J54" s="180" t="s">
        <v>324</v>
      </c>
    </row>
    <row r="55" spans="2:10" x14ac:dyDescent="0.2">
      <c r="B55" s="40" t="s">
        <v>339</v>
      </c>
      <c r="C55" s="3">
        <v>43</v>
      </c>
      <c r="D55" s="3">
        <v>39</v>
      </c>
      <c r="E55" s="3" t="s">
        <v>418</v>
      </c>
      <c r="F55" s="3"/>
      <c r="G55" s="3" t="s">
        <v>551</v>
      </c>
      <c r="H55" s="3"/>
      <c r="I55" s="3"/>
      <c r="J55" s="3" t="s">
        <v>554</v>
      </c>
    </row>
    <row r="56" spans="2:10" x14ac:dyDescent="0.2">
      <c r="B56" s="40" t="s">
        <v>342</v>
      </c>
      <c r="C56" s="3">
        <v>21</v>
      </c>
      <c r="D56" s="3">
        <v>61</v>
      </c>
      <c r="E56" s="3" t="s">
        <v>323</v>
      </c>
      <c r="F56" s="3"/>
      <c r="G56" s="3" t="s">
        <v>555</v>
      </c>
      <c r="H56" s="12"/>
      <c r="J56" s="148" t="s">
        <v>324</v>
      </c>
    </row>
    <row r="57" spans="2:10" x14ac:dyDescent="0.2">
      <c r="B57" s="40" t="s">
        <v>346</v>
      </c>
      <c r="C57" s="3">
        <v>7</v>
      </c>
      <c r="D57" s="3">
        <v>59</v>
      </c>
      <c r="E57" s="3" t="s">
        <v>328</v>
      </c>
      <c r="F57" s="3"/>
      <c r="G57" s="3" t="s">
        <v>556</v>
      </c>
      <c r="H57" s="12"/>
      <c r="J57" s="148" t="s">
        <v>324</v>
      </c>
    </row>
    <row r="58" spans="2:10" x14ac:dyDescent="0.2">
      <c r="B58" s="40" t="s">
        <v>348</v>
      </c>
      <c r="C58" s="3">
        <v>34</v>
      </c>
      <c r="D58" s="3">
        <v>48</v>
      </c>
      <c r="E58" s="3" t="s">
        <v>549</v>
      </c>
      <c r="F58" s="3"/>
      <c r="G58" s="3" t="s">
        <v>557</v>
      </c>
      <c r="H58" s="12"/>
      <c r="J58" s="148" t="s">
        <v>324</v>
      </c>
    </row>
    <row r="59" spans="2:10" x14ac:dyDescent="0.2">
      <c r="B59" s="60" t="s">
        <v>350</v>
      </c>
      <c r="C59" s="60">
        <f>SUM(C49:C58)</f>
        <v>320</v>
      </c>
      <c r="D59" s="60">
        <f>SUM(D49:D58)</f>
        <v>467</v>
      </c>
      <c r="E59" s="65">
        <f>C59/(C59+D59)</f>
        <v>0.40660736975857686</v>
      </c>
    </row>
    <row r="60" spans="2:10" x14ac:dyDescent="0.2">
      <c r="E60" s="65"/>
    </row>
  </sheetData>
  <pageMargins left="0.7" right="0.7" top="0.75" bottom="0.75" header="0.3" footer="0.3"/>
  <ignoredErrors>
    <ignoredError sqref="J23:J24" formulaRange="1"/>
  </ignoredErrors>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95905-1CAA-B64A-AFB3-6A491F33722A}">
  <dimension ref="A1:AR59"/>
  <sheetViews>
    <sheetView zoomScaleNormal="100" workbookViewId="0">
      <selection sqref="A1:AR1"/>
    </sheetView>
  </sheetViews>
  <sheetFormatPr baseColWidth="10" defaultColWidth="11" defaultRowHeight="16" x14ac:dyDescent="0.2"/>
  <cols>
    <col min="1" max="1" width="3.83203125" customWidth="1"/>
    <col min="2" max="2" width="18.6640625" customWidth="1"/>
    <col min="3" max="3" width="11.33203125" customWidth="1"/>
    <col min="4" max="4" width="7.83203125" customWidth="1"/>
    <col min="5" max="5" width="10.83203125" customWidth="1"/>
    <col min="6" max="6" width="8.1640625" customWidth="1"/>
    <col min="7" max="7" width="9.6640625" customWidth="1"/>
    <col min="8" max="8" width="6.33203125" customWidth="1"/>
    <col min="9" max="9" width="17.83203125" customWidth="1"/>
    <col min="10" max="10" width="11.1640625" customWidth="1"/>
    <col min="11" max="11" width="10.83203125" customWidth="1"/>
    <col min="12" max="12" width="4.83203125" customWidth="1"/>
    <col min="13" max="13" width="33.83203125" customWidth="1"/>
    <col min="14" max="14" width="16.83203125" customWidth="1"/>
    <col min="15" max="15" width="63.83203125" customWidth="1"/>
    <col min="16" max="16" width="13.6640625" customWidth="1"/>
    <col min="17" max="17" width="12.6640625" customWidth="1"/>
    <col min="18" max="19" width="12.83203125" customWidth="1"/>
    <col min="20" max="20" width="12.5" customWidth="1"/>
    <col min="21" max="21" width="10.33203125" customWidth="1"/>
    <col min="22" max="22" width="85.33203125" customWidth="1"/>
    <col min="23" max="23" width="21.83203125" customWidth="1"/>
    <col min="25" max="25" width="3.83203125" customWidth="1"/>
    <col min="26" max="26" width="8.1640625" customWidth="1"/>
    <col min="27" max="27" width="5.83203125" customWidth="1"/>
    <col min="28" max="28" width="6.1640625" customWidth="1"/>
    <col min="29" max="29" width="7.1640625" customWidth="1"/>
    <col min="30" max="30" width="5.83203125" customWidth="1"/>
    <col min="31" max="31" width="4.83203125" customWidth="1"/>
    <col min="32" max="32" width="6.33203125" customWidth="1"/>
    <col min="33" max="33" width="7.6640625" customWidth="1"/>
    <col min="34" max="34" width="5.33203125" customWidth="1"/>
    <col min="35" max="35" width="5.5" customWidth="1"/>
    <col min="36" max="36" width="7" customWidth="1"/>
    <col min="37" max="37" width="6.1640625" customWidth="1"/>
    <col min="38" max="38" width="5.83203125" customWidth="1"/>
    <col min="39" max="39" width="5.5" customWidth="1"/>
    <col min="40" max="40" width="4.6640625" customWidth="1"/>
  </cols>
  <sheetData>
    <row r="1" spans="1:44" x14ac:dyDescent="0.2">
      <c r="A1" s="223" t="s">
        <v>2394</v>
      </c>
      <c r="B1" s="223" t="s">
        <v>2395</v>
      </c>
      <c r="C1" s="223" t="s">
        <v>2396</v>
      </c>
      <c r="D1" s="223" t="s">
        <v>2397</v>
      </c>
      <c r="E1" s="223" t="s">
        <v>2398</v>
      </c>
      <c r="F1" s="223" t="s">
        <v>2399</v>
      </c>
      <c r="G1" s="223" t="s">
        <v>2400</v>
      </c>
      <c r="H1" s="223" t="s">
        <v>2401</v>
      </c>
      <c r="I1" s="223" t="s">
        <v>2402</v>
      </c>
      <c r="J1" s="223" t="s">
        <v>2403</v>
      </c>
      <c r="K1" s="223" t="s">
        <v>2404</v>
      </c>
      <c r="L1" s="223" t="s">
        <v>2405</v>
      </c>
      <c r="M1" s="223" t="s">
        <v>2406</v>
      </c>
      <c r="N1" s="223" t="s">
        <v>2407</v>
      </c>
      <c r="O1" s="223" t="s">
        <v>2408</v>
      </c>
      <c r="P1" s="223" t="s">
        <v>2409</v>
      </c>
      <c r="Q1" s="223" t="s">
        <v>2410</v>
      </c>
      <c r="R1" s="223" t="s">
        <v>2411</v>
      </c>
      <c r="S1" s="223" t="s">
        <v>2412</v>
      </c>
      <c r="T1" s="223" t="s">
        <v>2413</v>
      </c>
      <c r="U1" s="223" t="s">
        <v>2414</v>
      </c>
      <c r="V1" s="223" t="s">
        <v>2415</v>
      </c>
      <c r="W1" s="223" t="s">
        <v>2416</v>
      </c>
      <c r="X1" s="223" t="s">
        <v>2433</v>
      </c>
      <c r="Y1" s="223" t="s">
        <v>2417</v>
      </c>
      <c r="Z1" s="223" t="s">
        <v>2418</v>
      </c>
      <c r="AA1" s="223" t="s">
        <v>2419</v>
      </c>
      <c r="AB1" s="223" t="s">
        <v>2420</v>
      </c>
      <c r="AC1" s="223" t="s">
        <v>2421</v>
      </c>
      <c r="AD1" s="223" t="s">
        <v>2422</v>
      </c>
      <c r="AE1" s="223" t="s">
        <v>2423</v>
      </c>
      <c r="AF1" s="223" t="s">
        <v>2424</v>
      </c>
      <c r="AG1" s="223" t="s">
        <v>2425</v>
      </c>
      <c r="AH1" s="223" t="s">
        <v>2426</v>
      </c>
      <c r="AI1" s="223" t="s">
        <v>2427</v>
      </c>
      <c r="AJ1" s="223" t="s">
        <v>2428</v>
      </c>
      <c r="AK1" s="223" t="s">
        <v>2429</v>
      </c>
      <c r="AL1" s="223" t="s">
        <v>2430</v>
      </c>
      <c r="AM1" s="223" t="s">
        <v>2431</v>
      </c>
      <c r="AN1" s="223" t="s">
        <v>2432</v>
      </c>
      <c r="AO1" s="224"/>
      <c r="AP1" s="225"/>
      <c r="AQ1" s="6"/>
      <c r="AR1" s="6"/>
    </row>
    <row r="2" spans="1:44" x14ac:dyDescent="0.2">
      <c r="A2" s="3">
        <v>22</v>
      </c>
      <c r="B2" s="3" t="s">
        <v>23</v>
      </c>
      <c r="C2" s="3" t="s">
        <v>244</v>
      </c>
      <c r="D2" s="108">
        <v>68</v>
      </c>
      <c r="E2" s="108">
        <v>71</v>
      </c>
      <c r="F2" s="109">
        <v>198</v>
      </c>
      <c r="G2" s="4">
        <v>34123</v>
      </c>
      <c r="H2" s="113">
        <f ca="1">ROUNDDOWN(YEARFRAC($G$24,G2),1)</f>
        <v>27.3</v>
      </c>
      <c r="I2" s="3" t="s">
        <v>558</v>
      </c>
      <c r="J2" s="3">
        <v>8</v>
      </c>
      <c r="K2" s="112">
        <v>2013</v>
      </c>
      <c r="L2" s="112">
        <v>3</v>
      </c>
      <c r="M2" s="3" t="s">
        <v>559</v>
      </c>
      <c r="N2" s="3" t="s">
        <v>560</v>
      </c>
      <c r="O2" s="163" t="s">
        <v>561</v>
      </c>
      <c r="P2" s="56">
        <v>28489239</v>
      </c>
      <c r="Q2" s="44">
        <v>37500000</v>
      </c>
      <c r="R2" s="22"/>
      <c r="S2" s="22"/>
      <c r="T2" s="22"/>
      <c r="V2" t="s">
        <v>2036</v>
      </c>
      <c r="W2" s="125" t="s">
        <v>562</v>
      </c>
      <c r="X2" s="69">
        <v>3</v>
      </c>
      <c r="Y2" s="69">
        <v>14</v>
      </c>
      <c r="Z2" s="65">
        <f>5/14</f>
        <v>0.35714285714285715</v>
      </c>
      <c r="AA2" s="122">
        <v>110.2</v>
      </c>
      <c r="AB2" s="122">
        <v>107</v>
      </c>
      <c r="AC2" s="122">
        <f t="shared" ref="AC2:AC13" si="0">AA2-AB2</f>
        <v>3.2000000000000028</v>
      </c>
      <c r="AD2" s="122">
        <v>23.6</v>
      </c>
      <c r="AE2" s="122">
        <v>15.8</v>
      </c>
      <c r="AF2" s="65">
        <v>0.55000000000000004</v>
      </c>
      <c r="AG2" s="122">
        <v>21</v>
      </c>
      <c r="AH2" s="122">
        <v>0.4</v>
      </c>
      <c r="AI2" s="122">
        <v>0.4</v>
      </c>
      <c r="AJ2" s="65">
        <v>0.112</v>
      </c>
      <c r="AK2" s="122">
        <v>0.9</v>
      </c>
      <c r="AL2" s="122">
        <v>0.2</v>
      </c>
      <c r="AM2" s="122">
        <v>0.3</v>
      </c>
      <c r="AN2" s="122">
        <v>9.5</v>
      </c>
    </row>
    <row r="3" spans="1:44" x14ac:dyDescent="0.2">
      <c r="A3" s="3">
        <v>8</v>
      </c>
      <c r="B3" s="3" t="s">
        <v>563</v>
      </c>
      <c r="C3" s="3" t="s">
        <v>255</v>
      </c>
      <c r="D3" s="108">
        <v>66</v>
      </c>
      <c r="E3" s="108">
        <v>68</v>
      </c>
      <c r="F3" s="109">
        <v>200</v>
      </c>
      <c r="G3" s="4">
        <v>34768</v>
      </c>
      <c r="H3" s="113">
        <f t="shared" ref="H3:H22" ca="1" si="1">ROUNDDOWN(YEARFRAC($G$24,G3),1)</f>
        <v>25.6</v>
      </c>
      <c r="I3" s="3" t="s">
        <v>564</v>
      </c>
      <c r="J3" s="3">
        <v>7</v>
      </c>
      <c r="K3" s="112">
        <v>2014</v>
      </c>
      <c r="L3" s="112">
        <v>13</v>
      </c>
      <c r="M3" s="3" t="s">
        <v>565</v>
      </c>
      <c r="N3" s="3" t="s">
        <v>285</v>
      </c>
      <c r="O3" s="3" t="s">
        <v>2137</v>
      </c>
      <c r="P3" s="22">
        <v>19500000</v>
      </c>
      <c r="Q3" s="22">
        <v>19500000</v>
      </c>
      <c r="R3" s="52">
        <f>Q3*1.5</f>
        <v>29250000</v>
      </c>
      <c r="S3" s="22"/>
      <c r="T3" s="22"/>
      <c r="W3" s="60" t="s">
        <v>566</v>
      </c>
      <c r="X3" s="69">
        <v>3</v>
      </c>
      <c r="Y3" s="69">
        <v>60</v>
      </c>
      <c r="Z3" s="65">
        <f>20/60</f>
        <v>0.33333333333333331</v>
      </c>
      <c r="AA3" s="122">
        <v>106.8</v>
      </c>
      <c r="AB3" s="122">
        <v>111.2</v>
      </c>
      <c r="AC3" s="122">
        <f t="shared" si="0"/>
        <v>-4.4000000000000057</v>
      </c>
      <c r="AD3" s="122">
        <v>34.799999999999997</v>
      </c>
      <c r="AE3" s="122">
        <v>19.5</v>
      </c>
      <c r="AF3" s="65">
        <v>0.56799999999999995</v>
      </c>
      <c r="AG3" s="122">
        <v>31.7</v>
      </c>
      <c r="AH3" s="122">
        <v>1.8</v>
      </c>
      <c r="AI3" s="122">
        <v>2.2000000000000002</v>
      </c>
      <c r="AJ3" s="65">
        <v>9.1999999999999998E-2</v>
      </c>
      <c r="AK3" s="122">
        <v>3.3</v>
      </c>
      <c r="AL3" s="122">
        <v>-0.8</v>
      </c>
      <c r="AM3" s="122">
        <v>2.4</v>
      </c>
      <c r="AN3" s="122">
        <v>13</v>
      </c>
    </row>
    <row r="4" spans="1:44" x14ac:dyDescent="0.2">
      <c r="A4" s="3">
        <v>21</v>
      </c>
      <c r="B4" s="3" t="s">
        <v>198</v>
      </c>
      <c r="C4" s="3" t="s">
        <v>236</v>
      </c>
      <c r="D4" s="108">
        <v>68</v>
      </c>
      <c r="E4" s="108">
        <v>70</v>
      </c>
      <c r="F4" s="109">
        <v>235</v>
      </c>
      <c r="G4" s="4">
        <v>32315</v>
      </c>
      <c r="H4" s="113">
        <f t="shared" ca="1" si="1"/>
        <v>32.299999999999997</v>
      </c>
      <c r="I4" s="3" t="s">
        <v>567</v>
      </c>
      <c r="J4" s="3">
        <v>14</v>
      </c>
      <c r="K4" s="112">
        <v>2007</v>
      </c>
      <c r="L4" s="112">
        <v>12</v>
      </c>
      <c r="M4" s="3" t="s">
        <v>433</v>
      </c>
      <c r="N4" s="3" t="s">
        <v>285</v>
      </c>
      <c r="O4" s="3" t="s">
        <v>2138</v>
      </c>
      <c r="P4" s="11">
        <v>13545000</v>
      </c>
      <c r="Q4" s="15">
        <v>14190000</v>
      </c>
      <c r="R4" s="14">
        <f>Q4*1.5</f>
        <v>21285000</v>
      </c>
      <c r="S4" s="12"/>
      <c r="T4" s="22"/>
      <c r="V4" s="3" t="s">
        <v>2037</v>
      </c>
      <c r="W4" s="60" t="s">
        <v>568</v>
      </c>
      <c r="X4" s="69">
        <v>4</v>
      </c>
      <c r="Y4" s="69">
        <v>64</v>
      </c>
      <c r="Z4" s="65">
        <f>22/64</f>
        <v>0.34375</v>
      </c>
      <c r="AA4" s="122">
        <v>101.9</v>
      </c>
      <c r="AB4" s="122">
        <v>108.1</v>
      </c>
      <c r="AC4" s="122">
        <f t="shared" si="0"/>
        <v>-6.1999999999999886</v>
      </c>
      <c r="AD4" s="122">
        <v>24.9</v>
      </c>
      <c r="AE4" s="122">
        <v>13.3</v>
      </c>
      <c r="AF4" s="65">
        <v>0.52100000000000002</v>
      </c>
      <c r="AG4" s="122">
        <v>19.7</v>
      </c>
      <c r="AH4" s="122">
        <v>-0.2</v>
      </c>
      <c r="AI4" s="122">
        <v>2.1</v>
      </c>
      <c r="AJ4" s="65">
        <v>5.8000000000000003E-2</v>
      </c>
      <c r="AK4" s="122">
        <v>-1.4</v>
      </c>
      <c r="AL4" s="122">
        <v>0.2</v>
      </c>
      <c r="AM4" s="122">
        <v>0.4</v>
      </c>
      <c r="AN4" s="122">
        <v>8.9</v>
      </c>
    </row>
    <row r="5" spans="1:44" x14ac:dyDescent="0.2">
      <c r="A5" s="3">
        <v>31</v>
      </c>
      <c r="B5" s="3" t="s">
        <v>569</v>
      </c>
      <c r="C5" s="3" t="s">
        <v>232</v>
      </c>
      <c r="D5" s="108">
        <v>67</v>
      </c>
      <c r="E5" s="108">
        <v>67</v>
      </c>
      <c r="F5" s="109">
        <v>210</v>
      </c>
      <c r="G5" s="4">
        <v>33541</v>
      </c>
      <c r="H5" s="113">
        <f t="shared" ca="1" si="1"/>
        <v>28.9</v>
      </c>
      <c r="I5" s="3" t="s">
        <v>453</v>
      </c>
      <c r="J5" s="3">
        <v>5</v>
      </c>
      <c r="K5" s="112">
        <v>2012</v>
      </c>
      <c r="L5" s="112">
        <v>32</v>
      </c>
      <c r="M5" s="3" t="s">
        <v>570</v>
      </c>
      <c r="N5" s="3" t="s">
        <v>354</v>
      </c>
      <c r="O5" s="3" t="s">
        <v>2139</v>
      </c>
      <c r="P5" s="11">
        <v>10000000</v>
      </c>
      <c r="Q5" s="15">
        <v>10000000</v>
      </c>
      <c r="R5" s="14">
        <f>Q5*1.9</f>
        <v>19000000</v>
      </c>
      <c r="S5" s="12"/>
      <c r="T5" s="22"/>
      <c r="W5" s="60" t="s">
        <v>571</v>
      </c>
      <c r="X5" s="69">
        <v>1</v>
      </c>
      <c r="Y5" s="69">
        <v>65</v>
      </c>
      <c r="Z5" s="65">
        <f>22/65</f>
        <v>0.33846153846153848</v>
      </c>
      <c r="AA5" s="122">
        <v>107.3</v>
      </c>
      <c r="AB5" s="122">
        <v>108.8</v>
      </c>
      <c r="AC5" s="122">
        <f t="shared" si="0"/>
        <v>-1.5</v>
      </c>
      <c r="AD5" s="122">
        <v>28.9</v>
      </c>
      <c r="AE5" s="122">
        <v>13.5</v>
      </c>
      <c r="AF5" s="65">
        <v>0.53300000000000003</v>
      </c>
      <c r="AG5" s="122">
        <v>16.7</v>
      </c>
      <c r="AH5" s="122">
        <v>1.8</v>
      </c>
      <c r="AI5" s="122">
        <v>1.7</v>
      </c>
      <c r="AJ5" s="65">
        <v>0.09</v>
      </c>
      <c r="AK5" s="122">
        <v>-1</v>
      </c>
      <c r="AL5" s="122">
        <v>-0.2</v>
      </c>
      <c r="AM5" s="122">
        <v>0.4</v>
      </c>
      <c r="AN5" s="122">
        <v>9.4</v>
      </c>
    </row>
    <row r="6" spans="1:44" x14ac:dyDescent="0.2">
      <c r="A6" s="3">
        <v>6</v>
      </c>
      <c r="B6" s="3" t="s">
        <v>572</v>
      </c>
      <c r="C6" s="3" t="s">
        <v>236</v>
      </c>
      <c r="D6" s="108">
        <v>610</v>
      </c>
      <c r="E6" s="108">
        <v>70</v>
      </c>
      <c r="F6" s="109">
        <v>270</v>
      </c>
      <c r="G6" s="4">
        <v>33792</v>
      </c>
      <c r="H6" s="113">
        <f t="shared" ca="1" si="1"/>
        <v>28.2</v>
      </c>
      <c r="I6" s="3" t="s">
        <v>573</v>
      </c>
      <c r="J6" s="3">
        <v>6</v>
      </c>
      <c r="K6" s="112">
        <v>2014</v>
      </c>
      <c r="L6" s="112"/>
      <c r="M6" s="3" t="s">
        <v>574</v>
      </c>
      <c r="N6" s="3" t="s">
        <v>285</v>
      </c>
      <c r="O6" s="3" t="s">
        <v>2140</v>
      </c>
      <c r="P6" s="11">
        <v>7529020</v>
      </c>
      <c r="Q6" s="14">
        <f>P6*1.9</f>
        <v>14305138</v>
      </c>
      <c r="R6" s="12"/>
      <c r="S6" s="12"/>
      <c r="T6" s="22"/>
      <c r="W6" s="60" t="s">
        <v>575</v>
      </c>
      <c r="X6" s="69">
        <v>5</v>
      </c>
      <c r="Y6" s="69">
        <v>22</v>
      </c>
      <c r="Z6" s="65">
        <f>6/22</f>
        <v>0.27272727272727271</v>
      </c>
      <c r="AA6" s="122">
        <v>111.1</v>
      </c>
      <c r="AB6" s="122">
        <v>118.89</v>
      </c>
      <c r="AC6" s="122">
        <f t="shared" si="0"/>
        <v>-7.7900000000000063</v>
      </c>
      <c r="AD6" s="122">
        <v>17.5</v>
      </c>
      <c r="AE6" s="122">
        <v>12.8</v>
      </c>
      <c r="AF6" s="65">
        <v>0.67100000000000004</v>
      </c>
      <c r="AG6" s="122">
        <v>9.1</v>
      </c>
      <c r="AH6" s="122">
        <v>0.7</v>
      </c>
      <c r="AI6" s="122">
        <v>0.3</v>
      </c>
      <c r="AJ6" s="65">
        <v>0.126</v>
      </c>
      <c r="AK6" s="122">
        <v>-1.4</v>
      </c>
      <c r="AL6" s="122">
        <v>-1.6</v>
      </c>
      <c r="AM6" s="122">
        <v>-0.1</v>
      </c>
      <c r="AN6" s="122">
        <v>6.7</v>
      </c>
    </row>
    <row r="7" spans="1:44" ht="17" x14ac:dyDescent="0.2">
      <c r="A7" s="3">
        <v>24</v>
      </c>
      <c r="B7" s="3" t="s">
        <v>581</v>
      </c>
      <c r="C7" s="3" t="s">
        <v>236</v>
      </c>
      <c r="D7" s="108">
        <v>70</v>
      </c>
      <c r="E7" s="108">
        <v>611</v>
      </c>
      <c r="F7" s="109">
        <v>240</v>
      </c>
      <c r="G7" s="4">
        <v>35572</v>
      </c>
      <c r="H7" s="113">
        <f t="shared" ca="1" si="1"/>
        <v>23.4</v>
      </c>
      <c r="I7" s="3" t="s">
        <v>537</v>
      </c>
      <c r="J7" s="3">
        <v>4</v>
      </c>
      <c r="K7" s="112">
        <v>2017</v>
      </c>
      <c r="L7" s="112">
        <v>7</v>
      </c>
      <c r="M7" s="3" t="s">
        <v>582</v>
      </c>
      <c r="N7" s="3" t="s">
        <v>247</v>
      </c>
      <c r="O7" s="11" t="s">
        <v>2141</v>
      </c>
      <c r="P7" s="11">
        <v>6731508</v>
      </c>
      <c r="Q7" s="50">
        <f>P7*3</f>
        <v>20194524</v>
      </c>
      <c r="R7" s="35"/>
      <c r="S7" s="12"/>
      <c r="T7" s="22"/>
      <c r="W7" s="60" t="s">
        <v>583</v>
      </c>
      <c r="X7" s="69">
        <v>4</v>
      </c>
      <c r="Y7" s="69">
        <v>50</v>
      </c>
      <c r="Z7" s="65">
        <f>18/50</f>
        <v>0.36</v>
      </c>
      <c r="AA7" s="122">
        <v>105.3</v>
      </c>
      <c r="AB7" s="122">
        <v>107.3</v>
      </c>
      <c r="AC7" s="122">
        <f t="shared" si="0"/>
        <v>-2</v>
      </c>
      <c r="AD7" s="122">
        <v>29.8</v>
      </c>
      <c r="AE7" s="122">
        <v>14.3</v>
      </c>
      <c r="AF7" s="65">
        <v>0.56000000000000005</v>
      </c>
      <c r="AG7" s="122">
        <v>21.1</v>
      </c>
      <c r="AH7" s="122">
        <v>1.1000000000000001</v>
      </c>
      <c r="AI7" s="122">
        <v>1.6</v>
      </c>
      <c r="AJ7" s="65">
        <v>8.4000000000000005E-2</v>
      </c>
      <c r="AK7" s="122">
        <v>0.2</v>
      </c>
      <c r="AL7" s="122">
        <v>-0.8</v>
      </c>
      <c r="AM7" s="122">
        <v>0.5</v>
      </c>
      <c r="AN7" s="122">
        <v>10.3</v>
      </c>
    </row>
    <row r="8" spans="1:44" x14ac:dyDescent="0.2">
      <c r="A8" s="3">
        <v>0</v>
      </c>
      <c r="B8" s="3" t="s">
        <v>578</v>
      </c>
      <c r="C8" s="3" t="s">
        <v>232</v>
      </c>
      <c r="D8" s="108">
        <v>64</v>
      </c>
      <c r="E8" s="108">
        <v>65</v>
      </c>
      <c r="F8" s="109">
        <v>195</v>
      </c>
      <c r="G8" s="4">
        <v>36562</v>
      </c>
      <c r="H8" s="113">
        <f t="shared" ca="1" si="1"/>
        <v>20.7</v>
      </c>
      <c r="I8" s="3" t="s">
        <v>281</v>
      </c>
      <c r="J8" s="3">
        <v>2</v>
      </c>
      <c r="K8" s="112">
        <v>2019</v>
      </c>
      <c r="L8" s="112">
        <v>7</v>
      </c>
      <c r="M8" s="3" t="s">
        <v>579</v>
      </c>
      <c r="N8" s="3" t="s">
        <v>247</v>
      </c>
      <c r="O8" s="3" t="s">
        <v>2142</v>
      </c>
      <c r="P8" s="11">
        <v>5572680</v>
      </c>
      <c r="Q8" s="51">
        <v>5837760</v>
      </c>
      <c r="R8" s="51">
        <v>7413955</v>
      </c>
      <c r="S8" s="50">
        <f>R8*3</f>
        <v>22241865</v>
      </c>
      <c r="T8" s="22"/>
      <c r="W8" s="60" t="s">
        <v>580</v>
      </c>
      <c r="X8" s="69">
        <v>2</v>
      </c>
      <c r="Y8" s="69">
        <v>65</v>
      </c>
      <c r="Z8" s="65">
        <f>22/65</f>
        <v>0.33846153846153848</v>
      </c>
      <c r="AA8" s="122">
        <v>104.4</v>
      </c>
      <c r="AB8" s="122">
        <v>108.8</v>
      </c>
      <c r="AC8" s="122">
        <f t="shared" si="0"/>
        <v>-4.3999999999999915</v>
      </c>
      <c r="AD8" s="122">
        <v>25.8</v>
      </c>
      <c r="AE8" s="122">
        <v>11.9</v>
      </c>
      <c r="AF8" s="65">
        <v>0.50600000000000001</v>
      </c>
      <c r="AG8" s="122">
        <v>24.4</v>
      </c>
      <c r="AH8" s="122">
        <v>-0.4</v>
      </c>
      <c r="AI8" s="122">
        <v>1.4</v>
      </c>
      <c r="AJ8" s="65">
        <v>2.5999999999999999E-2</v>
      </c>
      <c r="AK8" s="122">
        <v>-1.2</v>
      </c>
      <c r="AL8" s="122">
        <v>-1.6</v>
      </c>
      <c r="AM8" s="122">
        <v>-0.3</v>
      </c>
      <c r="AN8" s="122">
        <v>8.6999999999999993</v>
      </c>
    </row>
    <row r="9" spans="1:44" ht="17" x14ac:dyDescent="0.2">
      <c r="A9" s="3">
        <v>34</v>
      </c>
      <c r="B9" s="3" t="s">
        <v>584</v>
      </c>
      <c r="C9" s="3" t="s">
        <v>236</v>
      </c>
      <c r="D9" s="108">
        <v>69</v>
      </c>
      <c r="E9" s="108">
        <v>75</v>
      </c>
      <c r="F9" s="109">
        <v>270</v>
      </c>
      <c r="G9" s="4">
        <v>36266</v>
      </c>
      <c r="H9" s="113">
        <f t="shared" ca="1" si="1"/>
        <v>21.5</v>
      </c>
      <c r="I9" s="3" t="s">
        <v>256</v>
      </c>
      <c r="J9" s="3">
        <v>3</v>
      </c>
      <c r="K9" s="112">
        <v>2018</v>
      </c>
      <c r="L9" s="112">
        <v>7</v>
      </c>
      <c r="M9" s="3" t="s">
        <v>585</v>
      </c>
      <c r="N9" s="3" t="s">
        <v>247</v>
      </c>
      <c r="O9" s="3" t="s">
        <v>2143</v>
      </c>
      <c r="P9" s="11">
        <v>5448840</v>
      </c>
      <c r="Q9" s="51">
        <v>6920027</v>
      </c>
      <c r="R9" s="50">
        <f>Q9*3</f>
        <v>20760081</v>
      </c>
      <c r="S9" s="35"/>
      <c r="T9" s="22"/>
      <c r="W9" s="98" t="s">
        <v>240</v>
      </c>
      <c r="X9" s="69">
        <v>5</v>
      </c>
      <c r="Y9" s="69">
        <v>43</v>
      </c>
      <c r="Z9" s="65">
        <f>15/43</f>
        <v>0.34883720930232559</v>
      </c>
      <c r="AA9" s="122">
        <v>104.8</v>
      </c>
      <c r="AB9" s="122">
        <v>105.3</v>
      </c>
      <c r="AC9" s="122">
        <f t="shared" si="0"/>
        <v>-0.5</v>
      </c>
      <c r="AD9" s="122">
        <v>29.2</v>
      </c>
      <c r="AE9" s="122">
        <v>15.5</v>
      </c>
      <c r="AF9" s="65">
        <v>0.59</v>
      </c>
      <c r="AG9" s="122">
        <v>16.399999999999999</v>
      </c>
      <c r="AH9" s="122">
        <v>1.7</v>
      </c>
      <c r="AI9" s="122">
        <v>1.6</v>
      </c>
      <c r="AJ9" s="65">
        <v>0.127</v>
      </c>
      <c r="AK9" s="122">
        <v>-2.1</v>
      </c>
      <c r="AL9" s="122">
        <v>-0.3</v>
      </c>
      <c r="AM9" s="122">
        <v>-0.1</v>
      </c>
      <c r="AN9" s="122">
        <v>10.3</v>
      </c>
    </row>
    <row r="10" spans="1:44" x14ac:dyDescent="0.2">
      <c r="A10" s="3">
        <v>51</v>
      </c>
      <c r="B10" s="3" t="s">
        <v>588</v>
      </c>
      <c r="C10" s="3" t="s">
        <v>255</v>
      </c>
      <c r="D10" s="108">
        <v>63</v>
      </c>
      <c r="E10" s="108">
        <v>63</v>
      </c>
      <c r="F10" s="109">
        <v>195</v>
      </c>
      <c r="G10" s="4">
        <v>34419</v>
      </c>
      <c r="H10" s="113">
        <f t="shared" ca="1" si="1"/>
        <v>26.5</v>
      </c>
      <c r="I10" s="3" t="s">
        <v>589</v>
      </c>
      <c r="J10" s="3">
        <v>4</v>
      </c>
      <c r="K10" s="112">
        <v>2016</v>
      </c>
      <c r="L10" s="112"/>
      <c r="M10" s="3" t="s">
        <v>590</v>
      </c>
      <c r="N10" s="3" t="s">
        <v>285</v>
      </c>
      <c r="O10" s="3" t="s">
        <v>2144</v>
      </c>
      <c r="P10" s="11">
        <v>3000000</v>
      </c>
      <c r="Q10" s="49">
        <v>3000000</v>
      </c>
      <c r="R10" s="14">
        <f>Q10*1.9</f>
        <v>5700000</v>
      </c>
      <c r="S10" s="12"/>
      <c r="T10" s="22"/>
      <c r="V10" s="7"/>
      <c r="W10" s="98" t="s">
        <v>291</v>
      </c>
      <c r="X10" s="69">
        <v>1</v>
      </c>
      <c r="Y10" s="69">
        <v>58</v>
      </c>
      <c r="Z10" s="65">
        <f>21/58</f>
        <v>0.36206896551724138</v>
      </c>
      <c r="AA10" s="122">
        <v>101.5</v>
      </c>
      <c r="AB10" s="122">
        <v>105.4</v>
      </c>
      <c r="AC10" s="122">
        <f t="shared" si="0"/>
        <v>-3.9000000000000057</v>
      </c>
      <c r="AD10" s="122">
        <v>16</v>
      </c>
      <c r="AE10" s="122">
        <v>9</v>
      </c>
      <c r="AF10" s="65">
        <v>0.55100000000000005</v>
      </c>
      <c r="AG10" s="122">
        <v>12.5</v>
      </c>
      <c r="AH10" s="122">
        <v>0.7</v>
      </c>
      <c r="AI10" s="122">
        <v>0.7</v>
      </c>
      <c r="AJ10" s="65">
        <v>7.0000000000000007E-2</v>
      </c>
      <c r="AK10" s="122">
        <v>-2.7</v>
      </c>
      <c r="AL10" s="122">
        <v>-0.1</v>
      </c>
      <c r="AM10" s="122">
        <v>-0.2</v>
      </c>
      <c r="AN10" s="122">
        <v>6.1</v>
      </c>
    </row>
    <row r="11" spans="1:44" ht="17" x14ac:dyDescent="0.2">
      <c r="A11" s="3">
        <v>15</v>
      </c>
      <c r="B11" s="3" t="s">
        <v>591</v>
      </c>
      <c r="C11" s="3" t="s">
        <v>244</v>
      </c>
      <c r="D11" s="108">
        <v>67</v>
      </c>
      <c r="E11" s="108">
        <v>71</v>
      </c>
      <c r="F11" s="109">
        <v>210</v>
      </c>
      <c r="G11" s="4">
        <v>35181</v>
      </c>
      <c r="H11" s="113">
        <f t="shared" ca="1" si="1"/>
        <v>24.4</v>
      </c>
      <c r="I11" s="3" t="s">
        <v>592</v>
      </c>
      <c r="J11" s="3">
        <v>3</v>
      </c>
      <c r="K11" s="112">
        <v>2018</v>
      </c>
      <c r="L11" s="112">
        <v>22</v>
      </c>
      <c r="M11" s="3" t="s">
        <v>593</v>
      </c>
      <c r="N11" s="3" t="s">
        <v>247</v>
      </c>
      <c r="O11" s="3" t="s">
        <v>2145</v>
      </c>
      <c r="P11" s="11">
        <v>2443440</v>
      </c>
      <c r="Q11" s="51">
        <v>4019459</v>
      </c>
      <c r="R11" s="50">
        <f>Q11*3</f>
        <v>12058377</v>
      </c>
      <c r="S11" s="35"/>
      <c r="T11" s="22"/>
      <c r="W11" s="60" t="s">
        <v>594</v>
      </c>
      <c r="X11" s="69">
        <v>3</v>
      </c>
      <c r="Y11" s="69">
        <v>28</v>
      </c>
      <c r="Z11" s="65">
        <f>8/28</f>
        <v>0.2857142857142857</v>
      </c>
      <c r="AA11" s="122">
        <v>97</v>
      </c>
      <c r="AB11" s="122">
        <v>108.9</v>
      </c>
      <c r="AC11" s="122">
        <f t="shared" si="0"/>
        <v>-11.900000000000006</v>
      </c>
      <c r="AD11" s="122">
        <v>18.8</v>
      </c>
      <c r="AE11" s="122">
        <v>12.4</v>
      </c>
      <c r="AF11" s="65">
        <v>0.52100000000000002</v>
      </c>
      <c r="AG11" s="122">
        <v>19.100000000000001</v>
      </c>
      <c r="AH11" s="122">
        <v>0</v>
      </c>
      <c r="AI11" s="122">
        <v>0.7</v>
      </c>
      <c r="AJ11" s="65">
        <v>0.06</v>
      </c>
      <c r="AK11" s="122">
        <v>-2.7</v>
      </c>
      <c r="AL11" s="122">
        <v>0.1</v>
      </c>
      <c r="AM11" s="122">
        <v>-0.1</v>
      </c>
      <c r="AN11" s="122">
        <v>8.6</v>
      </c>
    </row>
    <row r="12" spans="1:44" x14ac:dyDescent="0.2">
      <c r="A12" s="3">
        <v>2</v>
      </c>
      <c r="B12" s="3" t="s">
        <v>595</v>
      </c>
      <c r="C12" s="3" t="s">
        <v>236</v>
      </c>
      <c r="D12" s="108">
        <v>72</v>
      </c>
      <c r="E12" s="108">
        <v>72</v>
      </c>
      <c r="F12" s="109">
        <v>250</v>
      </c>
      <c r="G12" s="4">
        <v>34895</v>
      </c>
      <c r="H12" s="113">
        <f t="shared" ca="1" si="1"/>
        <v>25.2</v>
      </c>
      <c r="I12" s="3" t="s">
        <v>596</v>
      </c>
      <c r="J12" s="3">
        <v>4</v>
      </c>
      <c r="K12" s="112">
        <v>2017</v>
      </c>
      <c r="L12" s="112"/>
      <c r="M12" s="3" t="s">
        <v>597</v>
      </c>
      <c r="N12" s="3" t="s">
        <v>299</v>
      </c>
      <c r="O12" s="3" t="s">
        <v>2146</v>
      </c>
      <c r="P12" s="11">
        <v>2250000</v>
      </c>
      <c r="Q12" s="14">
        <f>P12*1.3</f>
        <v>2925000</v>
      </c>
      <c r="R12" s="12"/>
      <c r="S12" s="12"/>
      <c r="T12" s="22"/>
      <c r="W12" s="98" t="s">
        <v>240</v>
      </c>
      <c r="X12" s="69">
        <v>5</v>
      </c>
      <c r="Y12" s="69">
        <v>36</v>
      </c>
      <c r="Z12" s="65">
        <f>11/36</f>
        <v>0.30555555555555558</v>
      </c>
      <c r="AA12" s="122">
        <v>103.4</v>
      </c>
      <c r="AB12" s="122">
        <v>107</v>
      </c>
      <c r="AC12" s="122">
        <f t="shared" si="0"/>
        <v>-3.5999999999999943</v>
      </c>
      <c r="AD12" s="122">
        <v>15.5</v>
      </c>
      <c r="AE12" s="122">
        <v>12.7</v>
      </c>
      <c r="AF12" s="65">
        <v>0.53900000000000003</v>
      </c>
      <c r="AG12" s="122">
        <v>16.3</v>
      </c>
      <c r="AH12" s="122">
        <v>0.5</v>
      </c>
      <c r="AI12" s="122">
        <v>0.5</v>
      </c>
      <c r="AJ12" s="65">
        <v>9.0999999999999998E-2</v>
      </c>
      <c r="AK12" s="122">
        <v>-0.9</v>
      </c>
      <c r="AL12" s="122">
        <v>-0.2</v>
      </c>
      <c r="AM12" s="122">
        <v>0.1</v>
      </c>
      <c r="AN12" s="122">
        <v>7.3</v>
      </c>
    </row>
    <row r="13" spans="1:44" x14ac:dyDescent="0.2">
      <c r="A13" s="3">
        <v>12</v>
      </c>
      <c r="B13" s="3" t="s">
        <v>601</v>
      </c>
      <c r="C13" s="3" t="s">
        <v>236</v>
      </c>
      <c r="D13" s="108">
        <v>610</v>
      </c>
      <c r="E13" s="108">
        <v>73</v>
      </c>
      <c r="F13" s="109">
        <v>234</v>
      </c>
      <c r="G13" s="4">
        <v>36069</v>
      </c>
      <c r="H13" s="113">
        <f t="shared" ca="1" si="1"/>
        <v>22</v>
      </c>
      <c r="I13" s="3" t="s">
        <v>602</v>
      </c>
      <c r="J13" s="3">
        <v>2</v>
      </c>
      <c r="K13" s="112">
        <v>2019</v>
      </c>
      <c r="L13" s="112">
        <v>38</v>
      </c>
      <c r="M13" s="3" t="s">
        <v>603</v>
      </c>
      <c r="N13" s="3" t="s">
        <v>285</v>
      </c>
      <c r="O13" s="3" t="s">
        <v>2109</v>
      </c>
      <c r="P13" s="11">
        <v>1517981</v>
      </c>
      <c r="Q13" s="30">
        <v>1782621</v>
      </c>
      <c r="R13" s="49">
        <v>1930681</v>
      </c>
      <c r="S13" s="14">
        <v>2046307</v>
      </c>
      <c r="T13" s="22"/>
      <c r="W13" s="60" t="s">
        <v>604</v>
      </c>
      <c r="X13" s="69">
        <v>5</v>
      </c>
      <c r="Y13" s="69">
        <v>43</v>
      </c>
      <c r="Z13" s="65">
        <f>15/43</f>
        <v>0.34883720930232559</v>
      </c>
      <c r="AA13" s="122">
        <v>102.6</v>
      </c>
      <c r="AB13" s="122">
        <v>104.5</v>
      </c>
      <c r="AC13" s="122">
        <f t="shared" si="0"/>
        <v>-1.9000000000000057</v>
      </c>
      <c r="AD13" s="122">
        <v>14.2</v>
      </c>
      <c r="AE13" s="122">
        <v>16.2</v>
      </c>
      <c r="AF13" s="65">
        <v>0.68600000000000005</v>
      </c>
      <c r="AG13" s="122">
        <v>13.3</v>
      </c>
      <c r="AH13" s="122">
        <v>1.1000000000000001</v>
      </c>
      <c r="AI13" s="122">
        <v>0.8</v>
      </c>
      <c r="AJ13" s="65">
        <v>0.14599999999999999</v>
      </c>
      <c r="AK13" s="122">
        <v>-2.8</v>
      </c>
      <c r="AL13" s="122">
        <v>1.5</v>
      </c>
      <c r="AM13" s="122">
        <v>0.1</v>
      </c>
      <c r="AN13" s="122">
        <v>7.6</v>
      </c>
    </row>
    <row r="14" spans="1:44" x14ac:dyDescent="0.2">
      <c r="A14" s="3"/>
      <c r="B14" s="3" t="s">
        <v>297</v>
      </c>
      <c r="C14" s="3"/>
      <c r="D14" s="108"/>
      <c r="E14" s="108"/>
      <c r="F14" s="109"/>
      <c r="G14" s="4"/>
      <c r="H14" s="113"/>
      <c r="I14" s="3"/>
      <c r="J14" s="3"/>
      <c r="K14" s="112"/>
      <c r="L14" s="112"/>
      <c r="M14" s="3"/>
      <c r="N14" s="3"/>
      <c r="O14" s="3"/>
      <c r="P14" s="16"/>
      <c r="Q14" s="19"/>
      <c r="R14" s="16"/>
      <c r="S14" s="16"/>
      <c r="T14" s="22"/>
      <c r="W14" s="60"/>
      <c r="X14" s="69"/>
      <c r="Y14" s="69"/>
      <c r="Z14" s="65"/>
      <c r="AA14" s="122"/>
      <c r="AB14" s="122"/>
      <c r="AC14" s="122"/>
      <c r="AD14" s="122"/>
      <c r="AE14" s="122"/>
      <c r="AF14" s="65"/>
      <c r="AG14" s="122"/>
      <c r="AH14" s="122"/>
      <c r="AI14" s="122"/>
      <c r="AJ14" s="65"/>
      <c r="AK14" s="122"/>
      <c r="AL14" s="122"/>
      <c r="AM14" s="122"/>
      <c r="AN14" s="122"/>
    </row>
    <row r="15" spans="1:44" x14ac:dyDescent="0.2">
      <c r="A15" s="3"/>
      <c r="B15" s="2" t="s">
        <v>298</v>
      </c>
      <c r="C15" s="3"/>
      <c r="D15" s="3"/>
      <c r="E15" s="3"/>
      <c r="F15" s="3"/>
      <c r="G15" s="3"/>
      <c r="H15" s="113"/>
      <c r="I15" s="3"/>
      <c r="J15" s="3"/>
      <c r="K15" s="55"/>
      <c r="L15" s="16"/>
      <c r="M15" s="16"/>
      <c r="N15" s="16"/>
      <c r="O15" s="16"/>
      <c r="P15" s="11">
        <v>7068360</v>
      </c>
      <c r="Q15" s="11">
        <v>7422000</v>
      </c>
      <c r="R15" s="31">
        <v>7775400</v>
      </c>
      <c r="S15" s="31">
        <f>R15*1.265</f>
        <v>9835881</v>
      </c>
      <c r="T15" s="32">
        <f>S15*3</f>
        <v>29507643</v>
      </c>
      <c r="W15" s="60"/>
      <c r="X15" s="69"/>
      <c r="Y15" s="69"/>
      <c r="Z15" s="65"/>
      <c r="AA15" s="122"/>
      <c r="AB15" s="122"/>
      <c r="AC15" s="122"/>
      <c r="AD15" s="122"/>
      <c r="AE15" s="122"/>
      <c r="AF15" s="65"/>
      <c r="AG15" s="122"/>
      <c r="AH15" s="122"/>
      <c r="AI15" s="122"/>
      <c r="AJ15" s="65"/>
      <c r="AK15" s="122"/>
      <c r="AL15" s="122"/>
      <c r="AM15" s="126"/>
      <c r="AN15" s="126"/>
    </row>
    <row r="16" spans="1:44" x14ac:dyDescent="0.2">
      <c r="B16" s="2" t="s">
        <v>2185</v>
      </c>
      <c r="H16" s="113"/>
      <c r="K16" s="120"/>
      <c r="L16" s="120"/>
      <c r="M16" s="120"/>
      <c r="N16" s="3"/>
      <c r="O16" s="22"/>
      <c r="P16" s="189">
        <v>898310</v>
      </c>
      <c r="Q16" s="61"/>
      <c r="R16" s="61"/>
      <c r="S16" s="61"/>
      <c r="T16" s="61"/>
      <c r="W16" s="60"/>
      <c r="X16" s="69"/>
      <c r="Y16" s="69"/>
      <c r="Z16" s="65"/>
      <c r="AA16" s="122"/>
      <c r="AB16" s="122"/>
      <c r="AC16" s="122"/>
      <c r="AD16" s="122"/>
      <c r="AE16" s="122"/>
      <c r="AF16" s="65"/>
      <c r="AG16" s="122"/>
      <c r="AH16" s="122"/>
      <c r="AI16" s="122"/>
      <c r="AJ16" s="65"/>
      <c r="AK16" s="122"/>
      <c r="AL16" s="122"/>
      <c r="AM16" s="126"/>
      <c r="AN16" s="126"/>
    </row>
    <row r="17" spans="1:40" x14ac:dyDescent="0.2">
      <c r="B17" s="3"/>
      <c r="C17" s="60"/>
      <c r="H17" s="113"/>
      <c r="J17" s="132"/>
      <c r="K17" s="120"/>
      <c r="L17" s="120"/>
      <c r="M17" s="75"/>
      <c r="N17" s="3"/>
      <c r="O17" s="22"/>
      <c r="P17" s="61"/>
      <c r="AA17" s="126"/>
      <c r="AB17" s="126"/>
      <c r="AC17" s="126"/>
      <c r="AD17" s="126"/>
      <c r="AE17" s="126"/>
      <c r="AF17" s="127"/>
      <c r="AG17" s="126"/>
      <c r="AH17" s="126"/>
      <c r="AI17" s="126"/>
      <c r="AJ17" s="127"/>
      <c r="AK17" s="126"/>
      <c r="AL17" s="126"/>
      <c r="AM17" s="126"/>
      <c r="AN17" s="126"/>
    </row>
    <row r="18" spans="1:40" x14ac:dyDescent="0.2">
      <c r="A18" s="3">
        <v>32</v>
      </c>
      <c r="B18" s="3" t="s">
        <v>24</v>
      </c>
      <c r="C18" s="3" t="s">
        <v>250</v>
      </c>
      <c r="D18" s="108">
        <v>63</v>
      </c>
      <c r="E18" s="108">
        <v>69</v>
      </c>
      <c r="F18" s="109">
        <v>205</v>
      </c>
      <c r="G18" s="4">
        <v>34411</v>
      </c>
      <c r="H18" s="113">
        <f t="shared" ca="1" si="1"/>
        <v>26.6</v>
      </c>
      <c r="I18" s="3" t="s">
        <v>576</v>
      </c>
      <c r="J18" s="3">
        <v>5</v>
      </c>
      <c r="K18" s="112">
        <v>2016</v>
      </c>
      <c r="L18" s="112">
        <v>5</v>
      </c>
      <c r="M18" s="3" t="s">
        <v>565</v>
      </c>
      <c r="N18" s="3"/>
      <c r="O18" s="3"/>
      <c r="P18" s="50">
        <f>16044021</f>
        <v>16044021</v>
      </c>
      <c r="Q18" s="12"/>
      <c r="R18" s="12"/>
      <c r="S18" s="12"/>
      <c r="T18" s="22"/>
      <c r="W18" s="60" t="s">
        <v>577</v>
      </c>
      <c r="X18" s="69">
        <v>1</v>
      </c>
      <c r="Y18" s="69">
        <v>51</v>
      </c>
      <c r="Z18" s="65">
        <f>19/51</f>
        <v>0.37254901960784315</v>
      </c>
      <c r="AA18" s="122">
        <v>103.5</v>
      </c>
      <c r="AB18" s="122">
        <v>103.6</v>
      </c>
      <c r="AC18" s="122">
        <f t="shared" ref="AC18:AC22" si="2">AA18-AB18</f>
        <v>-9.9999999999994316E-2</v>
      </c>
      <c r="AD18" s="122">
        <v>24.9</v>
      </c>
      <c r="AE18" s="122">
        <v>12.1</v>
      </c>
      <c r="AF18" s="65">
        <v>0.51</v>
      </c>
      <c r="AG18" s="122">
        <v>14.6</v>
      </c>
      <c r="AH18" s="122">
        <v>0.3</v>
      </c>
      <c r="AI18" s="122">
        <v>2</v>
      </c>
      <c r="AJ18" s="65">
        <v>8.5000000000000006E-2</v>
      </c>
      <c r="AK18" s="122">
        <v>-3.7</v>
      </c>
      <c r="AL18" s="122">
        <v>3.1</v>
      </c>
      <c r="AM18" s="122">
        <v>0.4</v>
      </c>
      <c r="AN18" s="122">
        <v>8.1999999999999993</v>
      </c>
    </row>
    <row r="19" spans="1:40" ht="17" x14ac:dyDescent="0.2">
      <c r="A19" s="3">
        <v>45</v>
      </c>
      <c r="B19" s="3" t="s">
        <v>25</v>
      </c>
      <c r="C19" s="3" t="s">
        <v>255</v>
      </c>
      <c r="D19" s="108">
        <v>64</v>
      </c>
      <c r="E19" s="108">
        <v>610</v>
      </c>
      <c r="F19" s="109">
        <v>220</v>
      </c>
      <c r="G19" s="4">
        <v>34289</v>
      </c>
      <c r="H19" s="113">
        <f t="shared" ca="1" si="1"/>
        <v>26.9</v>
      </c>
      <c r="I19" s="3" t="s">
        <v>513</v>
      </c>
      <c r="J19" s="3">
        <v>5</v>
      </c>
      <c r="K19" s="112">
        <v>2016</v>
      </c>
      <c r="L19" s="112">
        <v>14</v>
      </c>
      <c r="M19" s="3" t="s">
        <v>586</v>
      </c>
      <c r="N19" s="3"/>
      <c r="O19" s="3"/>
      <c r="P19" s="50">
        <v>10132706</v>
      </c>
      <c r="Q19" s="35"/>
      <c r="R19" s="12"/>
      <c r="S19" s="12"/>
      <c r="T19" s="22"/>
      <c r="W19" s="60" t="s">
        <v>587</v>
      </c>
      <c r="X19" s="69">
        <v>3</v>
      </c>
      <c r="Y19" s="69">
        <v>36</v>
      </c>
      <c r="Z19" s="65">
        <f>12/36</f>
        <v>0.33333333333333331</v>
      </c>
      <c r="AA19" s="122">
        <v>99.7</v>
      </c>
      <c r="AB19" s="122">
        <v>104.7</v>
      </c>
      <c r="AC19" s="122">
        <f t="shared" si="2"/>
        <v>-5</v>
      </c>
      <c r="AD19" s="122">
        <v>13.6</v>
      </c>
      <c r="AE19" s="122">
        <v>13</v>
      </c>
      <c r="AF19" s="65">
        <v>0.51100000000000001</v>
      </c>
      <c r="AG19" s="122">
        <v>23.3</v>
      </c>
      <c r="AH19" s="122">
        <v>-0.1</v>
      </c>
      <c r="AI19" s="122">
        <v>0.6</v>
      </c>
      <c r="AJ19" s="65">
        <v>4.8000000000000001E-2</v>
      </c>
      <c r="AK19" s="122">
        <v>-0.7</v>
      </c>
      <c r="AL19" s="122">
        <v>0.2</v>
      </c>
      <c r="AM19" s="122">
        <v>0.2</v>
      </c>
      <c r="AN19" s="122">
        <v>9.4</v>
      </c>
    </row>
    <row r="20" spans="1:40" x14ac:dyDescent="0.2">
      <c r="A20" s="3">
        <v>3</v>
      </c>
      <c r="B20" s="3" t="s">
        <v>26</v>
      </c>
      <c r="C20" s="3" t="s">
        <v>255</v>
      </c>
      <c r="D20" s="108">
        <v>67</v>
      </c>
      <c r="E20" s="108"/>
      <c r="F20" s="109">
        <v>190</v>
      </c>
      <c r="G20" s="4">
        <v>34248</v>
      </c>
      <c r="H20" s="113">
        <f t="shared" ca="1" si="1"/>
        <v>27</v>
      </c>
      <c r="I20" s="3" t="s">
        <v>598</v>
      </c>
      <c r="J20" s="3">
        <v>4</v>
      </c>
      <c r="K20" s="112">
        <v>2016</v>
      </c>
      <c r="L20" s="112"/>
      <c r="M20" s="3" t="s">
        <v>599</v>
      </c>
      <c r="N20" s="3"/>
      <c r="O20" s="3"/>
      <c r="P20" s="50">
        <v>2025705</v>
      </c>
      <c r="Q20" s="12"/>
      <c r="R20" s="12"/>
      <c r="S20" s="12"/>
      <c r="T20" s="22"/>
      <c r="W20" s="60" t="s">
        <v>600</v>
      </c>
      <c r="X20" s="69">
        <v>3</v>
      </c>
      <c r="Y20" s="69">
        <v>43</v>
      </c>
      <c r="Z20" s="65">
        <f>14/43</f>
        <v>0.32558139534883723</v>
      </c>
      <c r="AA20" s="122">
        <v>106.5</v>
      </c>
      <c r="AB20" s="122">
        <v>99.7</v>
      </c>
      <c r="AC20" s="122">
        <f t="shared" si="2"/>
        <v>6.7999999999999972</v>
      </c>
      <c r="AD20" s="122">
        <v>11.3</v>
      </c>
      <c r="AE20" s="122">
        <v>17.8</v>
      </c>
      <c r="AF20" s="65">
        <v>0.55900000000000005</v>
      </c>
      <c r="AG20" s="122">
        <v>18.100000000000001</v>
      </c>
      <c r="AH20" s="122">
        <v>0.8</v>
      </c>
      <c r="AI20" s="122">
        <v>0.8</v>
      </c>
      <c r="AJ20" s="65">
        <v>0.153</v>
      </c>
      <c r="AK20" s="122">
        <v>0.4</v>
      </c>
      <c r="AL20" s="122">
        <v>2.4</v>
      </c>
      <c r="AM20" s="122">
        <v>0.6</v>
      </c>
      <c r="AN20" s="122">
        <v>11.4</v>
      </c>
    </row>
    <row r="21" spans="1:40" x14ac:dyDescent="0.2">
      <c r="A21" s="3">
        <v>20</v>
      </c>
      <c r="B21" s="3" t="s">
        <v>605</v>
      </c>
      <c r="C21" s="3" t="s">
        <v>244</v>
      </c>
      <c r="D21" s="108">
        <v>65</v>
      </c>
      <c r="E21" s="108">
        <v>610</v>
      </c>
      <c r="F21" s="109">
        <v>190</v>
      </c>
      <c r="G21" s="4">
        <v>35994</v>
      </c>
      <c r="H21" s="113">
        <f t="shared" ca="1" si="1"/>
        <v>22.2</v>
      </c>
      <c r="I21" s="3" t="s">
        <v>606</v>
      </c>
      <c r="J21" s="3">
        <v>2</v>
      </c>
      <c r="K21" s="112">
        <v>2019</v>
      </c>
      <c r="L21" s="112"/>
      <c r="M21" s="3" t="s">
        <v>607</v>
      </c>
      <c r="N21" s="3"/>
      <c r="O21" s="3"/>
      <c r="P21" s="68">
        <v>1445697</v>
      </c>
      <c r="Q21" s="12"/>
      <c r="R21" s="12"/>
      <c r="S21" s="3"/>
      <c r="T21" s="22"/>
      <c r="W21" s="60" t="s">
        <v>608</v>
      </c>
      <c r="X21" s="69">
        <v>3</v>
      </c>
      <c r="Y21" s="69">
        <v>11</v>
      </c>
      <c r="Z21" s="65">
        <f>3/11</f>
        <v>0.27272727272727271</v>
      </c>
      <c r="AA21" s="122">
        <v>121.4</v>
      </c>
      <c r="AB21" s="122">
        <v>104.4</v>
      </c>
      <c r="AC21" s="122">
        <f t="shared" si="2"/>
        <v>17</v>
      </c>
      <c r="AD21" s="122">
        <v>10.199999999999999</v>
      </c>
      <c r="AE21" s="122">
        <v>8.1999999999999993</v>
      </c>
      <c r="AF21" s="65">
        <v>0.53800000000000003</v>
      </c>
      <c r="AG21" s="122">
        <v>12.1</v>
      </c>
      <c r="AH21" s="122">
        <v>0.1</v>
      </c>
      <c r="AI21" s="122">
        <v>0.1</v>
      </c>
      <c r="AJ21" s="65">
        <v>7.2999999999999995E-2</v>
      </c>
      <c r="AK21" s="122">
        <v>-3.1</v>
      </c>
      <c r="AL21" s="122">
        <v>-1</v>
      </c>
      <c r="AM21" s="122">
        <v>-0.1</v>
      </c>
      <c r="AN21" s="122">
        <v>2.2999999999999998</v>
      </c>
    </row>
    <row r="22" spans="1:40" x14ac:dyDescent="0.2">
      <c r="A22" s="3">
        <v>28</v>
      </c>
      <c r="B22" s="3" t="s">
        <v>609</v>
      </c>
      <c r="C22" s="3" t="s">
        <v>244</v>
      </c>
      <c r="D22" s="108">
        <v>65</v>
      </c>
      <c r="E22" s="108">
        <v>69</v>
      </c>
      <c r="F22" s="109">
        <v>215</v>
      </c>
      <c r="G22" s="4">
        <v>35152</v>
      </c>
      <c r="H22" s="113">
        <f t="shared" ca="1" si="1"/>
        <v>24.5</v>
      </c>
      <c r="I22" s="3" t="s">
        <v>457</v>
      </c>
      <c r="J22" s="3">
        <v>2</v>
      </c>
      <c r="K22" s="112">
        <v>2019</v>
      </c>
      <c r="L22" s="112"/>
      <c r="M22" s="3" t="s">
        <v>610</v>
      </c>
      <c r="N22" s="3"/>
      <c r="O22" s="3"/>
      <c r="P22" s="68">
        <v>1445697</v>
      </c>
      <c r="Q22" s="12"/>
      <c r="R22" s="12"/>
      <c r="S22" s="12"/>
      <c r="T22" s="22"/>
      <c r="W22" s="98" t="s">
        <v>611</v>
      </c>
      <c r="X22" s="69">
        <v>2</v>
      </c>
      <c r="Y22" s="69">
        <v>2</v>
      </c>
      <c r="Z22" s="65">
        <f>0/2</f>
        <v>0</v>
      </c>
      <c r="AA22" s="122">
        <v>193.3</v>
      </c>
      <c r="AB22" s="122">
        <v>87.5</v>
      </c>
      <c r="AC22" s="122">
        <f t="shared" si="2"/>
        <v>105.80000000000001</v>
      </c>
      <c r="AD22" s="122">
        <v>3.1</v>
      </c>
      <c r="AE22" s="122">
        <v>30.7</v>
      </c>
      <c r="AF22" s="65">
        <v>0.72699999999999998</v>
      </c>
      <c r="AG22" s="122">
        <v>24.4</v>
      </c>
      <c r="AH22" s="122">
        <v>0</v>
      </c>
      <c r="AI22" s="122">
        <v>0</v>
      </c>
      <c r="AJ22" s="65">
        <v>0.317</v>
      </c>
      <c r="AK22" s="122">
        <v>5.4</v>
      </c>
      <c r="AL22" s="122">
        <v>-1</v>
      </c>
      <c r="AM22" s="122">
        <v>0</v>
      </c>
      <c r="AN22" s="122">
        <v>12.3</v>
      </c>
    </row>
    <row r="23" spans="1:40" x14ac:dyDescent="0.2">
      <c r="B23" s="3"/>
      <c r="C23" s="60"/>
      <c r="H23" s="63"/>
      <c r="J23" s="132"/>
      <c r="K23" s="120"/>
      <c r="L23" s="120"/>
      <c r="M23" s="75"/>
      <c r="N23" s="3"/>
      <c r="O23" s="22"/>
      <c r="P23" s="61"/>
      <c r="AA23" s="126"/>
      <c r="AB23" s="126"/>
      <c r="AC23" s="126"/>
      <c r="AD23" s="126"/>
      <c r="AE23" s="126"/>
      <c r="AF23" s="127"/>
      <c r="AG23" s="126"/>
      <c r="AH23" s="126"/>
      <c r="AI23" s="126"/>
      <c r="AJ23" s="127"/>
      <c r="AK23" s="126"/>
      <c r="AL23" s="126"/>
      <c r="AM23" s="126"/>
      <c r="AN23" s="126"/>
    </row>
    <row r="24" spans="1:40" x14ac:dyDescent="0.2">
      <c r="B24" s="3"/>
      <c r="C24" s="60"/>
      <c r="G24" s="62">
        <f ca="1">TODAY()</f>
        <v>44128</v>
      </c>
      <c r="H24" s="63">
        <f ca="1">AVERAGE(H2:H13)</f>
        <v>25.499999999999996</v>
      </c>
      <c r="J24" s="63">
        <f>AVERAGE(J2:J13)</f>
        <v>5.166666666666667</v>
      </c>
      <c r="K24" s="120"/>
      <c r="L24" s="120"/>
      <c r="M24" s="75"/>
      <c r="N24" s="3"/>
      <c r="O24" s="22"/>
      <c r="P24" s="61"/>
      <c r="AA24" s="126"/>
      <c r="AB24" s="126"/>
      <c r="AC24" s="126"/>
      <c r="AD24" s="126"/>
      <c r="AE24" s="126"/>
      <c r="AF24" s="127"/>
      <c r="AG24" s="126"/>
      <c r="AH24" s="126"/>
      <c r="AI24" s="126"/>
      <c r="AJ24" s="127"/>
      <c r="AK24" s="126"/>
      <c r="AL24" s="126"/>
      <c r="AM24" s="126"/>
      <c r="AN24" s="126"/>
    </row>
    <row r="25" spans="1:40" x14ac:dyDescent="0.2">
      <c r="B25" s="3"/>
      <c r="C25" s="60"/>
      <c r="H25" s="63">
        <f ca="1">MEDIAN(H2:H13)</f>
        <v>25.4</v>
      </c>
      <c r="J25" s="132">
        <f>MEDIAN(J2:J13)</f>
        <v>4</v>
      </c>
      <c r="K25" s="120"/>
      <c r="L25" s="120"/>
      <c r="M25" s="75"/>
      <c r="N25" s="3"/>
      <c r="O25" s="22"/>
      <c r="P25" s="61"/>
      <c r="AA25" s="126"/>
      <c r="AB25" s="126"/>
      <c r="AC25" s="126"/>
      <c r="AD25" s="126"/>
      <c r="AE25" s="126"/>
      <c r="AF25" s="127"/>
      <c r="AG25" s="126"/>
      <c r="AH25" s="126"/>
      <c r="AI25" s="126"/>
      <c r="AJ25" s="127"/>
      <c r="AK25" s="126"/>
      <c r="AL25" s="126"/>
      <c r="AM25" s="126"/>
      <c r="AN25" s="126"/>
    </row>
    <row r="26" spans="1:40" x14ac:dyDescent="0.2">
      <c r="B26" s="5" t="s">
        <v>2224</v>
      </c>
      <c r="C26" s="60"/>
      <c r="H26" s="63"/>
      <c r="J26" s="132"/>
      <c r="K26" s="120"/>
      <c r="L26" s="120"/>
      <c r="M26" s="75"/>
      <c r="N26" s="3"/>
      <c r="O26" s="22"/>
      <c r="P26" s="61">
        <f>P3+P4+P5+P6+P15+P7+P8+P9+P10+P11+P12+P13</f>
        <v>84606829</v>
      </c>
      <c r="AA26" s="126"/>
      <c r="AB26" s="126"/>
      <c r="AC26" s="126"/>
      <c r="AD26" s="126"/>
      <c r="AE26" s="126"/>
      <c r="AF26" s="127"/>
      <c r="AG26" s="126"/>
      <c r="AH26" s="126"/>
      <c r="AI26" s="126"/>
      <c r="AJ26" s="127"/>
      <c r="AK26" s="126"/>
      <c r="AL26" s="126"/>
      <c r="AM26" s="126"/>
      <c r="AN26" s="126"/>
    </row>
    <row r="27" spans="1:40" x14ac:dyDescent="0.2">
      <c r="B27" s="3" t="s">
        <v>2085</v>
      </c>
      <c r="C27" s="60">
        <v>11</v>
      </c>
      <c r="J27" s="3"/>
      <c r="K27" s="75"/>
      <c r="L27" s="120"/>
      <c r="M27" s="75"/>
      <c r="N27" s="75"/>
      <c r="O27" s="75"/>
      <c r="P27" s="123">
        <f>P2+P3+P4+P5+P6+P15+P7+P8+P9+P10+P11+P12+P13</f>
        <v>113096068</v>
      </c>
      <c r="AF27" s="127"/>
      <c r="AG27" s="126"/>
      <c r="AH27" s="126"/>
      <c r="AI27" s="126"/>
      <c r="AJ27" s="127"/>
      <c r="AK27" s="126"/>
      <c r="AL27" s="126"/>
      <c r="AM27" s="126"/>
      <c r="AN27" s="126"/>
    </row>
    <row r="28" spans="1:40" x14ac:dyDescent="0.2">
      <c r="B28" s="3" t="s">
        <v>2088</v>
      </c>
      <c r="C28" s="60">
        <v>1</v>
      </c>
      <c r="J28" s="4"/>
      <c r="K28" s="3"/>
      <c r="L28" s="19"/>
      <c r="M28" s="75"/>
      <c r="N28" s="75"/>
      <c r="O28" s="75"/>
      <c r="P28" s="199"/>
      <c r="R28" s="192"/>
      <c r="AF28" s="127"/>
      <c r="AG28" s="126"/>
      <c r="AH28" s="126"/>
      <c r="AI28" s="126"/>
      <c r="AJ28" s="127"/>
      <c r="AK28" s="126"/>
      <c r="AL28" s="126"/>
      <c r="AM28" s="126"/>
      <c r="AN28" s="126"/>
    </row>
    <row r="29" spans="1:40" x14ac:dyDescent="0.2">
      <c r="B29" s="3" t="s">
        <v>2086</v>
      </c>
      <c r="C29" s="60">
        <v>2</v>
      </c>
      <c r="J29" s="4"/>
      <c r="K29" s="3"/>
      <c r="L29" s="19"/>
      <c r="M29" s="75"/>
      <c r="N29" s="75"/>
      <c r="O29" s="3" t="s">
        <v>300</v>
      </c>
      <c r="P29" s="22">
        <v>109140000</v>
      </c>
      <c r="R29" s="192"/>
      <c r="AF29" s="127"/>
      <c r="AG29" s="126"/>
      <c r="AH29" s="126"/>
      <c r="AI29" s="126"/>
      <c r="AJ29" s="127"/>
      <c r="AK29" s="126"/>
      <c r="AL29" s="126"/>
      <c r="AM29" s="126"/>
      <c r="AN29" s="126"/>
    </row>
    <row r="30" spans="1:40" x14ac:dyDescent="0.2">
      <c r="B30" s="3" t="s">
        <v>2219</v>
      </c>
      <c r="C30" s="60" t="s">
        <v>2271</v>
      </c>
      <c r="J30" s="4"/>
      <c r="K30" s="3"/>
      <c r="L30" s="19"/>
      <c r="M30" s="75"/>
      <c r="N30" s="75"/>
      <c r="O30" s="22" t="s">
        <v>302</v>
      </c>
      <c r="P30" s="22">
        <v>132627000</v>
      </c>
      <c r="R30" s="192"/>
      <c r="AF30" s="127"/>
      <c r="AG30" s="126"/>
      <c r="AH30" s="126"/>
      <c r="AI30" s="126"/>
      <c r="AJ30" s="127"/>
      <c r="AK30" s="126"/>
      <c r="AL30" s="126"/>
      <c r="AM30" s="126"/>
      <c r="AN30" s="126"/>
    </row>
    <row r="31" spans="1:40" ht="17" x14ac:dyDescent="0.2">
      <c r="B31" s="24" t="s">
        <v>301</v>
      </c>
      <c r="C31" s="67">
        <v>0</v>
      </c>
      <c r="H31" s="3"/>
      <c r="J31" s="3"/>
      <c r="K31" s="75"/>
      <c r="L31" s="116"/>
      <c r="M31" s="75"/>
      <c r="N31" s="75"/>
      <c r="O31" s="3"/>
      <c r="P31" s="22"/>
      <c r="AG31" s="126"/>
      <c r="AH31" s="126"/>
      <c r="AI31" s="126"/>
      <c r="AJ31" s="127"/>
      <c r="AK31" s="126"/>
      <c r="AL31" s="126"/>
      <c r="AM31" s="126"/>
      <c r="AN31" s="126"/>
    </row>
    <row r="32" spans="1:40" x14ac:dyDescent="0.2">
      <c r="B32" s="3" t="s">
        <v>303</v>
      </c>
      <c r="C32" s="67">
        <v>0</v>
      </c>
      <c r="J32" s="3"/>
      <c r="K32" s="58"/>
      <c r="L32" s="75"/>
      <c r="M32" s="75"/>
      <c r="N32" s="75"/>
      <c r="O32" s="3"/>
      <c r="P32" s="22"/>
      <c r="AG32" s="126"/>
      <c r="AH32" s="126"/>
      <c r="AI32" s="126"/>
      <c r="AK32" s="126"/>
      <c r="AL32" s="126"/>
      <c r="AM32" s="126"/>
      <c r="AN32" s="126"/>
    </row>
    <row r="33" spans="2:16" x14ac:dyDescent="0.2">
      <c r="B33" s="3"/>
      <c r="C33" s="67"/>
      <c r="J33" s="3"/>
      <c r="K33" s="58"/>
      <c r="L33" s="75"/>
      <c r="M33" s="75"/>
      <c r="N33" s="75"/>
      <c r="O33" s="22"/>
      <c r="P33" s="22"/>
    </row>
    <row r="34" spans="2:16" x14ac:dyDescent="0.2">
      <c r="B34" s="5" t="s">
        <v>2084</v>
      </c>
      <c r="C34" s="67"/>
      <c r="J34" s="3"/>
      <c r="K34" s="58"/>
      <c r="L34" s="75"/>
      <c r="M34" s="75"/>
      <c r="N34" s="75"/>
      <c r="O34" s="22"/>
      <c r="P34" s="22"/>
    </row>
    <row r="35" spans="2:16" x14ac:dyDescent="0.2">
      <c r="B35" s="3" t="s">
        <v>304</v>
      </c>
      <c r="C35" s="41">
        <f>22/65</f>
        <v>0.33846153846153848</v>
      </c>
      <c r="D35" s="3" t="s">
        <v>2234</v>
      </c>
      <c r="E35" s="3"/>
      <c r="J35" s="3"/>
      <c r="K35" s="58"/>
      <c r="L35" s="75"/>
      <c r="M35" s="75"/>
      <c r="N35" s="75"/>
      <c r="O35" s="3"/>
    </row>
    <row r="36" spans="2:16" x14ac:dyDescent="0.2">
      <c r="B36" s="3" t="s">
        <v>306</v>
      </c>
      <c r="C36" s="113">
        <v>105.8</v>
      </c>
      <c r="D36" s="3" t="s">
        <v>2194</v>
      </c>
      <c r="E36" s="3"/>
    </row>
    <row r="37" spans="2:16" x14ac:dyDescent="0.2">
      <c r="B37" s="3" t="s">
        <v>307</v>
      </c>
      <c r="C37" s="113">
        <v>108.9</v>
      </c>
      <c r="D37" s="3" t="s">
        <v>2235</v>
      </c>
      <c r="E37" s="3"/>
    </row>
    <row r="38" spans="2:16" x14ac:dyDescent="0.2">
      <c r="B38" s="3" t="s">
        <v>308</v>
      </c>
      <c r="C38" s="113">
        <f>C36-C37</f>
        <v>-3.1000000000000085</v>
      </c>
      <c r="D38" s="3" t="s">
        <v>2230</v>
      </c>
      <c r="E38" s="3"/>
    </row>
    <row r="39" spans="2:16" x14ac:dyDescent="0.2">
      <c r="B39" s="3" t="s">
        <v>309</v>
      </c>
      <c r="C39" s="36">
        <v>100.46</v>
      </c>
      <c r="D39" s="3" t="s">
        <v>2193</v>
      </c>
      <c r="E39" s="3"/>
    </row>
    <row r="40" spans="2:16" x14ac:dyDescent="0.2">
      <c r="B40" s="3"/>
      <c r="C40" s="3"/>
      <c r="D40" s="3"/>
      <c r="E40" s="3"/>
    </row>
    <row r="41" spans="2:16" x14ac:dyDescent="0.2">
      <c r="B41" s="2" t="s">
        <v>310</v>
      </c>
      <c r="C41" s="3"/>
      <c r="D41" s="3"/>
      <c r="E41" s="3"/>
    </row>
    <row r="42" spans="2:16" x14ac:dyDescent="0.2">
      <c r="B42" s="2" t="s">
        <v>614</v>
      </c>
      <c r="C42" s="3"/>
      <c r="D42" s="3"/>
      <c r="E42" s="3"/>
    </row>
    <row r="43" spans="2:16" x14ac:dyDescent="0.2">
      <c r="B43" s="2" t="s">
        <v>615</v>
      </c>
      <c r="C43" s="3"/>
      <c r="D43" s="3"/>
      <c r="E43" s="3"/>
    </row>
    <row r="44" spans="2:16" x14ac:dyDescent="0.2">
      <c r="B44" s="10"/>
      <c r="C44" s="3"/>
      <c r="D44" s="3"/>
      <c r="E44" s="3"/>
    </row>
    <row r="45" spans="2:16" x14ac:dyDescent="0.2">
      <c r="B45" s="2" t="s">
        <v>318</v>
      </c>
      <c r="C45" s="3"/>
      <c r="D45" s="3"/>
      <c r="E45" s="3"/>
    </row>
    <row r="46" spans="2:16" x14ac:dyDescent="0.2">
      <c r="B46" s="2" t="s">
        <v>616</v>
      </c>
      <c r="C46" s="3"/>
      <c r="D46" s="3"/>
      <c r="E46" s="3"/>
    </row>
    <row r="47" spans="2:16" x14ac:dyDescent="0.2">
      <c r="B47" s="2"/>
      <c r="C47" s="3"/>
      <c r="D47" s="3"/>
      <c r="E47" s="3"/>
    </row>
    <row r="48" spans="2:16" x14ac:dyDescent="0.2">
      <c r="B48" s="205" t="s">
        <v>2228</v>
      </c>
      <c r="C48" s="3"/>
      <c r="D48" s="3"/>
      <c r="E48" s="3"/>
    </row>
    <row r="49" spans="2:10" x14ac:dyDescent="0.2">
      <c r="B49" s="39" t="s">
        <v>322</v>
      </c>
      <c r="C49" s="3">
        <v>22</v>
      </c>
      <c r="D49" s="3">
        <v>43</v>
      </c>
      <c r="E49" s="3" t="s">
        <v>552</v>
      </c>
      <c r="G49" s="3" t="s">
        <v>613</v>
      </c>
      <c r="H49" s="12"/>
      <c r="J49" s="144" t="s">
        <v>324</v>
      </c>
    </row>
    <row r="50" spans="2:10" x14ac:dyDescent="0.2">
      <c r="B50" s="37" t="s">
        <v>325</v>
      </c>
      <c r="C50" s="3">
        <v>22</v>
      </c>
      <c r="D50" s="3">
        <v>60</v>
      </c>
      <c r="E50" s="3" t="s">
        <v>617</v>
      </c>
      <c r="F50" s="3"/>
      <c r="G50" t="s">
        <v>613</v>
      </c>
      <c r="J50" s="144" t="s">
        <v>324</v>
      </c>
    </row>
    <row r="51" spans="2:10" x14ac:dyDescent="0.2">
      <c r="B51" s="37" t="s">
        <v>327</v>
      </c>
      <c r="C51" s="3">
        <v>27</v>
      </c>
      <c r="D51" s="3">
        <v>55</v>
      </c>
      <c r="E51" s="3" t="s">
        <v>617</v>
      </c>
      <c r="F51" s="3"/>
      <c r="G51" s="3" t="s">
        <v>618</v>
      </c>
      <c r="H51" s="12"/>
      <c r="J51" s="144" t="s">
        <v>324</v>
      </c>
    </row>
    <row r="52" spans="2:10" x14ac:dyDescent="0.2">
      <c r="B52" s="37" t="s">
        <v>330</v>
      </c>
      <c r="C52" s="3">
        <v>41</v>
      </c>
      <c r="D52" s="3">
        <v>41</v>
      </c>
      <c r="E52" s="3" t="s">
        <v>340</v>
      </c>
      <c r="F52" s="3"/>
      <c r="G52" s="3" t="s">
        <v>619</v>
      </c>
      <c r="H52" s="12"/>
      <c r="J52" s="3" t="s">
        <v>620</v>
      </c>
    </row>
    <row r="53" spans="2:10" x14ac:dyDescent="0.2">
      <c r="B53" s="37" t="s">
        <v>333</v>
      </c>
      <c r="C53" s="3">
        <v>42</v>
      </c>
      <c r="D53" s="3">
        <v>40</v>
      </c>
      <c r="E53" s="3" t="s">
        <v>550</v>
      </c>
      <c r="F53" s="3"/>
      <c r="G53" s="3" t="s">
        <v>619</v>
      </c>
      <c r="H53" s="3"/>
      <c r="J53" s="180" t="s">
        <v>324</v>
      </c>
    </row>
    <row r="54" spans="2:10" x14ac:dyDescent="0.2">
      <c r="B54" s="37" t="s">
        <v>336</v>
      </c>
      <c r="C54" s="3">
        <v>50</v>
      </c>
      <c r="D54" s="3">
        <v>32</v>
      </c>
      <c r="E54" s="3" t="s">
        <v>411</v>
      </c>
      <c r="F54" s="3"/>
      <c r="G54" s="3" t="s">
        <v>619</v>
      </c>
      <c r="H54" s="12"/>
      <c r="J54" s="3" t="s">
        <v>621</v>
      </c>
    </row>
    <row r="55" spans="2:10" x14ac:dyDescent="0.2">
      <c r="B55" s="37" t="s">
        <v>339</v>
      </c>
      <c r="C55" s="3">
        <v>48</v>
      </c>
      <c r="D55" s="3">
        <v>34</v>
      </c>
      <c r="E55" s="3" t="s">
        <v>334</v>
      </c>
      <c r="F55" s="3"/>
      <c r="G55" s="3" t="s">
        <v>622</v>
      </c>
      <c r="H55" s="3"/>
      <c r="J55" s="3" t="s">
        <v>623</v>
      </c>
    </row>
    <row r="56" spans="2:10" x14ac:dyDescent="0.2">
      <c r="B56" s="37" t="s">
        <v>342</v>
      </c>
      <c r="C56" s="3">
        <v>45</v>
      </c>
      <c r="D56" s="3">
        <v>37</v>
      </c>
      <c r="E56" s="3" t="s">
        <v>331</v>
      </c>
      <c r="F56" s="3"/>
      <c r="G56" s="3" t="s">
        <v>622</v>
      </c>
      <c r="H56" s="3"/>
      <c r="J56" s="3" t="s">
        <v>624</v>
      </c>
    </row>
    <row r="57" spans="2:10" x14ac:dyDescent="0.2">
      <c r="B57" s="37" t="s">
        <v>346</v>
      </c>
      <c r="C57" s="3">
        <v>50</v>
      </c>
      <c r="D57" s="3">
        <v>16</v>
      </c>
      <c r="E57" s="3" t="s">
        <v>337</v>
      </c>
      <c r="F57" s="3"/>
      <c r="G57" s="3" t="s">
        <v>622</v>
      </c>
      <c r="H57" s="3"/>
      <c r="J57" s="3" t="s">
        <v>625</v>
      </c>
    </row>
    <row r="58" spans="2:10" x14ac:dyDescent="0.2">
      <c r="B58" s="37" t="s">
        <v>348</v>
      </c>
      <c r="C58" s="3">
        <v>62</v>
      </c>
      <c r="D58" s="3">
        <v>20</v>
      </c>
      <c r="E58" s="3" t="s">
        <v>337</v>
      </c>
      <c r="F58" s="3"/>
      <c r="G58" s="3" t="s">
        <v>622</v>
      </c>
      <c r="H58" s="3"/>
      <c r="J58" s="3" t="s">
        <v>626</v>
      </c>
    </row>
    <row r="59" spans="2:10" x14ac:dyDescent="0.2">
      <c r="B59" s="3" t="s">
        <v>350</v>
      </c>
      <c r="C59" s="3">
        <f>SUM(C49:C58)</f>
        <v>409</v>
      </c>
      <c r="D59" s="3">
        <f>SUM(D49:D58)</f>
        <v>378</v>
      </c>
      <c r="E59" s="41">
        <f>C59/(D59+C59)</f>
        <v>0.51969504447268111</v>
      </c>
      <c r="G59" s="3" t="s">
        <v>622</v>
      </c>
      <c r="H59" s="3"/>
      <c r="J59" s="3"/>
    </row>
  </sheetData>
  <pageMargins left="0.7" right="0.7" top="0.75" bottom="0.75" header="0.3" footer="0.3"/>
  <pageSetup orientation="portrait" horizontalDpi="0" verticalDpi="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97E46-845A-CD42-B619-EF400118CD20}">
  <dimension ref="A1:AR65"/>
  <sheetViews>
    <sheetView zoomScaleNormal="100" workbookViewId="0">
      <selection sqref="A1:AR1"/>
    </sheetView>
  </sheetViews>
  <sheetFormatPr baseColWidth="10" defaultColWidth="18.6640625" defaultRowHeight="16" x14ac:dyDescent="0.2"/>
  <cols>
    <col min="1" max="1" width="3.83203125" style="60" bestFit="1" customWidth="1"/>
    <col min="2" max="2" width="18.6640625" style="60"/>
    <col min="3" max="3" width="12.83203125" style="60" customWidth="1"/>
    <col min="4" max="4" width="7.33203125" style="60" customWidth="1"/>
    <col min="5" max="5" width="10.33203125" style="60" customWidth="1"/>
    <col min="6" max="6" width="9.1640625" style="60" customWidth="1"/>
    <col min="7" max="7" width="10.6640625" style="60" customWidth="1"/>
    <col min="8" max="8" width="7.1640625" style="60" customWidth="1"/>
    <col min="9" max="9" width="26.33203125" style="60" customWidth="1"/>
    <col min="10" max="10" width="11.1640625" style="60" customWidth="1"/>
    <col min="11" max="11" width="13.5" style="60" customWidth="1"/>
    <col min="12" max="12" width="5.5" style="60" customWidth="1"/>
    <col min="13" max="13" width="28" style="60" customWidth="1"/>
    <col min="14" max="14" width="15.6640625" style="60" customWidth="1"/>
    <col min="15" max="15" width="47.6640625" style="60" customWidth="1"/>
    <col min="16" max="16" width="14" style="60" customWidth="1"/>
    <col min="17" max="17" width="12.33203125" style="60" customWidth="1"/>
    <col min="18" max="18" width="12" style="60" customWidth="1"/>
    <col min="19" max="19" width="13" style="60" customWidth="1"/>
    <col min="20" max="20" width="12.33203125" style="60" customWidth="1"/>
    <col min="21" max="21" width="16.83203125" style="60" customWidth="1"/>
    <col min="22" max="22" width="103.33203125" style="60" customWidth="1"/>
    <col min="23" max="23" width="25.83203125" style="60" customWidth="1"/>
    <col min="24" max="24" width="10.33203125" style="60" customWidth="1"/>
    <col min="25" max="25" width="4.33203125" style="60" customWidth="1"/>
    <col min="26" max="26" width="8.1640625" style="60" customWidth="1"/>
    <col min="27" max="27" width="7.5" style="60" customWidth="1"/>
    <col min="28" max="28" width="6.6640625" style="60" customWidth="1"/>
    <col min="29" max="29" width="7.5" style="60" customWidth="1"/>
    <col min="30" max="30" width="5.1640625" style="60" customWidth="1"/>
    <col min="31" max="31" width="4.83203125" style="60" customWidth="1"/>
    <col min="32" max="32" width="6.1640625" style="60" customWidth="1"/>
    <col min="33" max="33" width="7.6640625" style="60" customWidth="1"/>
    <col min="34" max="34" width="5.6640625" style="60" customWidth="1"/>
    <col min="35" max="35" width="5" style="60" customWidth="1"/>
    <col min="36" max="36" width="6.83203125" style="60" customWidth="1"/>
    <col min="37" max="37" width="6.33203125" style="60" customWidth="1"/>
    <col min="38" max="38" width="6.1640625" style="60" customWidth="1"/>
    <col min="39" max="39" width="6" style="60" customWidth="1"/>
    <col min="40" max="40" width="5.1640625" style="60" customWidth="1"/>
    <col min="41" max="16384" width="18.6640625" style="60"/>
  </cols>
  <sheetData>
    <row r="1" spans="1:44" x14ac:dyDescent="0.2">
      <c r="A1" s="223" t="s">
        <v>2394</v>
      </c>
      <c r="B1" s="223" t="s">
        <v>2395</v>
      </c>
      <c r="C1" s="223" t="s">
        <v>2396</v>
      </c>
      <c r="D1" s="223" t="s">
        <v>2397</v>
      </c>
      <c r="E1" s="223" t="s">
        <v>2398</v>
      </c>
      <c r="F1" s="223" t="s">
        <v>2399</v>
      </c>
      <c r="G1" s="223" t="s">
        <v>2400</v>
      </c>
      <c r="H1" s="223" t="s">
        <v>2401</v>
      </c>
      <c r="I1" s="223" t="s">
        <v>2402</v>
      </c>
      <c r="J1" s="223" t="s">
        <v>2403</v>
      </c>
      <c r="K1" s="223" t="s">
        <v>2404</v>
      </c>
      <c r="L1" s="223" t="s">
        <v>2405</v>
      </c>
      <c r="M1" s="223" t="s">
        <v>2406</v>
      </c>
      <c r="N1" s="223" t="s">
        <v>2407</v>
      </c>
      <c r="O1" s="223" t="s">
        <v>2408</v>
      </c>
      <c r="P1" s="223" t="s">
        <v>2409</v>
      </c>
      <c r="Q1" s="223" t="s">
        <v>2410</v>
      </c>
      <c r="R1" s="223" t="s">
        <v>2411</v>
      </c>
      <c r="S1" s="223" t="s">
        <v>2412</v>
      </c>
      <c r="T1" s="223" t="s">
        <v>2413</v>
      </c>
      <c r="U1" s="223" t="s">
        <v>2414</v>
      </c>
      <c r="V1" s="223" t="s">
        <v>2415</v>
      </c>
      <c r="W1" s="223" t="s">
        <v>2416</v>
      </c>
      <c r="X1" s="223" t="s">
        <v>2433</v>
      </c>
      <c r="Y1" s="223" t="s">
        <v>2417</v>
      </c>
      <c r="Z1" s="223" t="s">
        <v>2418</v>
      </c>
      <c r="AA1" s="223" t="s">
        <v>2419</v>
      </c>
      <c r="AB1" s="223" t="s">
        <v>2420</v>
      </c>
      <c r="AC1" s="223" t="s">
        <v>2421</v>
      </c>
      <c r="AD1" s="223" t="s">
        <v>2422</v>
      </c>
      <c r="AE1" s="223" t="s">
        <v>2423</v>
      </c>
      <c r="AF1" s="223" t="s">
        <v>2424</v>
      </c>
      <c r="AG1" s="223" t="s">
        <v>2425</v>
      </c>
      <c r="AH1" s="223" t="s">
        <v>2426</v>
      </c>
      <c r="AI1" s="223" t="s">
        <v>2427</v>
      </c>
      <c r="AJ1" s="223" t="s">
        <v>2428</v>
      </c>
      <c r="AK1" s="223" t="s">
        <v>2429</v>
      </c>
      <c r="AL1" s="223" t="s">
        <v>2430</v>
      </c>
      <c r="AM1" s="223" t="s">
        <v>2431</v>
      </c>
      <c r="AN1" s="223" t="s">
        <v>2432</v>
      </c>
      <c r="AO1" s="224"/>
      <c r="AP1" s="225"/>
      <c r="AQ1" s="6"/>
      <c r="AR1" s="6"/>
    </row>
    <row r="2" spans="1:44" x14ac:dyDescent="0.2">
      <c r="A2" s="3">
        <v>0</v>
      </c>
      <c r="B2" s="3" t="s">
        <v>627</v>
      </c>
      <c r="C2" s="3" t="s">
        <v>236</v>
      </c>
      <c r="D2" s="108">
        <v>68</v>
      </c>
      <c r="E2" s="108">
        <v>611</v>
      </c>
      <c r="F2" s="109">
        <v>251</v>
      </c>
      <c r="G2" s="4">
        <v>32393</v>
      </c>
      <c r="H2" s="113">
        <f t="shared" ref="H2:H14" ca="1" si="0">ROUNDDOWN(YEARFRAC($G$22,G2),1)</f>
        <v>32.1</v>
      </c>
      <c r="I2" s="3" t="s">
        <v>564</v>
      </c>
      <c r="J2" s="3">
        <v>13</v>
      </c>
      <c r="K2" s="112">
        <v>2008</v>
      </c>
      <c r="L2" s="112">
        <v>5</v>
      </c>
      <c r="M2" s="3" t="s">
        <v>628</v>
      </c>
      <c r="N2" s="3" t="s">
        <v>1</v>
      </c>
      <c r="O2" s="3" t="s">
        <v>2238</v>
      </c>
      <c r="P2" s="11">
        <v>31258256</v>
      </c>
      <c r="Q2" s="11">
        <v>31258256</v>
      </c>
      <c r="R2" s="11">
        <v>28942830</v>
      </c>
      <c r="S2" s="14">
        <f>R2*1.5</f>
        <v>43414245</v>
      </c>
      <c r="T2" s="3"/>
      <c r="W2" s="103" t="s">
        <v>629</v>
      </c>
      <c r="X2" s="69">
        <v>4</v>
      </c>
      <c r="Y2" s="69">
        <v>56</v>
      </c>
      <c r="Z2" s="65">
        <f>16/56</f>
        <v>0.2857142857142857</v>
      </c>
      <c r="AA2" s="122">
        <v>107.4</v>
      </c>
      <c r="AB2" s="122">
        <v>115.4</v>
      </c>
      <c r="AC2" s="122">
        <f t="shared" ref="AC2:AC10" si="1">AA2-AB2</f>
        <v>-8</v>
      </c>
      <c r="AD2" s="122">
        <v>31.8</v>
      </c>
      <c r="AE2" s="122">
        <v>17.899999999999999</v>
      </c>
      <c r="AF2" s="65">
        <v>0.59899999999999998</v>
      </c>
      <c r="AG2" s="122">
        <v>23.1</v>
      </c>
      <c r="AH2" s="122">
        <v>2.5</v>
      </c>
      <c r="AI2" s="122">
        <v>1.2</v>
      </c>
      <c r="AJ2" s="65">
        <v>0.10199999999999999</v>
      </c>
      <c r="AK2" s="122">
        <v>2.6</v>
      </c>
      <c r="AL2" s="122">
        <v>-0.6</v>
      </c>
      <c r="AM2" s="122">
        <v>1.8</v>
      </c>
      <c r="AN2" s="122">
        <v>14</v>
      </c>
    </row>
    <row r="3" spans="1:44" x14ac:dyDescent="0.2">
      <c r="A3" s="3">
        <v>3</v>
      </c>
      <c r="B3" s="3" t="s">
        <v>27</v>
      </c>
      <c r="C3" s="3" t="s">
        <v>236</v>
      </c>
      <c r="D3" s="108">
        <v>610</v>
      </c>
      <c r="E3" s="108">
        <v>76</v>
      </c>
      <c r="F3" s="109">
        <v>279</v>
      </c>
      <c r="G3" s="4">
        <v>34191</v>
      </c>
      <c r="H3" s="113">
        <f t="shared" ca="1" si="0"/>
        <v>27.2</v>
      </c>
      <c r="I3" s="3" t="s">
        <v>352</v>
      </c>
      <c r="J3" s="3">
        <v>9</v>
      </c>
      <c r="K3" s="112">
        <v>2012</v>
      </c>
      <c r="L3" s="112">
        <v>9</v>
      </c>
      <c r="M3" s="3" t="s">
        <v>630</v>
      </c>
      <c r="N3" s="3" t="s">
        <v>631</v>
      </c>
      <c r="O3" s="163" t="s">
        <v>632</v>
      </c>
      <c r="P3" s="48">
        <v>28751774</v>
      </c>
      <c r="Q3" s="14">
        <v>37500000</v>
      </c>
      <c r="R3" s="3"/>
      <c r="S3" s="3"/>
      <c r="T3" s="3"/>
      <c r="W3" s="103" t="s">
        <v>240</v>
      </c>
      <c r="X3" s="69">
        <v>5</v>
      </c>
      <c r="Y3" s="69">
        <v>8</v>
      </c>
      <c r="Z3" s="65">
        <f>4/8</f>
        <v>0.5</v>
      </c>
      <c r="AA3" s="122">
        <v>104.8</v>
      </c>
      <c r="AB3" s="122">
        <v>120</v>
      </c>
      <c r="AC3" s="122">
        <f t="shared" si="1"/>
        <v>-15.200000000000003</v>
      </c>
      <c r="AD3" s="122">
        <v>28.1</v>
      </c>
      <c r="AE3" s="122">
        <v>21.1</v>
      </c>
      <c r="AF3" s="65">
        <v>0.57299999999999995</v>
      </c>
      <c r="AG3" s="122">
        <v>28.7</v>
      </c>
      <c r="AH3" s="122">
        <v>-0.1</v>
      </c>
      <c r="AI3" s="122">
        <v>0.3</v>
      </c>
      <c r="AJ3" s="65">
        <v>5.3999999999999999E-2</v>
      </c>
      <c r="AK3" s="122">
        <v>-0.8</v>
      </c>
      <c r="AL3" s="122">
        <v>0.4</v>
      </c>
      <c r="AM3" s="122">
        <v>0.1</v>
      </c>
      <c r="AN3" s="122">
        <v>13.1</v>
      </c>
    </row>
    <row r="4" spans="1:44" x14ac:dyDescent="0.2">
      <c r="A4" s="3">
        <v>22</v>
      </c>
      <c r="B4" s="3" t="s">
        <v>635</v>
      </c>
      <c r="C4" s="3" t="s">
        <v>236</v>
      </c>
      <c r="D4" s="108">
        <v>67</v>
      </c>
      <c r="E4" s="108">
        <v>72</v>
      </c>
      <c r="F4" s="109">
        <v>245</v>
      </c>
      <c r="G4" s="4">
        <v>33970</v>
      </c>
      <c r="H4" s="113">
        <f t="shared" ca="1" si="0"/>
        <v>27.8</v>
      </c>
      <c r="I4" s="3" t="s">
        <v>636</v>
      </c>
      <c r="J4" s="3">
        <v>6</v>
      </c>
      <c r="K4" s="112">
        <v>2015</v>
      </c>
      <c r="L4" s="112">
        <v>27</v>
      </c>
      <c r="M4" s="3" t="s">
        <v>637</v>
      </c>
      <c r="N4" s="3" t="s">
        <v>1</v>
      </c>
      <c r="O4" s="3" t="s">
        <v>2239</v>
      </c>
      <c r="P4" s="11">
        <v>11709091</v>
      </c>
      <c r="Q4" s="11">
        <v>10690909</v>
      </c>
      <c r="R4" s="11">
        <v>9672727</v>
      </c>
      <c r="S4" s="14">
        <f>R4*1.9</f>
        <v>18378181.300000001</v>
      </c>
      <c r="T4" s="3"/>
      <c r="W4" s="125" t="s">
        <v>638</v>
      </c>
      <c r="X4" s="69">
        <v>5</v>
      </c>
      <c r="Y4" s="69">
        <v>56</v>
      </c>
      <c r="Z4" s="65">
        <f>16/56</f>
        <v>0.2857142857142857</v>
      </c>
      <c r="AA4" s="122">
        <v>105.6</v>
      </c>
      <c r="AB4" s="122">
        <v>110.7</v>
      </c>
      <c r="AC4" s="122">
        <f t="shared" si="1"/>
        <v>-5.1000000000000085</v>
      </c>
      <c r="AD4" s="122">
        <v>26.3</v>
      </c>
      <c r="AE4" s="122">
        <v>17.3</v>
      </c>
      <c r="AF4" s="65">
        <v>0.60799999999999998</v>
      </c>
      <c r="AG4" s="122">
        <v>15.2</v>
      </c>
      <c r="AH4" s="122">
        <v>2.8</v>
      </c>
      <c r="AI4" s="122">
        <v>1.1000000000000001</v>
      </c>
      <c r="AJ4" s="65">
        <v>0.128</v>
      </c>
      <c r="AK4" s="122">
        <v>1.4</v>
      </c>
      <c r="AL4" s="122">
        <v>0.3</v>
      </c>
      <c r="AM4" s="122">
        <v>1.4</v>
      </c>
      <c r="AN4" s="122">
        <v>12.5</v>
      </c>
    </row>
    <row r="5" spans="1:44" x14ac:dyDescent="0.2">
      <c r="A5" s="3">
        <v>1</v>
      </c>
      <c r="B5" s="3" t="s">
        <v>199</v>
      </c>
      <c r="C5" s="3" t="s">
        <v>255</v>
      </c>
      <c r="D5" s="108">
        <v>65</v>
      </c>
      <c r="E5" s="108">
        <v>69</v>
      </c>
      <c r="F5" s="109">
        <v>214</v>
      </c>
      <c r="G5" s="4">
        <v>34893</v>
      </c>
      <c r="H5" s="113">
        <f t="shared" ca="1" si="0"/>
        <v>25.2</v>
      </c>
      <c r="I5" s="3" t="s">
        <v>642</v>
      </c>
      <c r="J5" s="3">
        <v>7</v>
      </c>
      <c r="K5" s="112">
        <v>2014</v>
      </c>
      <c r="L5" s="112">
        <v>5</v>
      </c>
      <c r="M5" s="3" t="s">
        <v>643</v>
      </c>
      <c r="N5" s="3" t="s">
        <v>644</v>
      </c>
      <c r="O5" s="3" t="s">
        <v>2240</v>
      </c>
      <c r="P5" s="11">
        <v>9600000</v>
      </c>
      <c r="Q5" s="14">
        <f>P5*1.9</f>
        <v>18240000</v>
      </c>
      <c r="R5" s="3"/>
      <c r="S5" s="3"/>
      <c r="T5" s="3"/>
      <c r="V5" s="60" t="s">
        <v>645</v>
      </c>
      <c r="W5" s="125" t="s">
        <v>646</v>
      </c>
      <c r="X5" s="69">
        <v>2</v>
      </c>
      <c r="Y5" s="69">
        <v>24</v>
      </c>
      <c r="Z5" s="65">
        <f>5/24</f>
        <v>0.20833333333333334</v>
      </c>
      <c r="AA5" s="122">
        <v>100.6</v>
      </c>
      <c r="AB5" s="122">
        <v>110.2</v>
      </c>
      <c r="AC5" s="122">
        <f t="shared" si="1"/>
        <v>-9.6000000000000085</v>
      </c>
      <c r="AD5" s="122">
        <v>16.8</v>
      </c>
      <c r="AE5" s="122">
        <v>11.5</v>
      </c>
      <c r="AF5" s="65">
        <v>0.59199999999999997</v>
      </c>
      <c r="AG5" s="122">
        <v>14.4</v>
      </c>
      <c r="AH5" s="122">
        <v>0.4</v>
      </c>
      <c r="AI5" s="122">
        <v>0.2</v>
      </c>
      <c r="AJ5" s="65">
        <v>6.3E-2</v>
      </c>
      <c r="AK5" s="122">
        <v>-1.9</v>
      </c>
      <c r="AL5" s="122">
        <v>-0.4</v>
      </c>
      <c r="AM5" s="122">
        <v>0</v>
      </c>
      <c r="AN5" s="122">
        <v>7.9</v>
      </c>
    </row>
    <row r="6" spans="1:44" x14ac:dyDescent="0.2">
      <c r="A6" s="3">
        <v>16</v>
      </c>
      <c r="B6" s="3" t="s">
        <v>653</v>
      </c>
      <c r="C6" s="3" t="s">
        <v>244</v>
      </c>
      <c r="D6" s="108">
        <v>67</v>
      </c>
      <c r="E6" s="108">
        <v>610</v>
      </c>
      <c r="F6" s="109">
        <v>230</v>
      </c>
      <c r="G6" s="4">
        <v>34797</v>
      </c>
      <c r="H6" s="113">
        <f t="shared" ca="1" si="0"/>
        <v>25.5</v>
      </c>
      <c r="I6" s="3" t="s">
        <v>654</v>
      </c>
      <c r="J6" s="3">
        <v>4</v>
      </c>
      <c r="K6" s="112">
        <v>2015</v>
      </c>
      <c r="L6" s="112">
        <v>31</v>
      </c>
      <c r="M6" s="3" t="s">
        <v>655</v>
      </c>
      <c r="N6" s="3" t="s">
        <v>1</v>
      </c>
      <c r="O6" s="3" t="s">
        <v>2237</v>
      </c>
      <c r="P6" s="11">
        <v>8840580</v>
      </c>
      <c r="Q6" s="11">
        <v>8133334</v>
      </c>
      <c r="R6" s="11">
        <v>7426088</v>
      </c>
      <c r="S6" s="15">
        <v>6718842</v>
      </c>
      <c r="T6" s="14">
        <f>S6*1.9</f>
        <v>12765799.799999999</v>
      </c>
      <c r="W6" s="125" t="s">
        <v>656</v>
      </c>
      <c r="X6" s="69">
        <v>3</v>
      </c>
      <c r="Y6" s="69">
        <v>65</v>
      </c>
      <c r="Z6" s="65">
        <f>19/65</f>
        <v>0.29230769230769232</v>
      </c>
      <c r="AA6" s="122">
        <v>106.3</v>
      </c>
      <c r="AB6" s="122">
        <v>115.2</v>
      </c>
      <c r="AC6" s="122">
        <f t="shared" si="1"/>
        <v>-8.9000000000000057</v>
      </c>
      <c r="AD6" s="122">
        <v>29.4</v>
      </c>
      <c r="AE6" s="122">
        <v>10.7</v>
      </c>
      <c r="AF6" s="65">
        <v>0.55200000000000005</v>
      </c>
      <c r="AG6" s="122">
        <v>16.600000000000001</v>
      </c>
      <c r="AH6" s="122">
        <v>1.1000000000000001</v>
      </c>
      <c r="AI6" s="122">
        <v>0.5</v>
      </c>
      <c r="AJ6" s="65">
        <v>0.04</v>
      </c>
      <c r="AK6" s="122">
        <v>-1.6</v>
      </c>
      <c r="AL6" s="122">
        <v>-0.9</v>
      </c>
      <c r="AM6" s="122">
        <v>-0.3</v>
      </c>
      <c r="AN6" s="122">
        <v>6.5</v>
      </c>
    </row>
    <row r="7" spans="1:44" x14ac:dyDescent="0.2">
      <c r="A7" s="3">
        <v>10</v>
      </c>
      <c r="B7" s="3" t="s">
        <v>647</v>
      </c>
      <c r="C7" s="3" t="s">
        <v>232</v>
      </c>
      <c r="D7" s="108">
        <v>61</v>
      </c>
      <c r="E7" s="108">
        <v>65</v>
      </c>
      <c r="F7" s="109">
        <v>192</v>
      </c>
      <c r="G7" s="4">
        <v>36551</v>
      </c>
      <c r="H7" s="113">
        <f t="shared" ca="1" si="0"/>
        <v>20.7</v>
      </c>
      <c r="I7" s="3" t="s">
        <v>596</v>
      </c>
      <c r="J7" s="3">
        <v>2</v>
      </c>
      <c r="K7" s="112">
        <v>2019</v>
      </c>
      <c r="L7" s="112">
        <v>5</v>
      </c>
      <c r="M7" s="3" t="s">
        <v>648</v>
      </c>
      <c r="N7" s="3" t="s">
        <v>247</v>
      </c>
      <c r="O7" s="3" t="s">
        <v>2241</v>
      </c>
      <c r="P7" s="11">
        <v>6720720</v>
      </c>
      <c r="Q7" s="51">
        <v>7040880</v>
      </c>
      <c r="R7" s="51">
        <v>8920795</v>
      </c>
      <c r="S7" s="50">
        <f>R7*3</f>
        <v>26762385</v>
      </c>
      <c r="T7" s="3"/>
      <c r="W7" s="103" t="s">
        <v>291</v>
      </c>
      <c r="X7" s="69">
        <v>1</v>
      </c>
      <c r="Y7" s="69">
        <v>59</v>
      </c>
      <c r="Z7" s="65">
        <f>17/59</f>
        <v>0.28813559322033899</v>
      </c>
      <c r="AA7" s="122">
        <v>105.2</v>
      </c>
      <c r="AB7" s="122">
        <v>113.8</v>
      </c>
      <c r="AC7" s="122">
        <f t="shared" si="1"/>
        <v>-8.5999999999999943</v>
      </c>
      <c r="AD7" s="122">
        <v>30.9</v>
      </c>
      <c r="AE7" s="122">
        <v>8.5</v>
      </c>
      <c r="AF7" s="65">
        <v>0.498</v>
      </c>
      <c r="AG7" s="122">
        <v>20.7</v>
      </c>
      <c r="AH7" s="122">
        <v>-1.3</v>
      </c>
      <c r="AI7" s="122">
        <v>0</v>
      </c>
      <c r="AJ7" s="65">
        <v>-3.5000000000000003E-2</v>
      </c>
      <c r="AK7" s="122">
        <v>-2.7</v>
      </c>
      <c r="AL7" s="122">
        <v>-2.9</v>
      </c>
      <c r="AM7" s="122">
        <v>-1.7</v>
      </c>
      <c r="AN7" s="122">
        <v>5.7</v>
      </c>
    </row>
    <row r="8" spans="1:44" x14ac:dyDescent="0.2">
      <c r="A8" s="3">
        <v>2</v>
      </c>
      <c r="B8" s="3" t="s">
        <v>649</v>
      </c>
      <c r="C8" s="3" t="s">
        <v>250</v>
      </c>
      <c r="D8" s="108">
        <v>61</v>
      </c>
      <c r="E8" s="108">
        <v>67</v>
      </c>
      <c r="F8" s="109">
        <v>190</v>
      </c>
      <c r="G8" s="4">
        <v>36164</v>
      </c>
      <c r="H8" s="113">
        <f t="shared" ca="1" si="0"/>
        <v>21.8</v>
      </c>
      <c r="I8" s="3" t="s">
        <v>650</v>
      </c>
      <c r="J8" s="3">
        <v>3</v>
      </c>
      <c r="K8" s="112">
        <v>2018</v>
      </c>
      <c r="L8" s="112">
        <v>8</v>
      </c>
      <c r="M8" s="3" t="s">
        <v>651</v>
      </c>
      <c r="N8" s="3" t="s">
        <v>247</v>
      </c>
      <c r="O8" s="3" t="s">
        <v>2242</v>
      </c>
      <c r="P8" s="11">
        <v>4991880</v>
      </c>
      <c r="Q8" s="51">
        <v>6349671</v>
      </c>
      <c r="R8" s="50">
        <f>Q8*3</f>
        <v>19049013</v>
      </c>
      <c r="S8" s="3"/>
      <c r="T8" s="3"/>
      <c r="W8" s="125" t="s">
        <v>652</v>
      </c>
      <c r="X8" s="69">
        <v>2</v>
      </c>
      <c r="Y8" s="69">
        <v>65</v>
      </c>
      <c r="Z8" s="65">
        <f>19/65</f>
        <v>0.29230769230769232</v>
      </c>
      <c r="AA8" s="122">
        <v>107.8</v>
      </c>
      <c r="AB8" s="122">
        <v>117</v>
      </c>
      <c r="AC8" s="122">
        <f t="shared" si="1"/>
        <v>-9.2000000000000028</v>
      </c>
      <c r="AD8" s="122">
        <v>33</v>
      </c>
      <c r="AE8" s="122">
        <v>16.3</v>
      </c>
      <c r="AF8" s="65">
        <v>0.56000000000000005</v>
      </c>
      <c r="AG8" s="122">
        <v>27.2</v>
      </c>
      <c r="AH8" s="122">
        <v>2.2000000000000002</v>
      </c>
      <c r="AI8" s="122">
        <v>0.3</v>
      </c>
      <c r="AJ8" s="65">
        <v>5.7000000000000002E-2</v>
      </c>
      <c r="AK8" s="122">
        <v>0.3</v>
      </c>
      <c r="AL8" s="122">
        <v>-2.1</v>
      </c>
      <c r="AM8" s="122">
        <v>0.1</v>
      </c>
      <c r="AN8" s="122">
        <v>9.5</v>
      </c>
    </row>
    <row r="9" spans="1:44" x14ac:dyDescent="0.2">
      <c r="A9" s="3">
        <v>9</v>
      </c>
      <c r="B9" s="3" t="s">
        <v>659</v>
      </c>
      <c r="C9" s="3" t="s">
        <v>255</v>
      </c>
      <c r="D9" s="108">
        <v>66</v>
      </c>
      <c r="E9" s="108">
        <v>610</v>
      </c>
      <c r="F9" s="109">
        <v>196</v>
      </c>
      <c r="G9" s="4">
        <v>35330</v>
      </c>
      <c r="H9" s="113">
        <f t="shared" ca="1" si="0"/>
        <v>24</v>
      </c>
      <c r="I9" s="3" t="s">
        <v>660</v>
      </c>
      <c r="J9" s="3">
        <v>2</v>
      </c>
      <c r="K9" s="112">
        <v>2019</v>
      </c>
      <c r="L9" s="112">
        <v>26</v>
      </c>
      <c r="M9" s="3" t="s">
        <v>661</v>
      </c>
      <c r="N9" s="3" t="s">
        <v>247</v>
      </c>
      <c r="O9" s="11" t="s">
        <v>2108</v>
      </c>
      <c r="P9" s="11">
        <v>2137440</v>
      </c>
      <c r="Q9" s="51">
        <v>2239200</v>
      </c>
      <c r="R9" s="51">
        <v>4037278</v>
      </c>
      <c r="S9" s="50">
        <v>12111834</v>
      </c>
      <c r="T9" s="3"/>
      <c r="W9" s="125" t="s">
        <v>662</v>
      </c>
      <c r="X9" s="69">
        <v>3</v>
      </c>
      <c r="Y9" s="69">
        <v>40</v>
      </c>
      <c r="Z9" s="65">
        <f>11/40</f>
        <v>0.27500000000000002</v>
      </c>
      <c r="AA9" s="122">
        <v>105.6</v>
      </c>
      <c r="AB9" s="122">
        <v>113</v>
      </c>
      <c r="AC9" s="122">
        <f t="shared" si="1"/>
        <v>-7.4000000000000057</v>
      </c>
      <c r="AD9" s="122">
        <v>14.8</v>
      </c>
      <c r="AE9" s="122">
        <v>8.6999999999999993</v>
      </c>
      <c r="AF9" s="65">
        <v>0.49299999999999999</v>
      </c>
      <c r="AG9" s="122">
        <v>15.2</v>
      </c>
      <c r="AH9" s="122">
        <v>-0.2</v>
      </c>
      <c r="AI9" s="122">
        <v>0.3</v>
      </c>
      <c r="AJ9" s="65">
        <v>1.4E-2</v>
      </c>
      <c r="AK9" s="122">
        <v>-4.4000000000000004</v>
      </c>
      <c r="AL9" s="122">
        <v>-0.9</v>
      </c>
      <c r="AM9" s="122">
        <v>-0.5</v>
      </c>
      <c r="AN9" s="122">
        <v>4.7</v>
      </c>
    </row>
    <row r="10" spans="1:44" x14ac:dyDescent="0.2">
      <c r="A10" s="3">
        <v>28</v>
      </c>
      <c r="B10" s="3" t="s">
        <v>31</v>
      </c>
      <c r="C10" s="3" t="s">
        <v>244</v>
      </c>
      <c r="D10" s="108">
        <v>67</v>
      </c>
      <c r="E10" s="108">
        <v>69</v>
      </c>
      <c r="F10" s="109">
        <v>215</v>
      </c>
      <c r="G10" s="4">
        <v>33864</v>
      </c>
      <c r="H10" s="113">
        <f t="shared" ca="1" si="0"/>
        <v>28.1</v>
      </c>
      <c r="I10" s="3" t="s">
        <v>663</v>
      </c>
      <c r="J10" s="3">
        <v>4</v>
      </c>
      <c r="K10" s="112">
        <v>2015</v>
      </c>
      <c r="L10" s="112"/>
      <c r="M10" s="3" t="s">
        <v>664</v>
      </c>
      <c r="N10" s="3" t="s">
        <v>521</v>
      </c>
      <c r="O10" s="179" t="s">
        <v>665</v>
      </c>
      <c r="P10" s="15">
        <v>1762796</v>
      </c>
      <c r="Q10" s="15">
        <v>1910860</v>
      </c>
      <c r="R10" s="15">
        <v>2165298</v>
      </c>
      <c r="S10" s="52">
        <v>2046307</v>
      </c>
      <c r="T10" s="3"/>
      <c r="W10" s="125" t="s">
        <v>666</v>
      </c>
      <c r="X10" s="69">
        <v>3</v>
      </c>
      <c r="Y10" s="69">
        <v>50</v>
      </c>
      <c r="Z10" s="65">
        <f>15/50</f>
        <v>0.3</v>
      </c>
      <c r="AA10" s="122">
        <v>102</v>
      </c>
      <c r="AB10" s="122">
        <v>113.2</v>
      </c>
      <c r="AC10" s="122">
        <f t="shared" si="1"/>
        <v>-11.200000000000003</v>
      </c>
      <c r="AD10" s="122">
        <v>23.2</v>
      </c>
      <c r="AE10" s="122">
        <v>10.8</v>
      </c>
      <c r="AF10" s="65">
        <v>0.53500000000000003</v>
      </c>
      <c r="AG10" s="122">
        <v>20.5</v>
      </c>
      <c r="AH10" s="122">
        <v>-0.3</v>
      </c>
      <c r="AI10" s="122">
        <v>0.6</v>
      </c>
      <c r="AJ10" s="65">
        <v>1.0999999999999999E-2</v>
      </c>
      <c r="AK10" s="122">
        <v>-3.2</v>
      </c>
      <c r="AL10" s="122">
        <v>-0.6</v>
      </c>
      <c r="AM10" s="122">
        <v>-0.5</v>
      </c>
      <c r="AN10" s="122">
        <v>6.9</v>
      </c>
    </row>
    <row r="11" spans="1:44" x14ac:dyDescent="0.2">
      <c r="A11" s="3">
        <v>5</v>
      </c>
      <c r="B11" s="3" t="s">
        <v>2075</v>
      </c>
      <c r="C11" s="3" t="s">
        <v>236</v>
      </c>
      <c r="D11" s="108">
        <v>68</v>
      </c>
      <c r="E11" s="108">
        <v>70</v>
      </c>
      <c r="F11" s="109">
        <v>216</v>
      </c>
      <c r="G11" s="4">
        <v>34706</v>
      </c>
      <c r="H11" s="113">
        <f t="shared" ca="1" si="0"/>
        <v>25.7</v>
      </c>
      <c r="I11" s="3" t="s">
        <v>812</v>
      </c>
      <c r="J11" s="3">
        <v>4</v>
      </c>
      <c r="K11" s="112">
        <v>2017</v>
      </c>
      <c r="L11" s="112">
        <v>38</v>
      </c>
      <c r="M11" s="3" t="s">
        <v>2079</v>
      </c>
      <c r="N11" s="3" t="s">
        <v>282</v>
      </c>
      <c r="O11" s="163" t="s">
        <v>290</v>
      </c>
      <c r="P11" s="15">
        <v>1762796</v>
      </c>
      <c r="Q11" s="52">
        <v>1856061</v>
      </c>
      <c r="R11" s="22"/>
      <c r="S11" s="22"/>
      <c r="T11" s="22"/>
      <c r="U11" s="154"/>
      <c r="W11" s="125"/>
      <c r="X11" s="69"/>
      <c r="Y11" s="69"/>
      <c r="Z11" s="65"/>
      <c r="AA11" s="122"/>
      <c r="AB11" s="122"/>
      <c r="AC11" s="122"/>
      <c r="AD11" s="122"/>
      <c r="AE11" s="122"/>
      <c r="AF11" s="65"/>
      <c r="AG11" s="122"/>
      <c r="AH11" s="122"/>
      <c r="AI11" s="122"/>
      <c r="AJ11" s="65"/>
      <c r="AK11" s="122"/>
      <c r="AL11" s="122"/>
      <c r="AM11" s="122"/>
      <c r="AN11" s="122"/>
    </row>
    <row r="12" spans="1:44" x14ac:dyDescent="0.2">
      <c r="A12" s="3">
        <v>4</v>
      </c>
      <c r="B12" s="3" t="s">
        <v>667</v>
      </c>
      <c r="C12" s="3" t="s">
        <v>255</v>
      </c>
      <c r="D12" s="108">
        <v>64</v>
      </c>
      <c r="E12" s="108">
        <v>69</v>
      </c>
      <c r="F12" s="109">
        <v>203</v>
      </c>
      <c r="G12" s="4">
        <v>36650</v>
      </c>
      <c r="H12" s="113">
        <f t="shared" ca="1" si="0"/>
        <v>20.399999999999999</v>
      </c>
      <c r="I12" s="3" t="s">
        <v>226</v>
      </c>
      <c r="J12" s="3">
        <v>2</v>
      </c>
      <c r="K12" s="112">
        <v>2019</v>
      </c>
      <c r="L12" s="112">
        <v>30</v>
      </c>
      <c r="M12" s="3" t="s">
        <v>668</v>
      </c>
      <c r="N12" s="3" t="s">
        <v>247</v>
      </c>
      <c r="O12" s="3" t="s">
        <v>2243</v>
      </c>
      <c r="P12" s="11">
        <v>1717981</v>
      </c>
      <c r="Q12" s="51">
        <v>1782621</v>
      </c>
      <c r="R12" s="51">
        <v>3217631</v>
      </c>
      <c r="S12" s="50">
        <f>R12*3</f>
        <v>9652893</v>
      </c>
      <c r="T12" s="3"/>
      <c r="W12" s="125" t="s">
        <v>669</v>
      </c>
      <c r="X12" s="69">
        <v>4</v>
      </c>
      <c r="Y12" s="69">
        <v>12</v>
      </c>
      <c r="Z12" s="65">
        <f>1/12</f>
        <v>8.3333333333333329E-2</v>
      </c>
      <c r="AA12" s="122">
        <v>107</v>
      </c>
      <c r="AB12" s="122">
        <v>113.5</v>
      </c>
      <c r="AC12" s="122">
        <f t="shared" ref="AC12:AC13" si="2">AA12-AB12</f>
        <v>-6.5</v>
      </c>
      <c r="AD12" s="122">
        <v>6</v>
      </c>
      <c r="AE12" s="122">
        <v>13.9</v>
      </c>
      <c r="AF12" s="65">
        <v>0.74399999999999999</v>
      </c>
      <c r="AG12" s="122">
        <v>9.9</v>
      </c>
      <c r="AH12" s="122">
        <v>0.1</v>
      </c>
      <c r="AI12" s="122">
        <v>0.1</v>
      </c>
      <c r="AJ12" s="65">
        <v>0.104</v>
      </c>
      <c r="AK12" s="122">
        <v>-1.7</v>
      </c>
      <c r="AL12" s="122">
        <v>0.5</v>
      </c>
      <c r="AM12" s="122">
        <v>0</v>
      </c>
      <c r="AN12" s="122">
        <v>8.9</v>
      </c>
    </row>
    <row r="13" spans="1:44" x14ac:dyDescent="0.2">
      <c r="A13" s="3">
        <v>32</v>
      </c>
      <c r="B13" s="3" t="s">
        <v>670</v>
      </c>
      <c r="C13" s="3" t="s">
        <v>236</v>
      </c>
      <c r="D13" s="108">
        <v>69</v>
      </c>
      <c r="E13" s="108">
        <v>610</v>
      </c>
      <c r="F13" s="109">
        <v>228</v>
      </c>
      <c r="G13" s="4">
        <v>35389</v>
      </c>
      <c r="H13" s="113">
        <f t="shared" ca="1" si="0"/>
        <v>23.9</v>
      </c>
      <c r="I13" s="3" t="s">
        <v>671</v>
      </c>
      <c r="J13" s="3">
        <v>2</v>
      </c>
      <c r="K13" s="112">
        <v>2019</v>
      </c>
      <c r="L13" s="112"/>
      <c r="M13" s="3" t="s">
        <v>672</v>
      </c>
      <c r="N13" s="3" t="s">
        <v>521</v>
      </c>
      <c r="O13" s="163" t="s">
        <v>2076</v>
      </c>
      <c r="P13" s="15">
        <v>1517981</v>
      </c>
      <c r="Q13" s="57">
        <v>1782621</v>
      </c>
      <c r="R13" s="59">
        <v>1930681</v>
      </c>
      <c r="S13" s="52">
        <v>2046307</v>
      </c>
      <c r="T13" s="22"/>
      <c r="U13" s="154"/>
      <c r="W13" s="125" t="s">
        <v>673</v>
      </c>
      <c r="X13" s="69">
        <v>2</v>
      </c>
      <c r="Y13" s="69">
        <v>4</v>
      </c>
      <c r="Z13" s="65">
        <f>0/4</f>
        <v>0</v>
      </c>
      <c r="AA13" s="122">
        <v>92.5</v>
      </c>
      <c r="AB13" s="122">
        <v>75</v>
      </c>
      <c r="AC13" s="122">
        <f t="shared" si="2"/>
        <v>17.5</v>
      </c>
      <c r="AD13" s="122">
        <v>4.7</v>
      </c>
      <c r="AE13" s="122">
        <v>8.1</v>
      </c>
      <c r="AF13" s="65">
        <v>0.25</v>
      </c>
      <c r="AG13" s="122">
        <v>9</v>
      </c>
      <c r="AH13" s="122">
        <v>0</v>
      </c>
      <c r="AI13" s="122">
        <v>0</v>
      </c>
      <c r="AJ13" s="65">
        <v>6.0000000000000001E-3</v>
      </c>
      <c r="AK13" s="122">
        <v>-5.3</v>
      </c>
      <c r="AL13" s="122">
        <v>5</v>
      </c>
      <c r="AM13" s="122">
        <v>0</v>
      </c>
      <c r="AN13" s="122">
        <v>7.5</v>
      </c>
    </row>
    <row r="14" spans="1:44" x14ac:dyDescent="0.2">
      <c r="A14" s="3">
        <v>31</v>
      </c>
      <c r="B14" s="3" t="s">
        <v>674</v>
      </c>
      <c r="C14" s="3" t="s">
        <v>255</v>
      </c>
      <c r="D14" s="108">
        <v>62</v>
      </c>
      <c r="E14" s="108">
        <v>68</v>
      </c>
      <c r="F14" s="109">
        <v>199</v>
      </c>
      <c r="G14" s="4">
        <v>34737</v>
      </c>
      <c r="H14" s="113">
        <f t="shared" ca="1" si="0"/>
        <v>25.7</v>
      </c>
      <c r="I14" s="3" t="s">
        <v>675</v>
      </c>
      <c r="J14" s="3">
        <v>2</v>
      </c>
      <c r="K14" s="112">
        <v>2019</v>
      </c>
      <c r="L14" s="112"/>
      <c r="M14" s="3" t="s">
        <v>473</v>
      </c>
      <c r="N14" s="3" t="s">
        <v>295</v>
      </c>
      <c r="O14" s="163" t="s">
        <v>1166</v>
      </c>
      <c r="P14" s="55" t="s">
        <v>295</v>
      </c>
      <c r="Q14" s="34"/>
      <c r="R14" s="3"/>
      <c r="S14" s="3"/>
      <c r="T14" s="3"/>
      <c r="W14" s="125"/>
      <c r="X14" s="69"/>
      <c r="Y14" s="69"/>
      <c r="Z14" s="65"/>
      <c r="AA14" s="122"/>
      <c r="AB14" s="122"/>
      <c r="AC14" s="122"/>
      <c r="AD14" s="122"/>
      <c r="AE14" s="122"/>
      <c r="AF14" s="65"/>
      <c r="AG14" s="122"/>
      <c r="AH14" s="122"/>
      <c r="AI14" s="122"/>
      <c r="AJ14" s="65"/>
      <c r="AK14" s="122"/>
      <c r="AL14" s="122"/>
      <c r="AM14" s="122"/>
      <c r="AN14" s="122"/>
    </row>
    <row r="15" spans="1:44" x14ac:dyDescent="0.2">
      <c r="A15" s="3"/>
      <c r="B15" s="3" t="s">
        <v>297</v>
      </c>
      <c r="C15" s="3"/>
      <c r="D15" s="3"/>
      <c r="E15" s="3"/>
      <c r="F15" s="3"/>
      <c r="G15" s="3"/>
      <c r="H15" s="178"/>
      <c r="I15" s="3"/>
      <c r="J15" s="3"/>
      <c r="K15" s="58"/>
      <c r="L15" s="16"/>
      <c r="M15" s="16"/>
      <c r="N15" s="16"/>
      <c r="O15" s="16"/>
      <c r="P15" s="11">
        <v>1456667</v>
      </c>
      <c r="Q15" s="11">
        <v>1456666</v>
      </c>
      <c r="R15" s="11"/>
      <c r="S15" s="11"/>
      <c r="T15" s="3"/>
      <c r="W15" s="125"/>
      <c r="X15" s="69"/>
      <c r="Y15" s="69"/>
      <c r="Z15" s="65"/>
      <c r="AA15" s="122"/>
      <c r="AB15" s="122"/>
      <c r="AC15" s="122"/>
      <c r="AD15" s="122"/>
      <c r="AE15" s="122"/>
      <c r="AF15" s="65"/>
      <c r="AG15" s="122"/>
      <c r="AH15" s="122"/>
      <c r="AI15" s="122"/>
      <c r="AJ15" s="65"/>
      <c r="AK15" s="122"/>
      <c r="AL15" s="122"/>
      <c r="AM15" s="122"/>
      <c r="AN15" s="122"/>
    </row>
    <row r="16" spans="1:44" x14ac:dyDescent="0.2">
      <c r="A16" s="3"/>
      <c r="B16" s="3" t="s">
        <v>877</v>
      </c>
      <c r="C16" s="3"/>
      <c r="D16" s="3"/>
      <c r="E16" s="3"/>
      <c r="F16" s="3"/>
      <c r="G16" s="3"/>
      <c r="H16" s="178"/>
      <c r="I16" s="3"/>
      <c r="J16" s="3"/>
      <c r="K16" s="55"/>
      <c r="L16" s="16"/>
      <c r="M16" s="16"/>
      <c r="N16" s="16"/>
      <c r="O16" s="16"/>
      <c r="P16" s="11">
        <v>6400920</v>
      </c>
      <c r="Q16" s="11">
        <v>6720720</v>
      </c>
      <c r="R16" s="51">
        <v>7040880</v>
      </c>
      <c r="S16" s="51">
        <f>R16*1.267</f>
        <v>8920794.959999999</v>
      </c>
      <c r="T16" s="50">
        <f>S16*3</f>
        <v>26762384.879999995</v>
      </c>
      <c r="W16" s="125"/>
      <c r="X16" s="69"/>
      <c r="Y16" s="69"/>
      <c r="Z16" s="65"/>
      <c r="AA16" s="122"/>
      <c r="AB16" s="122"/>
      <c r="AC16" s="122"/>
      <c r="AD16" s="122"/>
      <c r="AE16" s="122"/>
      <c r="AF16" s="65"/>
      <c r="AG16" s="122"/>
      <c r="AH16" s="122"/>
      <c r="AI16" s="122"/>
      <c r="AJ16" s="65"/>
      <c r="AK16" s="122"/>
      <c r="AL16" s="122"/>
      <c r="AM16" s="122"/>
      <c r="AN16" s="122"/>
    </row>
    <row r="17" spans="1:40" x14ac:dyDescent="0.2">
      <c r="A17" s="3"/>
      <c r="B17" s="3"/>
      <c r="C17" s="3"/>
      <c r="D17" s="3"/>
      <c r="E17" s="3"/>
      <c r="F17" s="3"/>
      <c r="G17" s="3"/>
      <c r="H17" s="178"/>
      <c r="I17" s="3"/>
      <c r="J17" s="3"/>
      <c r="K17" s="55"/>
      <c r="L17" s="16"/>
      <c r="M17" s="16"/>
      <c r="N17" s="16"/>
      <c r="O17" s="16"/>
      <c r="P17" s="11"/>
      <c r="Q17" s="11"/>
      <c r="R17" s="16"/>
      <c r="S17" s="16"/>
      <c r="T17" s="16"/>
      <c r="W17" s="125"/>
      <c r="X17" s="69"/>
      <c r="Y17" s="69"/>
      <c r="Z17" s="65"/>
      <c r="AA17" s="122"/>
      <c r="AB17" s="122"/>
      <c r="AC17" s="122"/>
      <c r="AD17" s="122"/>
      <c r="AE17" s="122"/>
      <c r="AF17" s="65"/>
      <c r="AG17" s="122"/>
      <c r="AH17" s="122"/>
      <c r="AI17" s="122"/>
      <c r="AJ17" s="65"/>
      <c r="AK17" s="122"/>
      <c r="AL17" s="122"/>
      <c r="AM17" s="122"/>
      <c r="AN17" s="122"/>
    </row>
    <row r="18" spans="1:40" x14ac:dyDescent="0.2">
      <c r="A18" s="3">
        <v>13</v>
      </c>
      <c r="B18" s="3" t="s">
        <v>28</v>
      </c>
      <c r="C18" s="3" t="s">
        <v>236</v>
      </c>
      <c r="D18" s="108">
        <v>69</v>
      </c>
      <c r="E18" s="108">
        <v>71</v>
      </c>
      <c r="F18" s="109">
        <v>254</v>
      </c>
      <c r="G18" s="4">
        <v>33300</v>
      </c>
      <c r="H18" s="113">
        <f t="shared" ref="H18:H20" ca="1" si="3">ROUNDDOWN(YEARFRAC($G$22,G18),1)</f>
        <v>29.6</v>
      </c>
      <c r="I18" s="3" t="s">
        <v>424</v>
      </c>
      <c r="J18" s="3">
        <v>10</v>
      </c>
      <c r="K18" s="112">
        <v>2011</v>
      </c>
      <c r="L18" s="112">
        <v>4</v>
      </c>
      <c r="M18" s="3" t="s">
        <v>633</v>
      </c>
      <c r="N18" s="3"/>
      <c r="O18" s="3"/>
      <c r="P18" s="14">
        <v>27808695</v>
      </c>
      <c r="Q18" s="3"/>
      <c r="R18" s="3"/>
      <c r="S18" s="3"/>
      <c r="T18" s="3"/>
      <c r="W18" s="125" t="s">
        <v>634</v>
      </c>
      <c r="X18" s="69">
        <v>5</v>
      </c>
      <c r="Y18" s="69">
        <v>57</v>
      </c>
      <c r="Z18" s="65">
        <f>19/57</f>
        <v>0.33333333333333331</v>
      </c>
      <c r="AA18" s="122">
        <v>105</v>
      </c>
      <c r="AB18" s="122">
        <v>115.2</v>
      </c>
      <c r="AC18" s="122">
        <f t="shared" ref="AC18:AC20" si="4">AA18-AB18</f>
        <v>-10.200000000000003</v>
      </c>
      <c r="AD18" s="122">
        <v>30.2</v>
      </c>
      <c r="AE18" s="122">
        <v>16.8</v>
      </c>
      <c r="AF18" s="65">
        <v>0.54</v>
      </c>
      <c r="AG18" s="122">
        <v>18.3</v>
      </c>
      <c r="AH18" s="122">
        <v>2</v>
      </c>
      <c r="AI18" s="122">
        <v>1.1000000000000001</v>
      </c>
      <c r="AJ18" s="65">
        <v>8.5000000000000006E-2</v>
      </c>
      <c r="AK18" s="122">
        <v>-0.2</v>
      </c>
      <c r="AL18" s="122">
        <v>-1.3</v>
      </c>
      <c r="AM18" s="122">
        <v>0.2</v>
      </c>
      <c r="AN18" s="122">
        <v>10.8</v>
      </c>
    </row>
    <row r="19" spans="1:40" x14ac:dyDescent="0.2">
      <c r="A19" s="3">
        <v>18</v>
      </c>
      <c r="B19" s="3" t="s">
        <v>29</v>
      </c>
      <c r="C19" s="3" t="s">
        <v>232</v>
      </c>
      <c r="D19" s="108">
        <v>63</v>
      </c>
      <c r="E19" s="108">
        <v>64</v>
      </c>
      <c r="F19" s="109">
        <v>200</v>
      </c>
      <c r="G19" s="4">
        <v>33124</v>
      </c>
      <c r="H19" s="113">
        <f t="shared" ca="1" si="3"/>
        <v>30.1</v>
      </c>
      <c r="I19" s="3" t="s">
        <v>639</v>
      </c>
      <c r="J19" s="3">
        <v>8</v>
      </c>
      <c r="K19" s="112">
        <v>2013</v>
      </c>
      <c r="L19" s="112"/>
      <c r="M19" s="3" t="s">
        <v>640</v>
      </c>
      <c r="N19" s="3"/>
      <c r="O19" s="3"/>
      <c r="P19" s="14">
        <v>14411250</v>
      </c>
      <c r="Q19" s="3"/>
      <c r="R19" s="3"/>
      <c r="S19" s="3"/>
      <c r="T19" s="3"/>
      <c r="W19" s="125" t="s">
        <v>641</v>
      </c>
      <c r="X19" s="69">
        <v>1</v>
      </c>
      <c r="Y19" s="69">
        <v>57</v>
      </c>
      <c r="Z19" s="65">
        <f>17/57</f>
        <v>0.2982456140350877</v>
      </c>
      <c r="AA19" s="122">
        <v>103.7</v>
      </c>
      <c r="AB19" s="122">
        <v>105</v>
      </c>
      <c r="AC19" s="122">
        <f t="shared" si="4"/>
        <v>-1.2999999999999972</v>
      </c>
      <c r="AD19" s="122">
        <v>14.4</v>
      </c>
      <c r="AE19" s="122">
        <v>8.1</v>
      </c>
      <c r="AF19" s="65">
        <v>0.46300000000000002</v>
      </c>
      <c r="AG19" s="122">
        <v>13</v>
      </c>
      <c r="AH19" s="122">
        <v>0.1</v>
      </c>
      <c r="AI19" s="122">
        <v>0.1</v>
      </c>
      <c r="AJ19" s="65">
        <v>0.01</v>
      </c>
      <c r="AK19" s="122">
        <v>-3.6</v>
      </c>
      <c r="AL19" s="122">
        <v>-1.6</v>
      </c>
      <c r="AM19" s="122">
        <v>-0.7</v>
      </c>
      <c r="AN19" s="122">
        <v>5.9</v>
      </c>
    </row>
    <row r="20" spans="1:40" x14ac:dyDescent="0.2">
      <c r="A20" s="3">
        <v>41</v>
      </c>
      <c r="B20" s="3" t="s">
        <v>30</v>
      </c>
      <c r="C20" s="3" t="s">
        <v>236</v>
      </c>
      <c r="D20" s="108">
        <v>610</v>
      </c>
      <c r="E20" s="108">
        <v>73</v>
      </c>
      <c r="F20" s="109">
        <v>266</v>
      </c>
      <c r="G20" s="4">
        <v>35434</v>
      </c>
      <c r="H20" s="113">
        <f t="shared" ca="1" si="3"/>
        <v>23.8</v>
      </c>
      <c r="I20" s="3" t="s">
        <v>657</v>
      </c>
      <c r="J20" s="3">
        <v>4</v>
      </c>
      <c r="K20" s="112">
        <v>2016</v>
      </c>
      <c r="L20" s="112">
        <v>23</v>
      </c>
      <c r="M20" s="3" t="s">
        <v>658</v>
      </c>
      <c r="N20" s="3"/>
      <c r="O20" s="3"/>
      <c r="P20" s="14">
        <v>3872215</v>
      </c>
      <c r="Q20" s="3"/>
      <c r="R20" s="3"/>
      <c r="S20" s="3"/>
      <c r="T20" s="3"/>
      <c r="W20" s="103" t="s">
        <v>240</v>
      </c>
      <c r="X20" s="69">
        <v>5</v>
      </c>
      <c r="Y20" s="69">
        <v>22</v>
      </c>
      <c r="Z20" s="65">
        <f>4/22</f>
        <v>0.18181818181818182</v>
      </c>
      <c r="AA20" s="122">
        <v>114.2</v>
      </c>
      <c r="AB20" s="122">
        <v>112.9</v>
      </c>
      <c r="AC20" s="122">
        <f t="shared" si="4"/>
        <v>1.2999999999999972</v>
      </c>
      <c r="AD20" s="122">
        <v>10</v>
      </c>
      <c r="AE20" s="122">
        <v>16.399999999999999</v>
      </c>
      <c r="AF20" s="65">
        <v>0.59699999999999998</v>
      </c>
      <c r="AG20" s="122">
        <v>17.5</v>
      </c>
      <c r="AH20" s="122">
        <v>0.3</v>
      </c>
      <c r="AI20" s="122">
        <v>0.2</v>
      </c>
      <c r="AJ20" s="65">
        <v>0.106</v>
      </c>
      <c r="AK20" s="122">
        <v>-1.7</v>
      </c>
      <c r="AL20" s="122">
        <v>-1.5</v>
      </c>
      <c r="AM20" s="122">
        <v>-0.1</v>
      </c>
      <c r="AN20" s="122">
        <v>10.1</v>
      </c>
    </row>
    <row r="21" spans="1:40" x14ac:dyDescent="0.2">
      <c r="A21" s="3"/>
      <c r="B21" s="3"/>
      <c r="C21" s="3"/>
      <c r="D21" s="3"/>
      <c r="E21" s="3"/>
      <c r="F21" s="3"/>
      <c r="G21" s="3"/>
      <c r="H21" s="178"/>
      <c r="I21" s="3"/>
      <c r="J21" s="3"/>
      <c r="K21" s="55"/>
      <c r="L21" s="16"/>
      <c r="M21" s="16"/>
      <c r="N21" s="16"/>
      <c r="O21" s="16"/>
      <c r="P21" s="11"/>
      <c r="Q21" s="11"/>
      <c r="R21" s="16"/>
      <c r="S21" s="16"/>
      <c r="T21" s="16"/>
      <c r="W21" s="125"/>
      <c r="X21" s="69"/>
      <c r="Y21" s="69"/>
      <c r="Z21" s="65"/>
      <c r="AA21" s="122"/>
      <c r="AB21" s="122"/>
      <c r="AC21" s="122"/>
      <c r="AD21" s="122"/>
      <c r="AE21" s="122"/>
      <c r="AF21" s="65"/>
      <c r="AG21" s="122"/>
      <c r="AH21" s="122"/>
      <c r="AI21" s="122"/>
      <c r="AJ21" s="65"/>
      <c r="AK21" s="122"/>
      <c r="AL21" s="122"/>
      <c r="AM21" s="122"/>
      <c r="AN21" s="122"/>
    </row>
    <row r="22" spans="1:40" x14ac:dyDescent="0.2">
      <c r="E22" s="62"/>
      <c r="F22" s="63"/>
      <c r="G22" s="62">
        <f ca="1">TODAY()</f>
        <v>44128</v>
      </c>
      <c r="H22" s="63">
        <f ca="1">AVERAGE(H2:H14)</f>
        <v>25.238461538461536</v>
      </c>
      <c r="J22" s="133">
        <f>AVERAGE(J2:J14)</f>
        <v>4.615384615384615</v>
      </c>
      <c r="K22" s="78"/>
      <c r="L22" s="78"/>
      <c r="M22" s="78"/>
      <c r="N22" s="78"/>
      <c r="O22" s="121"/>
      <c r="W22" s="125"/>
      <c r="X22" s="69"/>
      <c r="Y22" s="69"/>
      <c r="Z22" s="65"/>
      <c r="AA22" s="122"/>
      <c r="AB22" s="122"/>
      <c r="AC22" s="122"/>
      <c r="AD22" s="122"/>
      <c r="AE22" s="122"/>
      <c r="AF22" s="65"/>
      <c r="AG22" s="122"/>
      <c r="AH22" s="122"/>
      <c r="AI22" s="122"/>
      <c r="AJ22" s="65"/>
      <c r="AK22" s="122"/>
      <c r="AL22" s="122"/>
      <c r="AM22" s="122"/>
      <c r="AN22" s="122"/>
    </row>
    <row r="23" spans="1:40" x14ac:dyDescent="0.2">
      <c r="B23" s="3"/>
      <c r="H23" s="63">
        <f ca="1">MEDIAN(H2:H14)</f>
        <v>25.5</v>
      </c>
      <c r="J23" s="132">
        <f>MEDIAN(J2:J14)</f>
        <v>4</v>
      </c>
      <c r="K23" s="121"/>
      <c r="L23" s="16"/>
      <c r="M23" s="129"/>
      <c r="N23" s="78"/>
      <c r="O23" s="78"/>
      <c r="P23" s="11"/>
      <c r="Q23" s="130"/>
      <c r="X23" s="69"/>
      <c r="Y23" s="69"/>
      <c r="Z23" s="65"/>
      <c r="AA23" s="122"/>
      <c r="AB23" s="122"/>
      <c r="AC23" s="122"/>
      <c r="AD23" s="122"/>
      <c r="AE23" s="122"/>
      <c r="AF23" s="65"/>
      <c r="AG23" s="122"/>
      <c r="AH23" s="122"/>
      <c r="AI23" s="122"/>
      <c r="AJ23" s="65"/>
      <c r="AK23" s="122"/>
      <c r="AL23" s="122"/>
      <c r="AM23" s="122"/>
      <c r="AN23" s="122"/>
    </row>
    <row r="24" spans="1:40" x14ac:dyDescent="0.2">
      <c r="B24" s="5" t="s">
        <v>2224</v>
      </c>
      <c r="J24" s="3"/>
      <c r="K24" s="78"/>
      <c r="L24" s="16"/>
      <c r="M24" s="78"/>
      <c r="N24" s="78"/>
      <c r="O24" s="78"/>
      <c r="P24" s="11">
        <f>P2+P4+P5+P6+P7+P16+P8+P9+P12+P15</f>
        <v>84833535</v>
      </c>
      <c r="R24" s="64"/>
      <c r="Z24" s="65"/>
      <c r="AA24" s="122"/>
      <c r="AB24" s="122"/>
      <c r="AC24" s="122"/>
      <c r="AD24" s="122"/>
      <c r="AE24" s="122"/>
      <c r="AF24" s="65"/>
      <c r="AG24" s="122"/>
      <c r="AH24" s="122"/>
      <c r="AI24" s="122"/>
      <c r="AJ24" s="65"/>
      <c r="AK24" s="122"/>
      <c r="AL24" s="122"/>
      <c r="AM24" s="122"/>
      <c r="AN24" s="122"/>
    </row>
    <row r="25" spans="1:40" x14ac:dyDescent="0.2">
      <c r="B25" s="3" t="s">
        <v>2085</v>
      </c>
      <c r="C25" s="60">
        <v>8</v>
      </c>
      <c r="J25" s="4"/>
      <c r="K25" s="3"/>
      <c r="L25" s="16"/>
      <c r="M25" s="78"/>
      <c r="N25" s="78"/>
      <c r="O25" s="78"/>
      <c r="P25" s="29">
        <f>P2+P3+P4+P5+P6+P7+P16+P8+P9+P10+P11+P12+P13+P15</f>
        <v>118628882</v>
      </c>
      <c r="Z25" s="65"/>
      <c r="AA25" s="122"/>
      <c r="AB25" s="122"/>
      <c r="AC25" s="122"/>
      <c r="AD25" s="122"/>
      <c r="AE25" s="122"/>
      <c r="AF25" s="65"/>
      <c r="AG25" s="122"/>
      <c r="AH25" s="122"/>
      <c r="AI25" s="122"/>
      <c r="AJ25" s="65"/>
      <c r="AK25" s="122"/>
      <c r="AL25" s="122"/>
      <c r="AM25" s="122"/>
      <c r="AN25" s="122"/>
    </row>
    <row r="26" spans="1:40" x14ac:dyDescent="0.2">
      <c r="B26" s="3" t="s">
        <v>2088</v>
      </c>
      <c r="C26" s="60">
        <v>5</v>
      </c>
      <c r="J26" s="4"/>
      <c r="K26" s="3"/>
      <c r="L26" s="16"/>
      <c r="M26" s="78"/>
      <c r="N26" s="78"/>
      <c r="O26" s="78"/>
      <c r="P26" s="29"/>
      <c r="Z26" s="65"/>
      <c r="AA26" s="122"/>
      <c r="AB26" s="122"/>
      <c r="AC26" s="122"/>
      <c r="AD26" s="122"/>
      <c r="AE26" s="122"/>
      <c r="AF26" s="65"/>
      <c r="AG26" s="122"/>
      <c r="AH26" s="122"/>
      <c r="AI26" s="122"/>
      <c r="AJ26" s="65"/>
      <c r="AK26" s="122"/>
      <c r="AL26" s="122"/>
      <c r="AM26" s="122"/>
      <c r="AN26" s="122"/>
    </row>
    <row r="27" spans="1:40" x14ac:dyDescent="0.2">
      <c r="B27" s="3" t="s">
        <v>2086</v>
      </c>
      <c r="C27" s="60">
        <v>1</v>
      </c>
      <c r="J27" s="4"/>
      <c r="K27" s="3"/>
      <c r="L27" s="16"/>
      <c r="M27" s="78"/>
      <c r="N27" s="78"/>
      <c r="O27" s="3" t="s">
        <v>300</v>
      </c>
      <c r="P27" s="16">
        <v>109140000</v>
      </c>
      <c r="Z27" s="65"/>
      <c r="AA27" s="122"/>
      <c r="AB27" s="122"/>
      <c r="AC27" s="122"/>
      <c r="AD27" s="122"/>
      <c r="AE27" s="122"/>
      <c r="AF27" s="65"/>
      <c r="AG27" s="122"/>
      <c r="AH27" s="122"/>
      <c r="AI27" s="122"/>
      <c r="AJ27" s="65"/>
      <c r="AK27" s="122"/>
      <c r="AL27" s="122"/>
      <c r="AM27" s="122"/>
      <c r="AN27" s="122"/>
    </row>
    <row r="28" spans="1:40" x14ac:dyDescent="0.2">
      <c r="B28" s="3" t="s">
        <v>2219</v>
      </c>
      <c r="C28" s="60" t="s">
        <v>2377</v>
      </c>
      <c r="J28" s="3"/>
      <c r="K28" s="16"/>
      <c r="L28" s="78"/>
      <c r="M28" s="78"/>
      <c r="N28" s="3"/>
      <c r="O28" s="22" t="s">
        <v>302</v>
      </c>
      <c r="P28" s="11">
        <v>132627000</v>
      </c>
      <c r="AF28" s="65"/>
      <c r="AJ28" s="65"/>
      <c r="AK28" s="122"/>
      <c r="AL28" s="122"/>
      <c r="AM28" s="122"/>
      <c r="AN28" s="122"/>
    </row>
    <row r="29" spans="1:40" x14ac:dyDescent="0.2">
      <c r="B29" s="24" t="s">
        <v>301</v>
      </c>
      <c r="C29" s="64">
        <v>0</v>
      </c>
      <c r="J29" s="22"/>
      <c r="K29" s="16"/>
      <c r="L29" s="78"/>
      <c r="M29" s="78"/>
      <c r="N29" s="22"/>
      <c r="O29" s="3"/>
      <c r="P29" s="16"/>
      <c r="AF29" s="65"/>
      <c r="AJ29" s="65"/>
    </row>
    <row r="30" spans="1:40" x14ac:dyDescent="0.2">
      <c r="B30" s="3" t="s">
        <v>303</v>
      </c>
      <c r="C30" s="64">
        <v>0</v>
      </c>
      <c r="J30" s="3"/>
      <c r="K30" s="78"/>
      <c r="L30" s="78"/>
      <c r="M30" s="78"/>
      <c r="N30" s="78"/>
      <c r="O30" s="22"/>
      <c r="P30" s="11"/>
    </row>
    <row r="31" spans="1:40" x14ac:dyDescent="0.2">
      <c r="J31" s="3"/>
      <c r="O31" s="22"/>
      <c r="P31" s="11"/>
    </row>
    <row r="32" spans="1:40" x14ac:dyDescent="0.2">
      <c r="B32" s="71" t="s">
        <v>2084</v>
      </c>
      <c r="J32" s="3"/>
    </row>
    <row r="33" spans="2:10" x14ac:dyDescent="0.2">
      <c r="B33" s="3" t="s">
        <v>304</v>
      </c>
      <c r="C33" s="41">
        <f>19/65</f>
        <v>0.29230769230769232</v>
      </c>
      <c r="D33" s="3" t="s">
        <v>328</v>
      </c>
      <c r="E33" s="3"/>
      <c r="J33" s="3"/>
    </row>
    <row r="34" spans="2:10" x14ac:dyDescent="0.2">
      <c r="B34" s="3" t="s">
        <v>306</v>
      </c>
      <c r="C34" s="113">
        <v>106.9</v>
      </c>
      <c r="D34" s="3" t="s">
        <v>2244</v>
      </c>
      <c r="E34" s="3"/>
      <c r="J34" s="3"/>
    </row>
    <row r="35" spans="2:10" x14ac:dyDescent="0.2">
      <c r="B35" s="3" t="s">
        <v>307</v>
      </c>
      <c r="C35" s="113">
        <v>114.8</v>
      </c>
      <c r="D35" s="3" t="s">
        <v>2233</v>
      </c>
      <c r="E35" s="3"/>
    </row>
    <row r="36" spans="2:10" x14ac:dyDescent="0.2">
      <c r="B36" s="3" t="s">
        <v>308</v>
      </c>
      <c r="C36" s="113">
        <f>C34-C35</f>
        <v>-7.8999999999999915</v>
      </c>
      <c r="D36" s="3" t="s">
        <v>2194</v>
      </c>
      <c r="E36" s="3"/>
    </row>
    <row r="37" spans="2:10" x14ac:dyDescent="0.2">
      <c r="B37" s="3" t="s">
        <v>309</v>
      </c>
      <c r="C37" s="36">
        <v>99.17</v>
      </c>
      <c r="D37" s="3" t="s">
        <v>2245</v>
      </c>
      <c r="E37" s="3"/>
    </row>
    <row r="38" spans="2:10" x14ac:dyDescent="0.2">
      <c r="B38" s="3"/>
      <c r="C38" s="3"/>
      <c r="D38" s="3"/>
      <c r="E38" s="3"/>
    </row>
    <row r="39" spans="2:10" x14ac:dyDescent="0.2">
      <c r="B39" s="3" t="s">
        <v>310</v>
      </c>
      <c r="C39" s="3"/>
      <c r="D39" s="3"/>
      <c r="E39" s="3"/>
    </row>
    <row r="40" spans="2:10" x14ac:dyDescent="0.2">
      <c r="B40" s="3" t="s">
        <v>2246</v>
      </c>
      <c r="C40" s="3"/>
      <c r="D40" s="3"/>
      <c r="E40" s="3"/>
    </row>
    <row r="41" spans="2:10" x14ac:dyDescent="0.2">
      <c r="B41" s="3" t="s">
        <v>680</v>
      </c>
      <c r="C41" s="3"/>
      <c r="D41" s="3"/>
      <c r="E41" s="3"/>
    </row>
    <row r="42" spans="2:10" x14ac:dyDescent="0.2">
      <c r="B42" s="3" t="s">
        <v>681</v>
      </c>
      <c r="C42" s="3"/>
      <c r="D42" s="3"/>
      <c r="E42" s="3"/>
    </row>
    <row r="43" spans="2:10" x14ac:dyDescent="0.2">
      <c r="B43" s="3" t="s">
        <v>682</v>
      </c>
      <c r="C43" s="3"/>
      <c r="D43" s="3"/>
      <c r="E43" s="3"/>
    </row>
    <row r="44" spans="2:10" x14ac:dyDescent="0.2">
      <c r="B44" s="3" t="s">
        <v>683</v>
      </c>
      <c r="C44" s="3"/>
      <c r="D44" s="3"/>
      <c r="E44" s="3"/>
    </row>
    <row r="45" spans="2:10" x14ac:dyDescent="0.2">
      <c r="B45" s="3"/>
      <c r="C45" s="3"/>
      <c r="D45" s="3"/>
      <c r="E45" s="3"/>
    </row>
    <row r="46" spans="2:10" x14ac:dyDescent="0.2">
      <c r="B46" s="3" t="s">
        <v>318</v>
      </c>
      <c r="C46" s="3"/>
      <c r="D46" s="3"/>
      <c r="E46" s="3"/>
    </row>
    <row r="47" spans="2:10" x14ac:dyDescent="0.2">
      <c r="B47" s="3" t="s">
        <v>2022</v>
      </c>
      <c r="C47" s="3"/>
      <c r="D47" s="3"/>
      <c r="E47" s="3"/>
    </row>
    <row r="48" spans="2:10" x14ac:dyDescent="0.2">
      <c r="B48" s="3" t="s">
        <v>2236</v>
      </c>
      <c r="C48" s="3"/>
      <c r="D48" s="3"/>
      <c r="E48" s="3"/>
    </row>
    <row r="49" spans="2:10" x14ac:dyDescent="0.2">
      <c r="B49" s="3" t="s">
        <v>684</v>
      </c>
      <c r="C49" s="3"/>
      <c r="D49" s="3"/>
      <c r="E49" s="3"/>
    </row>
    <row r="50" spans="2:10" x14ac:dyDescent="0.2">
      <c r="B50" s="3"/>
      <c r="C50" s="3"/>
      <c r="D50" s="3"/>
      <c r="E50" s="3"/>
    </row>
    <row r="51" spans="2:10" x14ac:dyDescent="0.2">
      <c r="B51" s="5" t="s">
        <v>2228</v>
      </c>
      <c r="C51" s="3"/>
      <c r="D51" s="3"/>
      <c r="E51" s="3"/>
    </row>
    <row r="52" spans="2:10" x14ac:dyDescent="0.2">
      <c r="B52" s="39" t="s">
        <v>322</v>
      </c>
      <c r="C52" s="60">
        <v>19</v>
      </c>
      <c r="D52" s="60">
        <v>46</v>
      </c>
      <c r="E52" s="60" t="s">
        <v>328</v>
      </c>
      <c r="G52" s="60" t="s">
        <v>685</v>
      </c>
      <c r="J52" s="148" t="s">
        <v>324</v>
      </c>
    </row>
    <row r="53" spans="2:10" x14ac:dyDescent="0.2">
      <c r="B53" s="39" t="s">
        <v>325</v>
      </c>
      <c r="C53" s="60">
        <v>19</v>
      </c>
      <c r="D53" s="60">
        <v>63</v>
      </c>
      <c r="E53" s="60" t="s">
        <v>323</v>
      </c>
      <c r="G53" s="60" t="s">
        <v>686</v>
      </c>
      <c r="J53" s="148" t="s">
        <v>324</v>
      </c>
    </row>
    <row r="54" spans="2:10" x14ac:dyDescent="0.2">
      <c r="B54" s="39" t="s">
        <v>327</v>
      </c>
      <c r="C54" s="60">
        <v>50</v>
      </c>
      <c r="D54" s="60">
        <v>32</v>
      </c>
      <c r="E54" s="60" t="s">
        <v>334</v>
      </c>
      <c r="G54" s="60" t="s">
        <v>687</v>
      </c>
      <c r="J54" s="60" t="s">
        <v>688</v>
      </c>
    </row>
    <row r="55" spans="2:10" x14ac:dyDescent="0.2">
      <c r="B55" s="39" t="s">
        <v>330</v>
      </c>
      <c r="C55" s="60">
        <v>51</v>
      </c>
      <c r="D55" s="60">
        <v>31</v>
      </c>
      <c r="E55" s="60" t="s">
        <v>414</v>
      </c>
      <c r="G55" s="60" t="s">
        <v>687</v>
      </c>
      <c r="J55" s="60" t="s">
        <v>689</v>
      </c>
    </row>
    <row r="56" spans="2:10" x14ac:dyDescent="0.2">
      <c r="B56" s="39" t="s">
        <v>333</v>
      </c>
      <c r="C56" s="60">
        <v>57</v>
      </c>
      <c r="D56" s="60">
        <v>25</v>
      </c>
      <c r="E56" s="60" t="s">
        <v>337</v>
      </c>
      <c r="G56" s="60" t="s">
        <v>690</v>
      </c>
      <c r="J56" s="60" t="s">
        <v>691</v>
      </c>
    </row>
    <row r="57" spans="2:10" x14ac:dyDescent="0.2">
      <c r="B57" s="39" t="s">
        <v>336</v>
      </c>
      <c r="C57" s="60">
        <v>53</v>
      </c>
      <c r="D57" s="60">
        <v>29</v>
      </c>
      <c r="E57" s="60" t="s">
        <v>414</v>
      </c>
      <c r="G57" s="60" t="s">
        <v>692</v>
      </c>
      <c r="J57" s="60" t="s">
        <v>693</v>
      </c>
    </row>
    <row r="58" spans="2:10" x14ac:dyDescent="0.2">
      <c r="B58" s="39" t="s">
        <v>339</v>
      </c>
      <c r="C58" s="60">
        <v>33</v>
      </c>
      <c r="D58" s="60">
        <v>49</v>
      </c>
      <c r="E58" s="60" t="s">
        <v>549</v>
      </c>
      <c r="G58" s="60" t="s">
        <v>694</v>
      </c>
      <c r="J58" s="148" t="s">
        <v>324</v>
      </c>
    </row>
    <row r="59" spans="2:10" x14ac:dyDescent="0.2">
      <c r="B59" s="39" t="s">
        <v>342</v>
      </c>
      <c r="C59" s="60">
        <v>24</v>
      </c>
      <c r="D59" s="60">
        <v>58</v>
      </c>
      <c r="E59" s="60" t="s">
        <v>617</v>
      </c>
      <c r="G59" s="60" t="s">
        <v>695</v>
      </c>
      <c r="J59" s="148" t="s">
        <v>324</v>
      </c>
    </row>
    <row r="60" spans="2:10" x14ac:dyDescent="0.2">
      <c r="B60" s="39" t="s">
        <v>346</v>
      </c>
      <c r="C60" s="60">
        <v>21</v>
      </c>
      <c r="D60" s="60">
        <v>45</v>
      </c>
      <c r="E60" s="60" t="s">
        <v>617</v>
      </c>
      <c r="G60" s="60" t="s">
        <v>695</v>
      </c>
      <c r="J60" s="148" t="s">
        <v>324</v>
      </c>
    </row>
    <row r="61" spans="2:10" x14ac:dyDescent="0.2">
      <c r="B61" s="39" t="s">
        <v>348</v>
      </c>
      <c r="C61" s="60">
        <v>19</v>
      </c>
      <c r="D61" s="60">
        <v>63</v>
      </c>
      <c r="E61" s="60" t="s">
        <v>328</v>
      </c>
      <c r="G61" s="60" t="s">
        <v>695</v>
      </c>
      <c r="J61" s="148" t="s">
        <v>324</v>
      </c>
    </row>
    <row r="62" spans="2:10" x14ac:dyDescent="0.2">
      <c r="B62" s="60" t="s">
        <v>696</v>
      </c>
      <c r="C62" s="60">
        <f>SUM(C52:C61)</f>
        <v>346</v>
      </c>
      <c r="D62" s="60">
        <f>SUM(D52:D61)</f>
        <v>441</v>
      </c>
      <c r="E62" s="65">
        <f>C62/(C62+D62)</f>
        <v>0.43964421855146124</v>
      </c>
    </row>
    <row r="63" spans="2:10" x14ac:dyDescent="0.2">
      <c r="B63" s="60" t="s">
        <v>697</v>
      </c>
      <c r="C63" s="60">
        <f>C54+C55+C56+C57</f>
        <v>211</v>
      </c>
      <c r="D63" s="60">
        <f>D54+D55+D56+D57</f>
        <v>117</v>
      </c>
      <c r="E63" s="65">
        <f>C63/(C63+D63)</f>
        <v>0.64329268292682928</v>
      </c>
    </row>
    <row r="64" spans="2:10" x14ac:dyDescent="0.2">
      <c r="B64" s="60" t="s">
        <v>698</v>
      </c>
      <c r="C64" s="60">
        <f>C52+C53+C58+C59+C60+C61</f>
        <v>135</v>
      </c>
      <c r="D64" s="60">
        <f>D52+D53+D58+D59+D60+D61</f>
        <v>324</v>
      </c>
      <c r="E64" s="65">
        <f>C64/(C64+D64)</f>
        <v>0.29411764705882354</v>
      </c>
    </row>
    <row r="65" spans="5:5" x14ac:dyDescent="0.2">
      <c r="E65" s="65"/>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3A0A4-6E27-7740-9F9D-AD60650B3E3E}">
  <dimension ref="A1:AR61"/>
  <sheetViews>
    <sheetView zoomScaleNormal="100" workbookViewId="0">
      <selection sqref="A1:AR1"/>
    </sheetView>
  </sheetViews>
  <sheetFormatPr baseColWidth="10" defaultColWidth="11" defaultRowHeight="16" x14ac:dyDescent="0.2"/>
  <cols>
    <col min="1" max="1" width="3.83203125" customWidth="1"/>
    <col min="2" max="2" width="19.6640625" customWidth="1"/>
    <col min="3" max="3" width="11.83203125" customWidth="1"/>
    <col min="4" max="4" width="7.83203125" customWidth="1"/>
    <col min="5" max="5" width="10.83203125" customWidth="1"/>
    <col min="6" max="6" width="9.1640625" customWidth="1"/>
    <col min="7" max="7" width="9.5" customWidth="1"/>
    <col min="8" max="8" width="5.5" customWidth="1"/>
    <col min="9" max="9" width="22.5" customWidth="1"/>
    <col min="10" max="10" width="11.1640625" customWidth="1"/>
    <col min="11" max="11" width="11.83203125" customWidth="1"/>
    <col min="12" max="12" width="4.83203125" customWidth="1"/>
    <col min="13" max="13" width="34.33203125" customWidth="1"/>
    <col min="14" max="14" width="16.5" customWidth="1"/>
    <col min="15" max="15" width="46.6640625" customWidth="1"/>
    <col min="16" max="16" width="13.6640625" customWidth="1"/>
    <col min="17" max="17" width="14" customWidth="1"/>
    <col min="18" max="18" width="13" customWidth="1"/>
    <col min="19" max="19" width="12.5" customWidth="1"/>
    <col min="20" max="20" width="13.5" customWidth="1"/>
    <col min="21" max="21" width="6.5" customWidth="1"/>
    <col min="22" max="22" width="125.83203125" customWidth="1"/>
    <col min="23" max="23" width="26.33203125" customWidth="1"/>
    <col min="24" max="24" width="9.6640625" customWidth="1"/>
    <col min="25" max="25" width="3.5" customWidth="1"/>
    <col min="26" max="26" width="7.6640625" customWidth="1"/>
    <col min="27" max="27" width="5.83203125" customWidth="1"/>
    <col min="28" max="28" width="5.6640625" customWidth="1"/>
    <col min="29" max="29" width="7.33203125" customWidth="1"/>
    <col min="30" max="30" width="5.1640625" customWidth="1"/>
    <col min="31" max="31" width="5" customWidth="1"/>
    <col min="32" max="32" width="6" customWidth="1"/>
    <col min="33" max="33" width="7.83203125" customWidth="1"/>
    <col min="34" max="34" width="5.5" customWidth="1"/>
    <col min="35" max="35" width="5.1640625" customWidth="1"/>
    <col min="36" max="36" width="6.6640625" customWidth="1"/>
    <col min="37" max="37" width="6.1640625" customWidth="1"/>
    <col min="38" max="38" width="6" customWidth="1"/>
    <col min="39" max="39" width="5.1640625" customWidth="1"/>
    <col min="40" max="40" width="5" customWidth="1"/>
  </cols>
  <sheetData>
    <row r="1" spans="1:44" x14ac:dyDescent="0.2">
      <c r="A1" s="223" t="s">
        <v>2394</v>
      </c>
      <c r="B1" s="223" t="s">
        <v>2395</v>
      </c>
      <c r="C1" s="223" t="s">
        <v>2396</v>
      </c>
      <c r="D1" s="223" t="s">
        <v>2397</v>
      </c>
      <c r="E1" s="223" t="s">
        <v>2398</v>
      </c>
      <c r="F1" s="223" t="s">
        <v>2399</v>
      </c>
      <c r="G1" s="223" t="s">
        <v>2400</v>
      </c>
      <c r="H1" s="223" t="s">
        <v>2401</v>
      </c>
      <c r="I1" s="223" t="s">
        <v>2402</v>
      </c>
      <c r="J1" s="223" t="s">
        <v>2403</v>
      </c>
      <c r="K1" s="223" t="s">
        <v>2404</v>
      </c>
      <c r="L1" s="223" t="s">
        <v>2405</v>
      </c>
      <c r="M1" s="223" t="s">
        <v>2406</v>
      </c>
      <c r="N1" s="223" t="s">
        <v>2407</v>
      </c>
      <c r="O1" s="223" t="s">
        <v>2408</v>
      </c>
      <c r="P1" s="223" t="s">
        <v>2409</v>
      </c>
      <c r="Q1" s="223" t="s">
        <v>2410</v>
      </c>
      <c r="R1" s="223" t="s">
        <v>2411</v>
      </c>
      <c r="S1" s="223" t="s">
        <v>2412</v>
      </c>
      <c r="T1" s="223" t="s">
        <v>2413</v>
      </c>
      <c r="U1" s="223" t="s">
        <v>2414</v>
      </c>
      <c r="V1" s="223" t="s">
        <v>2415</v>
      </c>
      <c r="W1" s="223" t="s">
        <v>2416</v>
      </c>
      <c r="X1" s="223" t="s">
        <v>2433</v>
      </c>
      <c r="Y1" s="223" t="s">
        <v>2417</v>
      </c>
      <c r="Z1" s="223" t="s">
        <v>2418</v>
      </c>
      <c r="AA1" s="223" t="s">
        <v>2419</v>
      </c>
      <c r="AB1" s="223" t="s">
        <v>2420</v>
      </c>
      <c r="AC1" s="223" t="s">
        <v>2421</v>
      </c>
      <c r="AD1" s="223" t="s">
        <v>2422</v>
      </c>
      <c r="AE1" s="223" t="s">
        <v>2423</v>
      </c>
      <c r="AF1" s="223" t="s">
        <v>2424</v>
      </c>
      <c r="AG1" s="223" t="s">
        <v>2425</v>
      </c>
      <c r="AH1" s="223" t="s">
        <v>2426</v>
      </c>
      <c r="AI1" s="223" t="s">
        <v>2427</v>
      </c>
      <c r="AJ1" s="223" t="s">
        <v>2428</v>
      </c>
      <c r="AK1" s="223" t="s">
        <v>2429</v>
      </c>
      <c r="AL1" s="223" t="s">
        <v>2430</v>
      </c>
      <c r="AM1" s="223" t="s">
        <v>2431</v>
      </c>
      <c r="AN1" s="223" t="s">
        <v>2432</v>
      </c>
      <c r="AO1" s="224"/>
      <c r="AP1" s="225"/>
      <c r="AQ1" s="6"/>
      <c r="AR1" s="6"/>
    </row>
    <row r="2" spans="1:44" x14ac:dyDescent="0.2">
      <c r="A2" s="3">
        <v>6</v>
      </c>
      <c r="B2" s="3" t="s">
        <v>699</v>
      </c>
      <c r="C2" s="3" t="s">
        <v>236</v>
      </c>
      <c r="D2" s="108">
        <v>73</v>
      </c>
      <c r="E2" s="108">
        <v>74</v>
      </c>
      <c r="F2" s="109">
        <v>240</v>
      </c>
      <c r="G2" s="4">
        <v>34913</v>
      </c>
      <c r="H2" s="113">
        <f ca="1">ROUNDDOWN(YEARFRAC($G$25,G2),1)</f>
        <v>25.2</v>
      </c>
      <c r="I2" s="3" t="s">
        <v>516</v>
      </c>
      <c r="J2" s="3">
        <v>6</v>
      </c>
      <c r="K2" s="112">
        <v>2015</v>
      </c>
      <c r="L2" s="112">
        <v>4</v>
      </c>
      <c r="M2" s="3" t="s">
        <v>700</v>
      </c>
      <c r="N2" s="3" t="s">
        <v>1</v>
      </c>
      <c r="O2" s="3" t="s">
        <v>2205</v>
      </c>
      <c r="P2" s="11">
        <v>29467800</v>
      </c>
      <c r="Q2" s="11">
        <v>31650000</v>
      </c>
      <c r="R2" s="11">
        <v>33833400</v>
      </c>
      <c r="S2" s="48">
        <v>36016200</v>
      </c>
      <c r="T2" s="14">
        <v>42793800</v>
      </c>
      <c r="U2" s="3"/>
      <c r="W2" t="s">
        <v>701</v>
      </c>
      <c r="X2" s="69">
        <v>4</v>
      </c>
      <c r="Y2" s="69">
        <v>51</v>
      </c>
      <c r="Z2" s="65">
        <f>30/51</f>
        <v>0.58823529411764708</v>
      </c>
      <c r="AA2" s="122">
        <v>115.7</v>
      </c>
      <c r="AB2" s="122">
        <v>107.1</v>
      </c>
      <c r="AC2" s="122">
        <f t="shared" ref="AC2:AC13" si="0">AA2-AB2</f>
        <v>8.6000000000000085</v>
      </c>
      <c r="AD2" s="122">
        <v>31.3</v>
      </c>
      <c r="AE2" s="122">
        <v>19.3</v>
      </c>
      <c r="AF2" s="65">
        <v>0.54</v>
      </c>
      <c r="AG2" s="122">
        <v>26.6</v>
      </c>
      <c r="AH2" s="122">
        <v>1.7</v>
      </c>
      <c r="AI2" s="122">
        <v>2.6</v>
      </c>
      <c r="AJ2" s="65">
        <v>0.129</v>
      </c>
      <c r="AK2" s="122">
        <v>1.2</v>
      </c>
      <c r="AL2" s="122">
        <v>0.3</v>
      </c>
      <c r="AM2" s="122">
        <v>1.4</v>
      </c>
      <c r="AN2" s="122">
        <v>12.4</v>
      </c>
    </row>
    <row r="3" spans="1:44" x14ac:dyDescent="0.2">
      <c r="A3" s="3">
        <v>11</v>
      </c>
      <c r="B3" s="3" t="s">
        <v>32</v>
      </c>
      <c r="C3" s="3" t="s">
        <v>255</v>
      </c>
      <c r="D3" s="108">
        <v>65</v>
      </c>
      <c r="E3" s="108">
        <v>67</v>
      </c>
      <c r="F3" s="109">
        <v>205</v>
      </c>
      <c r="G3" s="4">
        <v>33679</v>
      </c>
      <c r="H3" s="113">
        <f t="shared" ref="H3:H13" ca="1" si="1">ROUNDDOWN(YEARFRAC($G$25,G3),1)</f>
        <v>28.6</v>
      </c>
      <c r="I3" s="3" t="s">
        <v>443</v>
      </c>
      <c r="J3" s="3">
        <v>8</v>
      </c>
      <c r="K3" s="112">
        <v>2013</v>
      </c>
      <c r="L3" s="112">
        <v>24</v>
      </c>
      <c r="M3" s="3" t="s">
        <v>700</v>
      </c>
      <c r="N3" s="3" t="s">
        <v>518</v>
      </c>
      <c r="O3" s="163" t="s">
        <v>2039</v>
      </c>
      <c r="P3" s="48">
        <v>18975000</v>
      </c>
      <c r="Q3" s="14">
        <f>P3*1.5</f>
        <v>28462500</v>
      </c>
      <c r="R3" s="12"/>
      <c r="S3" s="12"/>
      <c r="T3" s="12"/>
      <c r="U3" s="3"/>
      <c r="V3" s="3" t="s">
        <v>702</v>
      </c>
      <c r="W3" t="s">
        <v>703</v>
      </c>
      <c r="X3" s="69">
        <v>3</v>
      </c>
      <c r="Y3" s="69">
        <v>63</v>
      </c>
      <c r="Z3" s="65">
        <f>38/63</f>
        <v>0.60317460317460314</v>
      </c>
      <c r="AA3" s="122">
        <v>115.8</v>
      </c>
      <c r="AB3" s="122">
        <v>107.7</v>
      </c>
      <c r="AC3" s="122">
        <f t="shared" si="0"/>
        <v>8.0999999999999943</v>
      </c>
      <c r="AD3" s="122">
        <v>28.8</v>
      </c>
      <c r="AE3" s="122">
        <v>15</v>
      </c>
      <c r="AF3" s="65">
        <v>0.58099999999999996</v>
      </c>
      <c r="AG3" s="122">
        <v>21.7</v>
      </c>
      <c r="AH3" s="122">
        <v>3.1</v>
      </c>
      <c r="AI3" s="122">
        <v>1.1000000000000001</v>
      </c>
      <c r="AJ3" s="65">
        <v>0.111</v>
      </c>
      <c r="AK3" s="122">
        <v>1.5</v>
      </c>
      <c r="AL3" s="122">
        <v>-1.2</v>
      </c>
      <c r="AM3" s="122">
        <v>1.1000000000000001</v>
      </c>
      <c r="AN3" s="122">
        <v>9.1999999999999993</v>
      </c>
    </row>
    <row r="4" spans="1:44" x14ac:dyDescent="0.2">
      <c r="A4" s="3">
        <v>7</v>
      </c>
      <c r="B4" s="3" t="s">
        <v>706</v>
      </c>
      <c r="C4" s="3" t="s">
        <v>236</v>
      </c>
      <c r="D4" s="108">
        <v>610</v>
      </c>
      <c r="E4" s="108">
        <v>71</v>
      </c>
      <c r="F4" s="109">
        <v>240</v>
      </c>
      <c r="G4" s="4">
        <v>33439</v>
      </c>
      <c r="H4" s="113">
        <f t="shared" ca="1" si="1"/>
        <v>29.2</v>
      </c>
      <c r="I4" s="3" t="s">
        <v>707</v>
      </c>
      <c r="J4" s="3">
        <v>7</v>
      </c>
      <c r="K4" s="112">
        <v>2014</v>
      </c>
      <c r="L4" s="112">
        <v>45</v>
      </c>
      <c r="M4" s="3" t="s">
        <v>708</v>
      </c>
      <c r="N4" s="3" t="s">
        <v>1</v>
      </c>
      <c r="O4" s="3" t="s">
        <v>2206</v>
      </c>
      <c r="P4" s="11">
        <v>11080125</v>
      </c>
      <c r="Q4" s="11">
        <v>11080125</v>
      </c>
      <c r="R4" s="11">
        <v>11080125</v>
      </c>
      <c r="S4" s="14">
        <f>R4*1.9</f>
        <v>21052237.5</v>
      </c>
      <c r="T4" s="3"/>
      <c r="U4" s="3"/>
      <c r="V4" s="3"/>
      <c r="W4" t="s">
        <v>709</v>
      </c>
      <c r="X4" s="69">
        <v>5</v>
      </c>
      <c r="Y4" s="69">
        <v>40</v>
      </c>
      <c r="Z4" s="65">
        <f>25/40</f>
        <v>0.625</v>
      </c>
      <c r="AA4" s="122">
        <v>116.3</v>
      </c>
      <c r="AB4" s="122">
        <v>107.4</v>
      </c>
      <c r="AC4" s="122">
        <f t="shared" si="0"/>
        <v>8.8999999999999915</v>
      </c>
      <c r="AD4" s="122">
        <v>26.5</v>
      </c>
      <c r="AE4" s="122">
        <v>16</v>
      </c>
      <c r="AF4" s="65">
        <v>0.66700000000000004</v>
      </c>
      <c r="AG4" s="122">
        <v>12.7</v>
      </c>
      <c r="AH4" s="122">
        <v>2.6</v>
      </c>
      <c r="AI4" s="122">
        <v>1.1000000000000001</v>
      </c>
      <c r="AJ4" s="65">
        <v>0.16900000000000001</v>
      </c>
      <c r="AK4" s="122">
        <v>0.4</v>
      </c>
      <c r="AL4" s="122">
        <v>1</v>
      </c>
      <c r="AM4" s="122">
        <v>0.9</v>
      </c>
      <c r="AN4" s="122">
        <v>9.4</v>
      </c>
    </row>
    <row r="5" spans="1:44" x14ac:dyDescent="0.2">
      <c r="A5" s="3">
        <v>55</v>
      </c>
      <c r="B5" s="3" t="s">
        <v>200</v>
      </c>
      <c r="C5" s="3" t="s">
        <v>232</v>
      </c>
      <c r="D5" s="108">
        <v>65</v>
      </c>
      <c r="E5" s="108">
        <v>67</v>
      </c>
      <c r="F5" s="109">
        <v>185</v>
      </c>
      <c r="G5" s="4">
        <v>33720</v>
      </c>
      <c r="H5" s="113">
        <f t="shared" ca="1" si="1"/>
        <v>28.4</v>
      </c>
      <c r="I5" s="3" t="s">
        <v>710</v>
      </c>
      <c r="J5" s="3">
        <v>6</v>
      </c>
      <c r="K5" s="112">
        <v>2015</v>
      </c>
      <c r="L5" s="112">
        <v>20</v>
      </c>
      <c r="M5" s="3" t="s">
        <v>711</v>
      </c>
      <c r="N5" s="3" t="s">
        <v>354</v>
      </c>
      <c r="O5" s="3" t="s">
        <v>2207</v>
      </c>
      <c r="P5" s="11">
        <v>9000000</v>
      </c>
      <c r="Q5" s="11">
        <v>8526316</v>
      </c>
      <c r="R5" s="14">
        <f>Q5*1.9</f>
        <v>16200000.399999999</v>
      </c>
      <c r="S5" s="12"/>
      <c r="T5" s="12"/>
      <c r="U5" s="3"/>
      <c r="V5" s="3" t="s">
        <v>2040</v>
      </c>
      <c r="W5" t="s">
        <v>712</v>
      </c>
      <c r="X5" s="69">
        <v>2</v>
      </c>
      <c r="Y5" s="69">
        <v>65</v>
      </c>
      <c r="Z5" s="65">
        <f>39/65</f>
        <v>0.6</v>
      </c>
      <c r="AA5" s="122">
        <v>110.8</v>
      </c>
      <c r="AB5" s="122">
        <v>108.8</v>
      </c>
      <c r="AC5" s="122">
        <f t="shared" si="0"/>
        <v>2</v>
      </c>
      <c r="AD5" s="122">
        <v>21.7</v>
      </c>
      <c r="AE5" s="122">
        <v>16.100000000000001</v>
      </c>
      <c r="AF5" s="65">
        <v>0.56299999999999994</v>
      </c>
      <c r="AG5" s="122">
        <v>14.8</v>
      </c>
      <c r="AH5" s="122">
        <v>2.6</v>
      </c>
      <c r="AI5" s="122">
        <v>1.8</v>
      </c>
      <c r="AJ5" s="65">
        <v>0.14799999999999999</v>
      </c>
      <c r="AK5" s="122">
        <v>0.4</v>
      </c>
      <c r="AL5" s="122">
        <v>2</v>
      </c>
      <c r="AM5" s="122">
        <v>1.6</v>
      </c>
      <c r="AN5" s="122">
        <v>11</v>
      </c>
    </row>
    <row r="6" spans="1:44" x14ac:dyDescent="0.2">
      <c r="A6" s="3">
        <v>42</v>
      </c>
      <c r="B6" s="3" t="s">
        <v>201</v>
      </c>
      <c r="C6" s="3" t="s">
        <v>236</v>
      </c>
      <c r="D6" s="108">
        <v>610</v>
      </c>
      <c r="E6" s="108">
        <v>611</v>
      </c>
      <c r="F6" s="109">
        <v>240</v>
      </c>
      <c r="G6" s="4">
        <v>33632</v>
      </c>
      <c r="H6" s="113">
        <f t="shared" ca="1" si="1"/>
        <v>28.7</v>
      </c>
      <c r="I6" s="3" t="s">
        <v>713</v>
      </c>
      <c r="J6" s="3">
        <v>4</v>
      </c>
      <c r="K6" s="112">
        <v>2014</v>
      </c>
      <c r="L6" s="112"/>
      <c r="M6" s="3" t="s">
        <v>714</v>
      </c>
      <c r="N6" s="3" t="s">
        <v>5</v>
      </c>
      <c r="O6" s="3" t="s">
        <v>2208</v>
      </c>
      <c r="P6" s="11">
        <f>8250000+175000</f>
        <v>8425000</v>
      </c>
      <c r="Q6" s="11">
        <f>8750000+175000</f>
        <v>8925000</v>
      </c>
      <c r="R6" s="15">
        <f>9000000+175000</f>
        <v>9175000</v>
      </c>
      <c r="S6" s="14">
        <f>R6*1.9</f>
        <v>17432500</v>
      </c>
      <c r="T6" s="3"/>
      <c r="U6" s="11"/>
      <c r="V6" s="11" t="s">
        <v>2041</v>
      </c>
      <c r="W6" t="s">
        <v>716</v>
      </c>
      <c r="X6" s="69">
        <v>5</v>
      </c>
      <c r="Y6" s="69">
        <v>66</v>
      </c>
      <c r="Z6" s="65">
        <f>39/66</f>
        <v>0.59090909090909094</v>
      </c>
      <c r="AA6" s="122">
        <v>111.9</v>
      </c>
      <c r="AB6" s="122">
        <v>107.9</v>
      </c>
      <c r="AC6" s="122">
        <f t="shared" si="0"/>
        <v>4</v>
      </c>
      <c r="AD6" s="122">
        <v>25.7</v>
      </c>
      <c r="AE6" s="122">
        <v>13.8</v>
      </c>
      <c r="AF6" s="65">
        <v>0.60299999999999998</v>
      </c>
      <c r="AG6" s="122">
        <v>13.9</v>
      </c>
      <c r="AH6" s="122">
        <v>2.9</v>
      </c>
      <c r="AI6" s="122">
        <v>1.7</v>
      </c>
      <c r="AJ6" s="65">
        <v>0.13100000000000001</v>
      </c>
      <c r="AK6" s="122">
        <v>0.5</v>
      </c>
      <c r="AL6" s="122">
        <v>0.2</v>
      </c>
      <c r="AM6" s="122">
        <v>1.1000000000000001</v>
      </c>
      <c r="AN6" s="122">
        <v>8.5</v>
      </c>
    </row>
    <row r="7" spans="1:44" x14ac:dyDescent="0.2">
      <c r="A7" s="3">
        <v>77</v>
      </c>
      <c r="B7" s="3" t="s">
        <v>717</v>
      </c>
      <c r="C7" s="3" t="s">
        <v>255</v>
      </c>
      <c r="D7" s="108">
        <v>67</v>
      </c>
      <c r="E7" s="108">
        <v>70</v>
      </c>
      <c r="F7" s="109">
        <v>230</v>
      </c>
      <c r="G7" s="4">
        <v>36219</v>
      </c>
      <c r="H7" s="113">
        <f t="shared" ca="1" si="1"/>
        <v>21.6</v>
      </c>
      <c r="I7" s="3" t="s">
        <v>718</v>
      </c>
      <c r="J7" s="3">
        <v>3</v>
      </c>
      <c r="K7" s="112">
        <v>2018</v>
      </c>
      <c r="L7" s="134">
        <v>3</v>
      </c>
      <c r="M7" s="3" t="s">
        <v>719</v>
      </c>
      <c r="N7" s="3" t="s">
        <v>247</v>
      </c>
      <c r="O7" s="3" t="s">
        <v>2209</v>
      </c>
      <c r="P7" s="72">
        <v>8049360</v>
      </c>
      <c r="Q7" s="51">
        <v>10174391</v>
      </c>
      <c r="R7" s="50">
        <f>Q7*3</f>
        <v>30523173</v>
      </c>
      <c r="S7" s="12"/>
      <c r="T7" s="12"/>
      <c r="U7" s="3"/>
      <c r="W7" t="s">
        <v>577</v>
      </c>
      <c r="X7" s="69">
        <v>1</v>
      </c>
      <c r="Y7" s="69">
        <v>54</v>
      </c>
      <c r="Z7" s="65">
        <f>34/54</f>
        <v>0.62962962962962965</v>
      </c>
      <c r="AA7" s="122">
        <v>117</v>
      </c>
      <c r="AB7" s="122">
        <v>110.8</v>
      </c>
      <c r="AC7" s="122">
        <f t="shared" si="0"/>
        <v>6.2000000000000028</v>
      </c>
      <c r="AD7" s="122">
        <v>33.299999999999997</v>
      </c>
      <c r="AE7" s="122">
        <v>27.7</v>
      </c>
      <c r="AF7" s="65">
        <v>0.58399999999999996</v>
      </c>
      <c r="AG7" s="122">
        <v>37</v>
      </c>
      <c r="AH7" s="122">
        <v>5.8</v>
      </c>
      <c r="AI7" s="122">
        <v>2.2999999999999998</v>
      </c>
      <c r="AJ7" s="65">
        <v>0.215</v>
      </c>
      <c r="AK7" s="122">
        <v>7.3</v>
      </c>
      <c r="AL7" s="122">
        <v>1.1000000000000001</v>
      </c>
      <c r="AM7" s="122">
        <v>4.7</v>
      </c>
      <c r="AN7" s="122">
        <v>19.3</v>
      </c>
    </row>
    <row r="8" spans="1:44" x14ac:dyDescent="0.2">
      <c r="A8" s="3">
        <v>30</v>
      </c>
      <c r="B8" s="3" t="s">
        <v>720</v>
      </c>
      <c r="C8" s="3" t="s">
        <v>232</v>
      </c>
      <c r="D8" s="108">
        <v>62</v>
      </c>
      <c r="E8" s="108">
        <v>64</v>
      </c>
      <c r="F8" s="109">
        <v>185</v>
      </c>
      <c r="G8" s="4">
        <v>33108</v>
      </c>
      <c r="H8" s="113">
        <f t="shared" ca="1" si="1"/>
        <v>30.1</v>
      </c>
      <c r="I8" s="3" t="s">
        <v>256</v>
      </c>
      <c r="J8" s="3">
        <v>8</v>
      </c>
      <c r="K8" s="112">
        <v>2013</v>
      </c>
      <c r="L8" s="112"/>
      <c r="M8" s="3" t="s">
        <v>721</v>
      </c>
      <c r="N8" s="3" t="s">
        <v>521</v>
      </c>
      <c r="O8" s="3" t="s">
        <v>2210</v>
      </c>
      <c r="P8" s="11">
        <v>7834449</v>
      </c>
      <c r="Q8" s="11">
        <v>8207518</v>
      </c>
      <c r="R8" s="11">
        <v>8496653</v>
      </c>
      <c r="S8" s="14">
        <f>R8*1.9</f>
        <v>16143640.699999999</v>
      </c>
      <c r="T8" s="12"/>
      <c r="U8" s="3"/>
      <c r="W8" t="s">
        <v>722</v>
      </c>
      <c r="X8" s="69">
        <v>2</v>
      </c>
      <c r="Y8" s="69">
        <v>59</v>
      </c>
      <c r="Z8" s="65">
        <f>36/59</f>
        <v>0.61016949152542377</v>
      </c>
      <c r="AA8" s="122">
        <v>113.9</v>
      </c>
      <c r="AB8" s="122">
        <v>109.3</v>
      </c>
      <c r="AC8" s="122">
        <f t="shared" si="0"/>
        <v>4.6000000000000085</v>
      </c>
      <c r="AD8" s="122">
        <v>24.5</v>
      </c>
      <c r="AE8" s="122">
        <v>16.2</v>
      </c>
      <c r="AF8" s="65">
        <v>0.65</v>
      </c>
      <c r="AG8" s="122">
        <v>18.600000000000001</v>
      </c>
      <c r="AH8" s="122">
        <v>3.4</v>
      </c>
      <c r="AI8" s="122">
        <v>0.9</v>
      </c>
      <c r="AJ8" s="65">
        <v>0.14399999999999999</v>
      </c>
      <c r="AK8" s="122">
        <v>2</v>
      </c>
      <c r="AL8" s="122">
        <v>-0.7</v>
      </c>
      <c r="AM8" s="122">
        <v>1.2</v>
      </c>
      <c r="AN8" s="122">
        <v>9.9</v>
      </c>
    </row>
    <row r="9" spans="1:44" x14ac:dyDescent="0.2">
      <c r="A9" s="3">
        <v>44</v>
      </c>
      <c r="B9" s="3" t="s">
        <v>730</v>
      </c>
      <c r="C9" s="3" t="s">
        <v>244</v>
      </c>
      <c r="D9" s="108">
        <v>67</v>
      </c>
      <c r="E9" s="108">
        <v>611</v>
      </c>
      <c r="F9" s="109">
        <v>220</v>
      </c>
      <c r="G9" s="4">
        <v>34786</v>
      </c>
      <c r="H9" s="113">
        <f t="shared" ca="1" si="1"/>
        <v>25.5</v>
      </c>
      <c r="I9" s="3" t="s">
        <v>281</v>
      </c>
      <c r="J9" s="3">
        <v>4</v>
      </c>
      <c r="K9" s="112">
        <v>2017</v>
      </c>
      <c r="L9" s="134">
        <v>15</v>
      </c>
      <c r="M9" s="3" t="s">
        <v>731</v>
      </c>
      <c r="N9" s="3" t="s">
        <v>272</v>
      </c>
      <c r="O9" s="3" t="s">
        <v>2211</v>
      </c>
      <c r="P9" s="72">
        <v>5029650</v>
      </c>
      <c r="Q9" s="50">
        <f>P9*3</f>
        <v>15088950</v>
      </c>
      <c r="R9" s="12"/>
      <c r="S9" s="12"/>
      <c r="T9" s="80"/>
      <c r="U9" s="3"/>
      <c r="W9" t="s">
        <v>732</v>
      </c>
      <c r="X9" s="69">
        <v>4</v>
      </c>
      <c r="Y9" s="69">
        <v>58</v>
      </c>
      <c r="Z9" s="65">
        <f>36/58</f>
        <v>0.62068965517241381</v>
      </c>
      <c r="AA9" s="122">
        <v>112</v>
      </c>
      <c r="AB9" s="122">
        <v>111.3</v>
      </c>
      <c r="AC9" s="122">
        <f t="shared" si="0"/>
        <v>0.70000000000000284</v>
      </c>
      <c r="AD9" s="122">
        <v>16</v>
      </c>
      <c r="AE9" s="122">
        <v>10</v>
      </c>
      <c r="AF9" s="65">
        <v>0.498</v>
      </c>
      <c r="AG9" s="122">
        <v>15.8</v>
      </c>
      <c r="AH9" s="122">
        <v>0.7</v>
      </c>
      <c r="AI9" s="122">
        <v>0.6</v>
      </c>
      <c r="AJ9" s="65">
        <v>6.6000000000000003E-2</v>
      </c>
      <c r="AK9" s="122">
        <v>-1.7</v>
      </c>
      <c r="AL9" s="122">
        <v>-1.2</v>
      </c>
      <c r="AM9" s="122">
        <v>-0.2</v>
      </c>
      <c r="AN9" s="122">
        <v>6.5</v>
      </c>
    </row>
    <row r="10" spans="1:44" x14ac:dyDescent="0.2">
      <c r="A10" s="3">
        <v>10</v>
      </c>
      <c r="B10" s="3" t="s">
        <v>723</v>
      </c>
      <c r="C10" s="3" t="s">
        <v>244</v>
      </c>
      <c r="D10" s="108">
        <v>67</v>
      </c>
      <c r="E10" s="108">
        <v>611</v>
      </c>
      <c r="F10" s="109">
        <v>220</v>
      </c>
      <c r="G10" s="4">
        <v>34093</v>
      </c>
      <c r="H10" s="113">
        <f t="shared" ca="1" si="1"/>
        <v>27.4</v>
      </c>
      <c r="I10" s="3" t="s">
        <v>470</v>
      </c>
      <c r="J10" s="3">
        <v>5</v>
      </c>
      <c r="K10" s="112">
        <v>2016</v>
      </c>
      <c r="L10" s="112"/>
      <c r="M10" s="3" t="s">
        <v>724</v>
      </c>
      <c r="N10" s="3" t="s">
        <v>1</v>
      </c>
      <c r="O10" s="3" t="s">
        <v>2212</v>
      </c>
      <c r="P10" s="11">
        <v>4000000</v>
      </c>
      <c r="Q10" s="11">
        <v>4000000</v>
      </c>
      <c r="R10" s="14">
        <f>Q10*1.9</f>
        <v>7600000</v>
      </c>
      <c r="S10" s="12"/>
      <c r="T10" s="12"/>
      <c r="U10" s="3"/>
      <c r="W10" t="s">
        <v>725</v>
      </c>
      <c r="X10" s="69">
        <v>3</v>
      </c>
      <c r="Y10" s="69">
        <v>64</v>
      </c>
      <c r="Z10" s="65">
        <f>38/64</f>
        <v>0.59375</v>
      </c>
      <c r="AA10" s="122">
        <v>116.2</v>
      </c>
      <c r="AB10" s="122">
        <v>109.1</v>
      </c>
      <c r="AC10" s="122">
        <f t="shared" si="0"/>
        <v>7.1000000000000085</v>
      </c>
      <c r="AD10" s="122">
        <v>29.7</v>
      </c>
      <c r="AE10" s="122">
        <v>12.2</v>
      </c>
      <c r="AF10" s="65">
        <v>0.59699999999999998</v>
      </c>
      <c r="AG10" s="122">
        <v>12.7</v>
      </c>
      <c r="AH10" s="122">
        <v>2.9</v>
      </c>
      <c r="AI10" s="122">
        <v>1.6</v>
      </c>
      <c r="AJ10" s="65">
        <v>0.114</v>
      </c>
      <c r="AK10" s="122">
        <v>0</v>
      </c>
      <c r="AL10" s="122">
        <v>-0.1</v>
      </c>
      <c r="AM10" s="122">
        <v>0.9</v>
      </c>
      <c r="AN10" s="122">
        <v>7.1</v>
      </c>
    </row>
    <row r="11" spans="1:44" x14ac:dyDescent="0.2">
      <c r="A11" s="3">
        <v>51</v>
      </c>
      <c r="B11" s="3" t="s">
        <v>726</v>
      </c>
      <c r="C11" s="3" t="s">
        <v>236</v>
      </c>
      <c r="D11" s="108">
        <v>74</v>
      </c>
      <c r="E11" s="108">
        <v>710</v>
      </c>
      <c r="F11" s="109">
        <v>290</v>
      </c>
      <c r="G11" s="4">
        <v>32370</v>
      </c>
      <c r="H11" s="113">
        <f t="shared" ca="1" si="1"/>
        <v>32.1</v>
      </c>
      <c r="I11" s="3" t="s">
        <v>727</v>
      </c>
      <c r="J11" s="3">
        <v>6</v>
      </c>
      <c r="K11" s="112">
        <v>2010</v>
      </c>
      <c r="L11" s="112"/>
      <c r="M11" s="3" t="s">
        <v>728</v>
      </c>
      <c r="N11" s="3" t="s">
        <v>543</v>
      </c>
      <c r="O11" s="3" t="s">
        <v>2213</v>
      </c>
      <c r="P11" s="11">
        <v>3500000</v>
      </c>
      <c r="Q11" s="14">
        <f>P11*1.3</f>
        <v>4550000</v>
      </c>
      <c r="R11" s="12"/>
      <c r="S11" s="12"/>
      <c r="T11" s="12"/>
      <c r="U11" s="3"/>
      <c r="W11" s="135" t="s">
        <v>240</v>
      </c>
      <c r="X11" s="69">
        <v>5</v>
      </c>
      <c r="Y11" s="69">
        <v>37</v>
      </c>
      <c r="Z11" s="65">
        <f>19/37</f>
        <v>0.51351351351351349</v>
      </c>
      <c r="AA11" s="122">
        <v>117.6</v>
      </c>
      <c r="AB11" s="122">
        <v>109</v>
      </c>
      <c r="AC11" s="122">
        <f t="shared" si="0"/>
        <v>8.5999999999999943</v>
      </c>
      <c r="AD11" s="122">
        <v>9.1</v>
      </c>
      <c r="AE11" s="122">
        <v>24.5</v>
      </c>
      <c r="AF11" s="65">
        <v>0.59899999999999998</v>
      </c>
      <c r="AG11" s="122">
        <v>27.9</v>
      </c>
      <c r="AH11" s="122">
        <v>0.8</v>
      </c>
      <c r="AI11" s="122">
        <v>0.5</v>
      </c>
      <c r="AJ11" s="65">
        <v>0.184</v>
      </c>
      <c r="AK11" s="122">
        <v>1.7</v>
      </c>
      <c r="AL11" s="122">
        <v>-1.7</v>
      </c>
      <c r="AM11" s="122">
        <v>0.2</v>
      </c>
      <c r="AN11" s="122">
        <v>15.1</v>
      </c>
    </row>
    <row r="12" spans="1:44" x14ac:dyDescent="0.2">
      <c r="A12" s="3">
        <v>33</v>
      </c>
      <c r="B12" s="3" t="s">
        <v>34</v>
      </c>
      <c r="C12" s="3" t="s">
        <v>236</v>
      </c>
      <c r="D12" s="108">
        <v>70</v>
      </c>
      <c r="E12" s="108">
        <v>73</v>
      </c>
      <c r="F12" s="109">
        <v>240</v>
      </c>
      <c r="G12" s="4">
        <v>34199</v>
      </c>
      <c r="H12" s="113">
        <f t="shared" ca="1" si="1"/>
        <v>27.1</v>
      </c>
      <c r="I12" s="3" t="s">
        <v>270</v>
      </c>
      <c r="J12" s="3">
        <v>6</v>
      </c>
      <c r="K12" s="112">
        <v>2015</v>
      </c>
      <c r="L12" s="112">
        <v>6</v>
      </c>
      <c r="M12" s="3" t="s">
        <v>733</v>
      </c>
      <c r="N12" s="3" t="s">
        <v>734</v>
      </c>
      <c r="O12" s="163" t="s">
        <v>735</v>
      </c>
      <c r="P12" s="48">
        <v>2286357</v>
      </c>
      <c r="Q12" s="14">
        <f>P12*1.3</f>
        <v>2972264.1</v>
      </c>
      <c r="R12" s="12"/>
      <c r="S12" s="12"/>
      <c r="T12" s="12"/>
      <c r="U12" s="3"/>
      <c r="W12" t="s">
        <v>736</v>
      </c>
      <c r="X12" s="69">
        <v>5</v>
      </c>
      <c r="Y12" s="69">
        <v>13</v>
      </c>
      <c r="Z12" s="65">
        <f>7/13</f>
        <v>0.53846153846153844</v>
      </c>
      <c r="AA12" s="122">
        <v>107.6</v>
      </c>
      <c r="AB12" s="122">
        <v>104.9</v>
      </c>
      <c r="AC12" s="122">
        <f t="shared" si="0"/>
        <v>2.6999999999999886</v>
      </c>
      <c r="AD12" s="122">
        <v>12.1</v>
      </c>
      <c r="AE12" s="122">
        <v>22.3</v>
      </c>
      <c r="AF12" s="65">
        <v>0.68400000000000005</v>
      </c>
      <c r="AG12" s="122">
        <v>14.7</v>
      </c>
      <c r="AH12" s="122">
        <v>0.5</v>
      </c>
      <c r="AI12" s="122">
        <v>0.3</v>
      </c>
      <c r="AJ12" s="65">
        <v>0.23</v>
      </c>
      <c r="AK12" s="122">
        <v>1</v>
      </c>
      <c r="AL12" s="122">
        <v>2.2999999999999998</v>
      </c>
      <c r="AM12" s="122">
        <v>0.2</v>
      </c>
      <c r="AN12" s="122">
        <v>15.1</v>
      </c>
    </row>
    <row r="13" spans="1:44" x14ac:dyDescent="0.2">
      <c r="A13" s="3">
        <v>13</v>
      </c>
      <c r="B13" s="3" t="s">
        <v>739</v>
      </c>
      <c r="C13" s="3" t="s">
        <v>250</v>
      </c>
      <c r="D13" s="108">
        <v>61</v>
      </c>
      <c r="E13" s="108">
        <v>64</v>
      </c>
      <c r="F13" s="109">
        <v>190</v>
      </c>
      <c r="G13" s="4">
        <v>35308</v>
      </c>
      <c r="H13" s="113">
        <f t="shared" ca="1" si="1"/>
        <v>24.1</v>
      </c>
      <c r="I13" s="3" t="s">
        <v>589</v>
      </c>
      <c r="J13" s="3">
        <v>3</v>
      </c>
      <c r="K13" s="112">
        <v>2018</v>
      </c>
      <c r="L13" s="112">
        <v>33</v>
      </c>
      <c r="M13" s="3" t="s">
        <v>740</v>
      </c>
      <c r="N13" s="3" t="s">
        <v>285</v>
      </c>
      <c r="O13" s="3" t="s">
        <v>2214</v>
      </c>
      <c r="P13" s="11">
        <v>1663861</v>
      </c>
      <c r="Q13" s="15">
        <v>1802057</v>
      </c>
      <c r="R13" s="14">
        <v>1880931</v>
      </c>
      <c r="S13" s="12"/>
      <c r="T13" s="12"/>
      <c r="U13" s="26"/>
      <c r="V13" s="7"/>
      <c r="W13" t="s">
        <v>742</v>
      </c>
      <c r="X13" s="69">
        <v>1</v>
      </c>
      <c r="Y13" s="69">
        <v>57</v>
      </c>
      <c r="Z13" s="65">
        <f>34/57</f>
        <v>0.59649122807017541</v>
      </c>
      <c r="AA13" s="122">
        <v>113.2</v>
      </c>
      <c r="AB13" s="122">
        <v>105.6</v>
      </c>
      <c r="AC13" s="122">
        <f t="shared" si="0"/>
        <v>7.6000000000000085</v>
      </c>
      <c r="AD13" s="122">
        <v>17.899999999999999</v>
      </c>
      <c r="AE13" s="122">
        <v>15</v>
      </c>
      <c r="AF13" s="65">
        <v>0.55300000000000005</v>
      </c>
      <c r="AG13" s="122">
        <v>20.399999999999999</v>
      </c>
      <c r="AH13" s="122">
        <v>1.6</v>
      </c>
      <c r="AI13" s="122">
        <v>0.7</v>
      </c>
      <c r="AJ13" s="65">
        <v>0.108</v>
      </c>
      <c r="AK13" s="122">
        <v>0.1</v>
      </c>
      <c r="AL13" s="122">
        <v>-0.9</v>
      </c>
      <c r="AM13" s="122">
        <v>0.3</v>
      </c>
      <c r="AN13" s="122">
        <v>10.7</v>
      </c>
    </row>
    <row r="14" spans="1:44" x14ac:dyDescent="0.2">
      <c r="A14" s="3"/>
      <c r="B14" s="3" t="s">
        <v>297</v>
      </c>
      <c r="C14" s="3"/>
      <c r="D14" s="3"/>
      <c r="E14" s="3"/>
      <c r="F14" s="3"/>
      <c r="G14" s="3"/>
      <c r="H14" s="113"/>
      <c r="I14" s="3"/>
      <c r="J14" s="3"/>
      <c r="K14" s="58"/>
      <c r="L14" s="55"/>
      <c r="M14" s="55"/>
      <c r="N14" s="55"/>
      <c r="O14" s="55"/>
      <c r="P14" s="3"/>
      <c r="Q14" s="3"/>
      <c r="R14" s="3"/>
      <c r="S14" s="3"/>
      <c r="T14" s="3"/>
      <c r="U14" s="3"/>
      <c r="X14" s="69"/>
      <c r="Y14" s="69"/>
      <c r="Z14" s="69"/>
      <c r="AA14" s="122"/>
      <c r="AB14" s="122"/>
      <c r="AC14" s="122"/>
      <c r="AD14" s="122"/>
      <c r="AE14" s="122"/>
      <c r="AF14" s="65"/>
      <c r="AG14" s="122"/>
      <c r="AH14" s="122"/>
      <c r="AI14" s="122"/>
      <c r="AJ14" s="65"/>
      <c r="AK14" s="122"/>
      <c r="AL14" s="122"/>
      <c r="AM14" s="122"/>
      <c r="AN14" s="122"/>
    </row>
    <row r="15" spans="1:44" x14ac:dyDescent="0.2">
      <c r="A15" s="3"/>
      <c r="B15" s="3" t="s">
        <v>752</v>
      </c>
      <c r="C15" s="3"/>
      <c r="D15" s="3"/>
      <c r="E15" s="3"/>
      <c r="F15" s="3"/>
      <c r="G15" s="3"/>
      <c r="H15" s="113"/>
      <c r="I15" s="3"/>
      <c r="J15" s="110"/>
      <c r="K15" s="112"/>
      <c r="L15" s="112"/>
      <c r="M15" s="16"/>
      <c r="N15" s="3"/>
      <c r="O15" s="22"/>
      <c r="P15" s="11">
        <v>2816760</v>
      </c>
      <c r="Q15" s="11">
        <v>2957520</v>
      </c>
      <c r="R15" s="51">
        <v>3098400</v>
      </c>
      <c r="S15" s="51">
        <v>4765339</v>
      </c>
      <c r="T15" s="50">
        <f>S15*3</f>
        <v>14296017</v>
      </c>
      <c r="U15" s="3"/>
      <c r="X15" s="69"/>
      <c r="Y15" s="69"/>
      <c r="Z15" s="69"/>
      <c r="AA15" s="122"/>
      <c r="AB15" s="122"/>
      <c r="AC15" s="122"/>
      <c r="AD15" s="122"/>
      <c r="AE15" s="122"/>
      <c r="AF15" s="69"/>
      <c r="AG15" s="122"/>
      <c r="AH15" s="122"/>
      <c r="AI15" s="122"/>
      <c r="AJ15" s="65"/>
      <c r="AK15" s="122"/>
      <c r="AL15" s="122"/>
      <c r="AM15" s="122"/>
      <c r="AN15" s="122"/>
    </row>
    <row r="16" spans="1:44" x14ac:dyDescent="0.2">
      <c r="A16" s="3"/>
      <c r="B16" s="3" t="s">
        <v>753</v>
      </c>
      <c r="C16" s="3"/>
      <c r="D16" s="3"/>
      <c r="E16" s="3"/>
      <c r="F16" s="3"/>
      <c r="G16" s="3"/>
      <c r="H16" s="113"/>
      <c r="I16" s="3"/>
      <c r="J16" s="110"/>
      <c r="K16" s="112"/>
      <c r="L16" s="112"/>
      <c r="M16" s="55"/>
      <c r="N16" s="22"/>
      <c r="O16" s="22"/>
      <c r="P16" s="188">
        <v>898310</v>
      </c>
      <c r="Q16" s="3"/>
      <c r="R16" s="3"/>
      <c r="S16" s="3"/>
      <c r="T16" s="3"/>
      <c r="U16" s="3"/>
      <c r="X16" s="69"/>
      <c r="Y16" s="69"/>
      <c r="Z16" s="69"/>
      <c r="AA16" s="122"/>
      <c r="AB16" s="122"/>
      <c r="AC16" s="122"/>
      <c r="AD16" s="122"/>
      <c r="AE16" s="122"/>
      <c r="AF16" s="69"/>
      <c r="AG16" s="122"/>
      <c r="AH16" s="122"/>
      <c r="AI16" s="122"/>
      <c r="AJ16" s="65"/>
      <c r="AK16" s="122"/>
      <c r="AL16" s="122"/>
      <c r="AM16" s="122"/>
      <c r="AN16" s="122"/>
    </row>
    <row r="17" spans="1:40" x14ac:dyDescent="0.2">
      <c r="A17" s="3"/>
      <c r="B17" s="5"/>
      <c r="C17" s="3"/>
      <c r="D17" s="3"/>
      <c r="E17" s="3"/>
      <c r="F17" s="3"/>
      <c r="G17" s="3"/>
      <c r="H17" s="113"/>
      <c r="I17" s="3"/>
      <c r="J17" s="110"/>
      <c r="K17" s="112"/>
      <c r="L17" s="112"/>
      <c r="M17" s="55"/>
      <c r="N17" s="22"/>
      <c r="O17" s="22"/>
      <c r="P17" s="188"/>
      <c r="Q17" s="3"/>
      <c r="R17" s="3"/>
      <c r="S17" s="3"/>
      <c r="T17" s="3"/>
      <c r="U17" s="3"/>
      <c r="X17" s="69"/>
      <c r="Y17" s="69"/>
      <c r="Z17" s="69"/>
      <c r="AA17" s="122"/>
      <c r="AB17" s="122"/>
      <c r="AC17" s="122"/>
      <c r="AD17" s="122"/>
      <c r="AE17" s="122"/>
      <c r="AF17" s="69"/>
      <c r="AG17" s="122"/>
      <c r="AH17" s="122"/>
      <c r="AI17" s="122"/>
      <c r="AJ17" s="65"/>
      <c r="AK17" s="122"/>
      <c r="AL17" s="122"/>
      <c r="AM17" s="122"/>
      <c r="AN17" s="122"/>
    </row>
    <row r="18" spans="1:40" x14ac:dyDescent="0.2">
      <c r="A18" s="3">
        <v>1</v>
      </c>
      <c r="B18" s="3" t="s">
        <v>33</v>
      </c>
      <c r="C18" s="3" t="s">
        <v>255</v>
      </c>
      <c r="D18" s="108">
        <v>65</v>
      </c>
      <c r="E18" s="108">
        <v>67</v>
      </c>
      <c r="F18" s="109">
        <v>215</v>
      </c>
      <c r="G18" s="4">
        <v>31323</v>
      </c>
      <c r="H18" s="113">
        <f t="shared" ref="H18:H23" ca="1" si="2">ROUNDDOWN(YEARFRAC($G$25,G18),1)</f>
        <v>35</v>
      </c>
      <c r="I18" s="3" t="s">
        <v>704</v>
      </c>
      <c r="J18" s="3">
        <v>12</v>
      </c>
      <c r="K18" s="112">
        <v>2008</v>
      </c>
      <c r="L18" s="112">
        <v>22</v>
      </c>
      <c r="M18" s="3" t="s">
        <v>700</v>
      </c>
      <c r="N18" s="3"/>
      <c r="O18" s="3"/>
      <c r="P18" s="14">
        <v>19139505</v>
      </c>
      <c r="Q18" s="12"/>
      <c r="R18" s="12"/>
      <c r="S18" s="12"/>
      <c r="T18" s="12"/>
      <c r="U18" s="3"/>
      <c r="V18" s="3"/>
      <c r="W18" t="s">
        <v>705</v>
      </c>
      <c r="X18" s="69">
        <v>3</v>
      </c>
      <c r="Y18" s="69">
        <v>24</v>
      </c>
      <c r="Z18" s="65">
        <f>15/24</f>
        <v>0.625</v>
      </c>
      <c r="AA18" s="122">
        <v>116.8</v>
      </c>
      <c r="AB18" s="122">
        <v>110.1</v>
      </c>
      <c r="AC18" s="122">
        <f t="shared" ref="AC18:AC22" si="3">AA18-AB18</f>
        <v>6.7000000000000028</v>
      </c>
      <c r="AD18" s="122">
        <v>14.4</v>
      </c>
      <c r="AE18" s="122">
        <v>10.9</v>
      </c>
      <c r="AF18" s="65">
        <v>0.629</v>
      </c>
      <c r="AG18" s="122">
        <v>11.9</v>
      </c>
      <c r="AH18" s="122">
        <v>0.3</v>
      </c>
      <c r="AI18" s="122">
        <v>0.4</v>
      </c>
      <c r="AJ18" s="65">
        <v>9.8000000000000004E-2</v>
      </c>
      <c r="AK18" s="122">
        <v>-2.1</v>
      </c>
      <c r="AL18" s="122">
        <v>1.6</v>
      </c>
      <c r="AM18" s="122">
        <v>0.1</v>
      </c>
      <c r="AN18" s="122">
        <v>5.2</v>
      </c>
    </row>
    <row r="19" spans="1:40" x14ac:dyDescent="0.2">
      <c r="A19" s="3">
        <v>5</v>
      </c>
      <c r="B19" s="3" t="s">
        <v>35</v>
      </c>
      <c r="C19" s="3" t="s">
        <v>250</v>
      </c>
      <c r="D19" s="108">
        <v>510</v>
      </c>
      <c r="E19" s="108">
        <v>511</v>
      </c>
      <c r="F19" s="109">
        <v>180</v>
      </c>
      <c r="G19" s="4">
        <v>30859</v>
      </c>
      <c r="H19" s="113">
        <f t="shared" ca="1" si="2"/>
        <v>36.299999999999997</v>
      </c>
      <c r="I19" s="3" t="s">
        <v>737</v>
      </c>
      <c r="J19" s="3">
        <v>14</v>
      </c>
      <c r="K19" s="112">
        <v>2006</v>
      </c>
      <c r="L19" s="112"/>
      <c r="M19" s="3" t="s">
        <v>738</v>
      </c>
      <c r="N19" s="3"/>
      <c r="O19" s="3"/>
      <c r="P19" s="14">
        <v>1620564</v>
      </c>
      <c r="Q19" s="12"/>
      <c r="R19" s="12"/>
      <c r="S19" s="157"/>
      <c r="T19" s="12"/>
      <c r="U19" s="3"/>
      <c r="W19" s="135" t="s">
        <v>291</v>
      </c>
      <c r="X19" s="69">
        <v>1</v>
      </c>
      <c r="Y19" s="69">
        <v>26</v>
      </c>
      <c r="Z19" s="65">
        <f>13/26</f>
        <v>0.5</v>
      </c>
      <c r="AA19" s="122">
        <v>113.4</v>
      </c>
      <c r="AB19" s="122">
        <v>108</v>
      </c>
      <c r="AC19" s="122">
        <f t="shared" si="3"/>
        <v>5.4000000000000057</v>
      </c>
      <c r="AD19" s="122">
        <v>15</v>
      </c>
      <c r="AE19" s="122">
        <v>14.9</v>
      </c>
      <c r="AF19" s="65">
        <v>0.51900000000000002</v>
      </c>
      <c r="AG19" s="122">
        <v>24.3</v>
      </c>
      <c r="AH19" s="122">
        <v>0.5</v>
      </c>
      <c r="AI19" s="122">
        <v>0.2</v>
      </c>
      <c r="AJ19" s="65">
        <v>8.4000000000000005E-2</v>
      </c>
      <c r="AK19" s="122">
        <v>1.8</v>
      </c>
      <c r="AL19" s="122">
        <v>-2.7</v>
      </c>
      <c r="AM19" s="122">
        <v>0.1</v>
      </c>
      <c r="AN19" s="122">
        <v>10.7</v>
      </c>
    </row>
    <row r="20" spans="1:40" x14ac:dyDescent="0.2">
      <c r="A20" s="3">
        <v>9</v>
      </c>
      <c r="B20" s="3" t="s">
        <v>36</v>
      </c>
      <c r="C20" s="3" t="s">
        <v>236</v>
      </c>
      <c r="D20" s="108">
        <v>66</v>
      </c>
      <c r="E20" s="108">
        <v>70</v>
      </c>
      <c r="F20" s="109">
        <v>232</v>
      </c>
      <c r="G20" s="4">
        <v>34238</v>
      </c>
      <c r="H20" s="113">
        <f t="shared" ca="1" si="2"/>
        <v>27</v>
      </c>
      <c r="I20" s="3" t="s">
        <v>270</v>
      </c>
      <c r="J20" s="3">
        <v>8</v>
      </c>
      <c r="K20" s="112">
        <v>2012</v>
      </c>
      <c r="L20" s="112">
        <v>2</v>
      </c>
      <c r="M20" s="3" t="s">
        <v>743</v>
      </c>
      <c r="N20" s="3"/>
      <c r="O20" s="3"/>
      <c r="P20" s="14">
        <v>1620564</v>
      </c>
      <c r="Q20" s="12"/>
      <c r="R20" s="12"/>
      <c r="S20" s="12"/>
      <c r="T20" s="12"/>
      <c r="U20" s="3"/>
      <c r="W20" t="s">
        <v>744</v>
      </c>
      <c r="X20" s="69">
        <v>4</v>
      </c>
      <c r="Y20" s="69">
        <v>9</v>
      </c>
      <c r="Z20" s="65">
        <f>6/9</f>
        <v>0.66666666666666663</v>
      </c>
      <c r="AA20" s="122">
        <v>92.2</v>
      </c>
      <c r="AB20" s="122">
        <v>103.2</v>
      </c>
      <c r="AC20" s="122">
        <f t="shared" si="3"/>
        <v>-11</v>
      </c>
      <c r="AD20" s="122">
        <v>7.9</v>
      </c>
      <c r="AE20" s="122">
        <v>-0.1</v>
      </c>
      <c r="AF20" s="65">
        <v>0.254</v>
      </c>
      <c r="AG20" s="122">
        <v>8.4</v>
      </c>
      <c r="AH20" s="122">
        <v>-0.2</v>
      </c>
      <c r="AI20" s="122">
        <v>0.1</v>
      </c>
      <c r="AJ20" s="65">
        <v>-5.5E-2</v>
      </c>
      <c r="AK20" s="122">
        <v>-9.6999999999999993</v>
      </c>
      <c r="AL20" s="122">
        <v>0.8</v>
      </c>
      <c r="AM20" s="122">
        <v>-0.1</v>
      </c>
      <c r="AN20" s="122">
        <v>0.9</v>
      </c>
    </row>
    <row r="21" spans="1:40" x14ac:dyDescent="0.2">
      <c r="A21" s="3">
        <v>32</v>
      </c>
      <c r="B21" s="3" t="s">
        <v>2064</v>
      </c>
      <c r="C21" s="3" t="s">
        <v>250</v>
      </c>
      <c r="D21" s="108">
        <v>60</v>
      </c>
      <c r="E21" s="108">
        <v>66</v>
      </c>
      <c r="F21" s="109">
        <v>185</v>
      </c>
      <c r="G21" s="4">
        <v>33920</v>
      </c>
      <c r="H21" s="113">
        <f t="shared" ca="1" si="2"/>
        <v>27.9</v>
      </c>
      <c r="I21" s="3" t="s">
        <v>443</v>
      </c>
      <c r="J21" s="3">
        <v>7</v>
      </c>
      <c r="K21" s="112">
        <v>2013</v>
      </c>
      <c r="L21" s="112">
        <v>9</v>
      </c>
      <c r="M21" s="3" t="s">
        <v>2149</v>
      </c>
      <c r="N21" s="3"/>
      <c r="O21" s="3"/>
      <c r="P21" s="14">
        <v>1620564</v>
      </c>
      <c r="Q21" s="12"/>
      <c r="R21" s="12"/>
      <c r="S21" s="12"/>
      <c r="T21" s="12"/>
      <c r="U21" s="3"/>
      <c r="W21" s="135" t="s">
        <v>291</v>
      </c>
      <c r="X21" s="69">
        <v>1</v>
      </c>
      <c r="Y21" s="69">
        <v>25</v>
      </c>
      <c r="Z21" s="65">
        <f>13/25</f>
        <v>0.52</v>
      </c>
      <c r="AA21" s="122">
        <v>110.7</v>
      </c>
      <c r="AB21" s="122">
        <v>105.9</v>
      </c>
      <c r="AC21" s="122">
        <f t="shared" si="3"/>
        <v>4.7999999999999972</v>
      </c>
      <c r="AD21" s="122">
        <v>13.1</v>
      </c>
      <c r="AE21" s="122">
        <v>15.4</v>
      </c>
      <c r="AF21" s="65">
        <v>0.54500000000000004</v>
      </c>
      <c r="AG21" s="122">
        <v>19.3</v>
      </c>
      <c r="AH21" s="122">
        <v>0.6</v>
      </c>
      <c r="AI21" s="122">
        <v>0.2</v>
      </c>
      <c r="AJ21" s="65">
        <v>0.129</v>
      </c>
      <c r="AK21" s="122">
        <v>0.7</v>
      </c>
      <c r="AL21" s="122">
        <v>-1.1000000000000001</v>
      </c>
      <c r="AM21" s="122">
        <v>0.1</v>
      </c>
      <c r="AN21" s="122">
        <v>10.7</v>
      </c>
    </row>
    <row r="22" spans="1:40" x14ac:dyDescent="0.2">
      <c r="A22" s="3">
        <v>3</v>
      </c>
      <c r="B22" s="3" t="s">
        <v>745</v>
      </c>
      <c r="C22" s="3" t="s">
        <v>244</v>
      </c>
      <c r="D22" s="108">
        <v>65</v>
      </c>
      <c r="E22" s="108">
        <v>611</v>
      </c>
      <c r="F22" s="109">
        <v>195</v>
      </c>
      <c r="G22" s="4">
        <v>34367</v>
      </c>
      <c r="H22" s="113">
        <f t="shared" ca="1" si="2"/>
        <v>26.7</v>
      </c>
      <c r="I22" s="3" t="s">
        <v>746</v>
      </c>
      <c r="J22" s="3">
        <v>2</v>
      </c>
      <c r="K22" s="112">
        <v>2017</v>
      </c>
      <c r="L22" s="112"/>
      <c r="M22" s="3" t="s">
        <v>747</v>
      </c>
      <c r="N22" s="3"/>
      <c r="O22" s="3"/>
      <c r="P22" s="68">
        <v>1416852</v>
      </c>
      <c r="Q22" s="12"/>
      <c r="R22" s="12"/>
      <c r="S22" s="12"/>
      <c r="T22" s="12"/>
      <c r="U22" s="3"/>
      <c r="W22" t="s">
        <v>748</v>
      </c>
      <c r="X22" s="69">
        <v>3</v>
      </c>
      <c r="Y22" s="69">
        <v>6</v>
      </c>
      <c r="Z22" s="65">
        <f>4/6</f>
        <v>0.66666666666666663</v>
      </c>
      <c r="AA22" s="122">
        <v>97.9</v>
      </c>
      <c r="AB22" s="122">
        <v>123.9</v>
      </c>
      <c r="AC22" s="122">
        <f t="shared" si="3"/>
        <v>-26</v>
      </c>
      <c r="AD22" s="122">
        <v>3.7</v>
      </c>
      <c r="AE22" s="122">
        <v>2.9</v>
      </c>
      <c r="AF22" s="65">
        <v>0.36299999999999999</v>
      </c>
      <c r="AG22" s="122">
        <v>15.3</v>
      </c>
      <c r="AH22" s="122">
        <v>-0.1</v>
      </c>
      <c r="AI22" s="122">
        <v>0</v>
      </c>
      <c r="AJ22" s="65">
        <v>-7.3999999999999996E-2</v>
      </c>
      <c r="AK22" s="122">
        <v>-8.9</v>
      </c>
      <c r="AL22" s="122">
        <v>0.7</v>
      </c>
      <c r="AM22" s="122">
        <v>0</v>
      </c>
      <c r="AN22" s="122">
        <v>1.6</v>
      </c>
    </row>
    <row r="23" spans="1:40" x14ac:dyDescent="0.2">
      <c r="A23" s="3">
        <v>23</v>
      </c>
      <c r="B23" s="3" t="s">
        <v>749</v>
      </c>
      <c r="C23" s="3" t="s">
        <v>255</v>
      </c>
      <c r="D23" s="108">
        <v>64</v>
      </c>
      <c r="E23" s="108">
        <v>67</v>
      </c>
      <c r="F23" s="109">
        <v>214</v>
      </c>
      <c r="G23" s="4">
        <v>35585</v>
      </c>
      <c r="H23" s="113">
        <f t="shared" ca="1" si="2"/>
        <v>23.3</v>
      </c>
      <c r="I23" s="3" t="s">
        <v>750</v>
      </c>
      <c r="J23" s="3">
        <v>1</v>
      </c>
      <c r="K23" s="112">
        <v>2019</v>
      </c>
      <c r="L23" s="112"/>
      <c r="M23" s="3" t="s">
        <v>751</v>
      </c>
      <c r="N23" s="3"/>
      <c r="O23" s="3"/>
      <c r="P23" s="68">
        <v>1416852</v>
      </c>
      <c r="Q23" s="12"/>
      <c r="R23" s="12"/>
      <c r="S23" s="12"/>
      <c r="T23" s="12"/>
      <c r="U23" s="3"/>
      <c r="X23" s="69"/>
      <c r="Y23" s="69"/>
      <c r="Z23" s="65"/>
      <c r="AA23" s="122"/>
      <c r="AB23" s="122"/>
      <c r="AC23" s="122"/>
      <c r="AD23" s="122"/>
      <c r="AE23" s="122"/>
      <c r="AF23" s="65"/>
      <c r="AG23" s="122"/>
      <c r="AH23" s="122"/>
      <c r="AI23" s="122"/>
      <c r="AJ23" s="65"/>
      <c r="AK23" s="122"/>
      <c r="AL23" s="122"/>
      <c r="AM23" s="122"/>
      <c r="AN23" s="122"/>
    </row>
    <row r="24" spans="1:40" x14ac:dyDescent="0.2">
      <c r="A24" s="3"/>
      <c r="B24" s="3"/>
      <c r="C24" s="3"/>
      <c r="D24" s="3"/>
      <c r="E24" s="3"/>
      <c r="F24" s="3"/>
      <c r="G24" s="3"/>
      <c r="H24" s="113"/>
      <c r="I24" s="3"/>
      <c r="J24" s="110"/>
      <c r="K24" s="112"/>
      <c r="L24" s="112"/>
      <c r="M24" s="55"/>
      <c r="N24" s="22"/>
      <c r="O24" s="22"/>
      <c r="P24" s="188"/>
      <c r="Q24" s="3"/>
      <c r="R24" s="3"/>
      <c r="S24" s="3"/>
      <c r="T24" s="3"/>
      <c r="U24" s="3"/>
      <c r="X24" s="69"/>
      <c r="Y24" s="69"/>
      <c r="Z24" s="69"/>
      <c r="AA24" s="122"/>
      <c r="AB24" s="122"/>
      <c r="AC24" s="122"/>
      <c r="AD24" s="122"/>
      <c r="AE24" s="122"/>
      <c r="AF24" s="69"/>
      <c r="AG24" s="122"/>
      <c r="AH24" s="122"/>
      <c r="AI24" s="122"/>
      <c r="AJ24" s="65"/>
      <c r="AK24" s="122"/>
      <c r="AL24" s="122"/>
      <c r="AM24" s="122"/>
      <c r="AN24" s="122"/>
    </row>
    <row r="25" spans="1:40" x14ac:dyDescent="0.2">
      <c r="A25" s="3"/>
      <c r="B25" s="3"/>
      <c r="C25" s="3"/>
      <c r="D25" s="3"/>
      <c r="E25" s="4"/>
      <c r="F25" s="36"/>
      <c r="G25" s="4">
        <f ca="1">TODAY()</f>
        <v>44128</v>
      </c>
      <c r="H25" s="36">
        <f ca="1">AVERAGE(H2:H13)</f>
        <v>27.333333333333339</v>
      </c>
      <c r="I25" s="3"/>
      <c r="J25" s="36">
        <f>AVERAGE(J2:J13)</f>
        <v>5.5</v>
      </c>
      <c r="K25" s="55"/>
      <c r="L25" s="55"/>
      <c r="M25" s="55"/>
      <c r="N25" s="55"/>
      <c r="O25" s="55"/>
      <c r="P25" s="3"/>
      <c r="Q25" s="3"/>
      <c r="R25" s="3"/>
      <c r="S25" s="3"/>
      <c r="T25" s="3"/>
      <c r="U25" s="3"/>
      <c r="X25" s="69"/>
      <c r="Y25" s="69"/>
      <c r="Z25" s="69"/>
      <c r="AA25" s="122"/>
      <c r="AB25" s="122"/>
      <c r="AC25" s="122"/>
      <c r="AD25" s="122"/>
      <c r="AE25" s="122"/>
      <c r="AF25" s="69"/>
      <c r="AG25" s="122"/>
      <c r="AH25" s="122"/>
      <c r="AI25" s="122"/>
      <c r="AJ25" s="65"/>
      <c r="AK25" s="122"/>
      <c r="AL25" s="122"/>
      <c r="AM25" s="122"/>
      <c r="AN25" s="122"/>
    </row>
    <row r="26" spans="1:40" x14ac:dyDescent="0.2">
      <c r="A26" s="3"/>
      <c r="B26" s="3"/>
      <c r="C26" s="3"/>
      <c r="D26" s="3"/>
      <c r="E26" s="4"/>
      <c r="F26" s="36"/>
      <c r="G26" s="4"/>
      <c r="H26" s="36">
        <f ca="1">MEDIAN(H2:H13)</f>
        <v>27.9</v>
      </c>
      <c r="I26" s="3"/>
      <c r="J26" s="36">
        <f>MEDIAN(J2:J13)</f>
        <v>6</v>
      </c>
      <c r="K26" s="55"/>
      <c r="L26" s="55"/>
      <c r="M26" s="55"/>
      <c r="N26" s="55"/>
      <c r="O26" s="55"/>
      <c r="P26" s="3"/>
      <c r="Q26" s="3"/>
      <c r="R26" s="3"/>
      <c r="S26" s="3"/>
      <c r="T26" s="3"/>
      <c r="U26" s="3"/>
      <c r="X26" s="69"/>
      <c r="Y26" s="69"/>
      <c r="Z26" s="69"/>
      <c r="AA26" s="122"/>
      <c r="AB26" s="122"/>
      <c r="AC26" s="122"/>
      <c r="AD26" s="122"/>
      <c r="AE26" s="122"/>
      <c r="AF26" s="69"/>
      <c r="AG26" s="122"/>
      <c r="AH26" s="122"/>
      <c r="AI26" s="122"/>
      <c r="AJ26" s="65"/>
      <c r="AK26" s="122"/>
      <c r="AL26" s="122"/>
      <c r="AM26" s="122"/>
      <c r="AN26" s="122"/>
    </row>
    <row r="27" spans="1:40" x14ac:dyDescent="0.2">
      <c r="A27" s="3"/>
      <c r="B27" s="5" t="s">
        <v>2224</v>
      </c>
      <c r="C27" s="3"/>
      <c r="D27" s="3"/>
      <c r="E27" s="3"/>
      <c r="F27" s="3"/>
      <c r="G27" s="3"/>
      <c r="H27" s="36"/>
      <c r="I27" s="3"/>
      <c r="J27" s="110"/>
      <c r="K27" s="16"/>
      <c r="L27" s="16"/>
      <c r="M27" s="55"/>
      <c r="N27" s="55"/>
      <c r="O27" s="55"/>
      <c r="P27" s="11">
        <f>P2+P4+P5+P6+P7+P8+P9+P10+P11+P13+P15</f>
        <v>90867005</v>
      </c>
      <c r="Q27" s="11">
        <f>Q2+Q4+Q7+Q6+Q5+Q8+Q10+Q15</f>
        <v>85520870</v>
      </c>
      <c r="R27" s="3"/>
      <c r="S27" s="3"/>
      <c r="T27" s="3"/>
      <c r="U27" s="3"/>
      <c r="X27" s="69"/>
      <c r="Y27" s="69"/>
      <c r="Z27" s="69"/>
      <c r="AA27" s="69"/>
      <c r="AB27" s="69"/>
      <c r="AC27" s="69"/>
      <c r="AD27" s="69"/>
      <c r="AE27" s="69"/>
      <c r="AF27" s="69"/>
      <c r="AG27" s="69"/>
      <c r="AH27" s="69"/>
      <c r="AI27" s="69"/>
      <c r="AJ27" s="65"/>
      <c r="AK27" s="122"/>
      <c r="AL27" s="122"/>
      <c r="AM27" s="122"/>
      <c r="AN27" s="122"/>
    </row>
    <row r="28" spans="1:40" x14ac:dyDescent="0.2">
      <c r="A28" s="3"/>
      <c r="B28" s="3" t="s">
        <v>2085</v>
      </c>
      <c r="C28" s="3">
        <v>10</v>
      </c>
      <c r="D28" s="3"/>
      <c r="E28" s="3"/>
      <c r="F28" s="3"/>
      <c r="G28" s="3"/>
      <c r="H28" s="3"/>
      <c r="I28" s="3"/>
      <c r="J28" s="3"/>
      <c r="K28" s="55"/>
      <c r="L28" s="16"/>
      <c r="M28" s="55"/>
      <c r="N28" s="55"/>
      <c r="O28" s="16"/>
      <c r="P28" s="29">
        <f>P2+P3+P4+P5+P6+P7+P8+P9+P10+P11+P12+P13+P15</f>
        <v>112128362</v>
      </c>
      <c r="Q28" s="11">
        <f>Q2+Q4+Q7+Q6+Q5+Q8+Q10+Q13+Q15</f>
        <v>87322927</v>
      </c>
      <c r="R28" s="3"/>
      <c r="S28" s="3"/>
      <c r="T28" s="3"/>
      <c r="U28" s="3"/>
      <c r="X28" s="69"/>
      <c r="Y28" s="69"/>
      <c r="Z28" s="69"/>
      <c r="AA28" s="69"/>
      <c r="AB28" s="69"/>
      <c r="AC28" s="69"/>
      <c r="AD28" s="69"/>
      <c r="AE28" s="69"/>
      <c r="AF28" s="69"/>
      <c r="AG28" s="69"/>
      <c r="AH28" s="69"/>
      <c r="AI28" s="69"/>
      <c r="AJ28" s="69"/>
      <c r="AK28" s="122"/>
      <c r="AL28" s="122"/>
      <c r="AM28" s="122"/>
      <c r="AN28" s="122"/>
    </row>
    <row r="29" spans="1:40" x14ac:dyDescent="0.2">
      <c r="A29" s="3"/>
      <c r="B29" s="3" t="s">
        <v>2088</v>
      </c>
      <c r="C29" s="3">
        <v>2</v>
      </c>
      <c r="D29" s="3"/>
      <c r="E29" s="3"/>
      <c r="F29" s="3"/>
      <c r="G29" s="3"/>
      <c r="H29" s="3"/>
      <c r="I29" s="3"/>
      <c r="J29" s="3"/>
      <c r="K29" s="55"/>
      <c r="L29" s="16"/>
      <c r="M29" s="55"/>
      <c r="N29" s="55"/>
      <c r="O29" s="16"/>
      <c r="P29" s="29"/>
      <c r="Q29" s="3"/>
      <c r="R29" s="3"/>
      <c r="S29" s="3"/>
      <c r="T29" s="3"/>
      <c r="U29" s="3"/>
      <c r="X29" s="69"/>
      <c r="Y29" s="69"/>
      <c r="Z29" s="69"/>
      <c r="AA29" s="69"/>
      <c r="AB29" s="69"/>
      <c r="AC29" s="69"/>
      <c r="AD29" s="69"/>
      <c r="AE29" s="69"/>
      <c r="AF29" s="69"/>
      <c r="AG29" s="69"/>
      <c r="AH29" s="69"/>
      <c r="AI29" s="69"/>
      <c r="AJ29" s="69"/>
      <c r="AK29" s="122"/>
      <c r="AL29" s="122"/>
      <c r="AM29" s="122"/>
      <c r="AN29" s="122"/>
    </row>
    <row r="30" spans="1:40" x14ac:dyDescent="0.2">
      <c r="A30" s="3"/>
      <c r="B30" s="3" t="s">
        <v>2086</v>
      </c>
      <c r="C30" s="3">
        <v>2</v>
      </c>
      <c r="D30" s="3"/>
      <c r="E30" s="3"/>
      <c r="F30" s="3"/>
      <c r="G30" s="3"/>
      <c r="H30" s="3"/>
      <c r="I30" s="3"/>
      <c r="J30" s="4"/>
      <c r="K30" s="3"/>
      <c r="L30" s="16"/>
      <c r="M30" s="55"/>
      <c r="N30" s="55"/>
      <c r="O30" s="3" t="s">
        <v>300</v>
      </c>
      <c r="P30" s="72">
        <v>109140000</v>
      </c>
      <c r="Q30" s="3"/>
      <c r="R30" s="3"/>
      <c r="S30" s="3"/>
      <c r="T30" s="3"/>
      <c r="U30" s="3"/>
      <c r="X30" s="69"/>
      <c r="Y30" s="69"/>
      <c r="Z30" s="69"/>
      <c r="AA30" s="69"/>
      <c r="AB30" s="69"/>
      <c r="AC30" s="69"/>
      <c r="AD30" s="69"/>
      <c r="AE30" s="69"/>
      <c r="AF30" s="69"/>
      <c r="AG30" s="69"/>
      <c r="AH30" s="69"/>
      <c r="AI30" s="69"/>
      <c r="AJ30" s="69"/>
      <c r="AK30" s="122"/>
      <c r="AL30" s="122"/>
      <c r="AM30" s="122"/>
      <c r="AN30" s="122"/>
    </row>
    <row r="31" spans="1:40" x14ac:dyDescent="0.2">
      <c r="A31" s="3"/>
      <c r="B31" s="3" t="s">
        <v>2217</v>
      </c>
      <c r="C31" s="3" t="s">
        <v>2379</v>
      </c>
      <c r="D31" s="3"/>
      <c r="E31" s="3"/>
      <c r="F31" s="3"/>
      <c r="G31" s="3"/>
      <c r="H31" s="3"/>
      <c r="I31" s="3"/>
      <c r="J31" s="4"/>
      <c r="K31" s="3"/>
      <c r="L31" s="16"/>
      <c r="M31" s="55"/>
      <c r="N31" s="55"/>
      <c r="O31" s="22" t="s">
        <v>302</v>
      </c>
      <c r="P31" s="11">
        <v>132627000</v>
      </c>
      <c r="Q31" s="3"/>
      <c r="R31" s="3"/>
      <c r="S31" s="3"/>
      <c r="T31" s="3"/>
      <c r="U31" s="3"/>
      <c r="X31" s="69"/>
      <c r="Y31" s="69"/>
      <c r="Z31" s="69"/>
      <c r="AA31" s="69"/>
      <c r="AB31" s="69"/>
      <c r="AC31" s="69"/>
      <c r="AD31" s="69"/>
      <c r="AE31" s="69"/>
      <c r="AF31" s="69"/>
      <c r="AG31" s="69"/>
      <c r="AH31" s="69"/>
      <c r="AI31" s="69"/>
      <c r="AJ31" s="69"/>
      <c r="AK31" s="122"/>
      <c r="AL31" s="122"/>
      <c r="AM31" s="122"/>
      <c r="AN31" s="122"/>
    </row>
    <row r="32" spans="1:40" x14ac:dyDescent="0.2">
      <c r="A32" s="3"/>
      <c r="B32" s="24" t="s">
        <v>301</v>
      </c>
      <c r="C32" s="22">
        <v>0</v>
      </c>
      <c r="D32" s="3"/>
      <c r="E32" s="3"/>
      <c r="F32" s="3"/>
      <c r="G32" s="3"/>
      <c r="H32" s="3"/>
      <c r="I32" s="3"/>
      <c r="J32" s="3"/>
      <c r="K32" s="55"/>
      <c r="L32" s="55"/>
      <c r="M32" s="55"/>
      <c r="N32" s="55"/>
      <c r="O32" s="22"/>
      <c r="P32" s="11"/>
      <c r="Q32" s="3"/>
      <c r="R32" s="3"/>
      <c r="S32" s="3"/>
      <c r="T32" s="3"/>
      <c r="U32" s="3"/>
      <c r="X32" s="69"/>
      <c r="Y32" s="69"/>
      <c r="Z32" s="69"/>
      <c r="AA32" s="69"/>
      <c r="AB32" s="69"/>
      <c r="AC32" s="69"/>
      <c r="AD32" s="69"/>
      <c r="AE32" s="69"/>
      <c r="AF32" s="69"/>
      <c r="AG32" s="69"/>
      <c r="AH32" s="69"/>
      <c r="AI32" s="69"/>
      <c r="AJ32" s="69"/>
      <c r="AK32" s="122"/>
      <c r="AL32" s="122"/>
      <c r="AM32" s="122"/>
      <c r="AN32" s="122"/>
    </row>
    <row r="33" spans="1:40" x14ac:dyDescent="0.2">
      <c r="A33" s="3"/>
      <c r="B33" s="3" t="s">
        <v>303</v>
      </c>
      <c r="C33" s="22">
        <v>0</v>
      </c>
      <c r="D33" s="3"/>
      <c r="E33" s="3"/>
      <c r="F33" s="3"/>
      <c r="G33" s="3"/>
      <c r="H33" s="3"/>
      <c r="I33" s="3"/>
      <c r="J33" s="3"/>
      <c r="K33" s="58"/>
      <c r="L33" s="55"/>
      <c r="M33" s="55"/>
      <c r="N33" s="55"/>
      <c r="O33" s="3"/>
      <c r="P33" s="3"/>
      <c r="Q33" s="3"/>
      <c r="R33" s="3"/>
      <c r="S33" s="3"/>
      <c r="T33" s="3"/>
      <c r="U33" s="3"/>
      <c r="X33" s="69"/>
      <c r="Y33" s="69"/>
      <c r="Z33" s="69"/>
      <c r="AA33" s="69"/>
      <c r="AB33" s="69"/>
      <c r="AC33" s="69"/>
      <c r="AD33" s="69"/>
      <c r="AE33" s="69"/>
      <c r="AF33" s="69"/>
      <c r="AG33" s="69"/>
      <c r="AH33" s="69"/>
      <c r="AI33" s="69"/>
      <c r="AJ33" s="69"/>
      <c r="AK33" s="122"/>
      <c r="AL33" s="122"/>
      <c r="AM33" s="122"/>
      <c r="AN33" s="122"/>
    </row>
    <row r="34" spans="1:40" x14ac:dyDescent="0.2">
      <c r="A34" s="3"/>
      <c r="B34" s="3"/>
      <c r="C34" s="3"/>
      <c r="D34" s="3"/>
      <c r="E34" s="3"/>
      <c r="F34" s="3"/>
      <c r="G34" s="3"/>
      <c r="H34" s="3"/>
      <c r="I34" s="3"/>
      <c r="J34" s="22"/>
      <c r="K34" s="22"/>
      <c r="L34" s="3"/>
      <c r="M34" s="3"/>
      <c r="N34" s="3"/>
      <c r="O34" s="3"/>
      <c r="P34" s="3"/>
      <c r="Q34" s="3"/>
      <c r="R34" s="3"/>
      <c r="S34" s="3"/>
      <c r="T34" s="3"/>
      <c r="U34" s="3"/>
      <c r="X34" s="69"/>
      <c r="Y34" s="69"/>
      <c r="Z34" s="69"/>
      <c r="AA34" s="69"/>
      <c r="AB34" s="69"/>
      <c r="AC34" s="69"/>
      <c r="AD34" s="69"/>
      <c r="AE34" s="69"/>
      <c r="AF34" s="69"/>
      <c r="AG34" s="69"/>
      <c r="AH34" s="69"/>
      <c r="AI34" s="69"/>
      <c r="AJ34" s="69"/>
      <c r="AK34" s="69"/>
      <c r="AL34" s="69"/>
      <c r="AM34" s="69"/>
      <c r="AN34" s="69"/>
    </row>
    <row r="35" spans="1:40" x14ac:dyDescent="0.2">
      <c r="A35" s="3"/>
      <c r="B35" s="5" t="s">
        <v>2084</v>
      </c>
      <c r="C35" s="3"/>
      <c r="D35" s="3"/>
      <c r="E35" s="3"/>
      <c r="F35" s="3"/>
      <c r="G35" s="3"/>
      <c r="H35" s="3"/>
      <c r="I35" s="3"/>
      <c r="J35" s="22"/>
      <c r="K35" s="22"/>
      <c r="L35" s="3"/>
      <c r="M35" s="3"/>
      <c r="N35" s="3"/>
      <c r="O35" s="3"/>
      <c r="P35" s="3"/>
      <c r="Q35" s="3"/>
      <c r="R35" s="3"/>
      <c r="S35" s="3"/>
      <c r="T35" s="3"/>
      <c r="U35" s="3"/>
      <c r="X35" s="69"/>
      <c r="Y35" s="69"/>
      <c r="Z35" s="69"/>
      <c r="AA35" s="69"/>
      <c r="AB35" s="69"/>
      <c r="AC35" s="69"/>
      <c r="AD35" s="69"/>
      <c r="AE35" s="69"/>
      <c r="AF35" s="69"/>
      <c r="AG35" s="69"/>
      <c r="AH35" s="69"/>
      <c r="AI35" s="69"/>
      <c r="AJ35" s="69"/>
      <c r="AK35" s="69"/>
      <c r="AL35" s="69"/>
      <c r="AM35" s="69"/>
      <c r="AN35" s="69"/>
    </row>
    <row r="36" spans="1:40" x14ac:dyDescent="0.2">
      <c r="A36" s="3"/>
      <c r="B36" s="3" t="s">
        <v>304</v>
      </c>
      <c r="C36" s="41">
        <f>43/(43+32)</f>
        <v>0.57333333333333336</v>
      </c>
      <c r="D36" s="3" t="s">
        <v>754</v>
      </c>
      <c r="E36" s="3"/>
      <c r="F36" s="3"/>
      <c r="G36" s="3"/>
      <c r="H36" s="3"/>
      <c r="I36" s="3"/>
      <c r="J36" s="3"/>
      <c r="K36" s="22"/>
      <c r="L36" s="3"/>
      <c r="M36" s="3"/>
      <c r="N36" s="3"/>
      <c r="O36" s="3"/>
      <c r="P36" s="3"/>
      <c r="Q36" s="3"/>
      <c r="R36" s="3"/>
      <c r="S36" s="3"/>
      <c r="T36" s="3"/>
      <c r="U36" s="3"/>
      <c r="X36" s="69"/>
      <c r="Y36" s="69"/>
      <c r="Z36" s="69"/>
      <c r="AA36" s="69"/>
      <c r="AB36" s="69"/>
      <c r="AC36" s="69"/>
      <c r="AD36" s="69"/>
      <c r="AE36" s="69"/>
      <c r="AF36" s="69"/>
      <c r="AG36" s="69"/>
      <c r="AH36" s="69"/>
      <c r="AI36" s="69"/>
      <c r="AJ36" s="69"/>
      <c r="AK36" s="69"/>
      <c r="AL36" s="69"/>
      <c r="AM36" s="69"/>
      <c r="AN36" s="69"/>
    </row>
    <row r="37" spans="1:40" x14ac:dyDescent="0.2">
      <c r="A37" s="3"/>
      <c r="B37" s="3" t="s">
        <v>306</v>
      </c>
      <c r="C37" s="113">
        <v>115.9</v>
      </c>
      <c r="D37" s="3" t="s">
        <v>2215</v>
      </c>
      <c r="E37" s="3"/>
      <c r="F37" s="3"/>
      <c r="G37" s="3"/>
      <c r="H37" s="3"/>
      <c r="I37" s="3"/>
      <c r="J37" s="3"/>
      <c r="K37" s="3"/>
      <c r="L37" s="3"/>
      <c r="M37" s="3"/>
      <c r="N37" s="3"/>
      <c r="O37" s="3"/>
      <c r="P37" s="3"/>
    </row>
    <row r="38" spans="1:40" x14ac:dyDescent="0.2">
      <c r="A38" s="3"/>
      <c r="B38" s="3" t="s">
        <v>307</v>
      </c>
      <c r="C38" s="113">
        <v>111.2</v>
      </c>
      <c r="D38" s="3" t="s">
        <v>2180</v>
      </c>
      <c r="E38" s="3"/>
      <c r="F38" s="3"/>
      <c r="O38" s="3"/>
      <c r="P38" s="3"/>
    </row>
    <row r="39" spans="1:40" x14ac:dyDescent="0.2">
      <c r="A39" s="3"/>
      <c r="B39" s="3" t="s">
        <v>308</v>
      </c>
      <c r="C39" s="113">
        <v>4.8</v>
      </c>
      <c r="D39" s="3" t="s">
        <v>2216</v>
      </c>
      <c r="E39" s="3"/>
      <c r="F39" s="3"/>
      <c r="O39" s="3"/>
      <c r="P39" s="3"/>
    </row>
    <row r="40" spans="1:40" x14ac:dyDescent="0.2">
      <c r="B40" s="3" t="s">
        <v>309</v>
      </c>
      <c r="C40" s="36">
        <v>99.89</v>
      </c>
      <c r="D40" s="3" t="s">
        <v>2180</v>
      </c>
      <c r="E40" s="3"/>
      <c r="F40" s="3"/>
    </row>
    <row r="41" spans="1:40" x14ac:dyDescent="0.2">
      <c r="B41" s="3"/>
      <c r="C41" s="3"/>
      <c r="D41" s="3"/>
      <c r="E41" s="3"/>
    </row>
    <row r="42" spans="1:40" x14ac:dyDescent="0.2">
      <c r="B42" s="2" t="s">
        <v>310</v>
      </c>
      <c r="C42" s="3"/>
      <c r="D42" s="3"/>
      <c r="E42" s="3"/>
    </row>
    <row r="43" spans="1:40" x14ac:dyDescent="0.2">
      <c r="B43" s="2" t="s">
        <v>2247</v>
      </c>
      <c r="C43" s="3"/>
      <c r="D43" s="3"/>
      <c r="E43" s="3"/>
    </row>
    <row r="44" spans="1:40" x14ac:dyDescent="0.2">
      <c r="B44" s="10"/>
      <c r="C44" s="3"/>
      <c r="D44" s="3"/>
      <c r="E44" s="3"/>
    </row>
    <row r="45" spans="1:40" x14ac:dyDescent="0.2">
      <c r="B45" s="2" t="s">
        <v>318</v>
      </c>
      <c r="C45" s="3"/>
      <c r="D45" s="3"/>
      <c r="E45" s="3"/>
    </row>
    <row r="46" spans="1:40" x14ac:dyDescent="0.2">
      <c r="B46" s="2" t="s">
        <v>756</v>
      </c>
      <c r="C46" s="3"/>
      <c r="D46" s="3"/>
      <c r="E46" s="3"/>
    </row>
    <row r="47" spans="1:40" x14ac:dyDescent="0.2">
      <c r="B47" s="2" t="s">
        <v>2170</v>
      </c>
      <c r="C47" s="3"/>
      <c r="D47" s="3"/>
      <c r="E47" s="3"/>
    </row>
    <row r="48" spans="1:40" x14ac:dyDescent="0.2">
      <c r="B48" s="2"/>
      <c r="C48" s="3"/>
      <c r="D48" s="3"/>
      <c r="E48" s="3"/>
    </row>
    <row r="49" spans="2:9" x14ac:dyDescent="0.2">
      <c r="B49" s="5" t="s">
        <v>2228</v>
      </c>
      <c r="C49" s="3"/>
      <c r="D49" s="3"/>
      <c r="E49" s="3"/>
    </row>
    <row r="50" spans="2:9" x14ac:dyDescent="0.2">
      <c r="B50" s="39" t="s">
        <v>322</v>
      </c>
      <c r="C50" s="3">
        <v>43</v>
      </c>
      <c r="D50" s="3">
        <v>32</v>
      </c>
      <c r="E50" s="3" t="s">
        <v>754</v>
      </c>
      <c r="G50" t="s">
        <v>755</v>
      </c>
      <c r="I50" t="s">
        <v>2378</v>
      </c>
    </row>
    <row r="51" spans="2:9" x14ac:dyDescent="0.2">
      <c r="B51" s="39" t="s">
        <v>325</v>
      </c>
      <c r="C51" s="3">
        <v>33</v>
      </c>
      <c r="D51" s="3">
        <v>49</v>
      </c>
      <c r="E51" s="3" t="s">
        <v>757</v>
      </c>
      <c r="G51" t="s">
        <v>755</v>
      </c>
      <c r="I51" s="144" t="s">
        <v>324</v>
      </c>
    </row>
    <row r="52" spans="2:9" x14ac:dyDescent="0.2">
      <c r="B52" s="39" t="s">
        <v>327</v>
      </c>
      <c r="C52" s="3">
        <v>24</v>
      </c>
      <c r="D52" s="3">
        <v>58</v>
      </c>
      <c r="E52" s="3" t="s">
        <v>758</v>
      </c>
      <c r="G52" t="s">
        <v>755</v>
      </c>
      <c r="I52" s="144" t="s">
        <v>324</v>
      </c>
    </row>
    <row r="53" spans="2:9" x14ac:dyDescent="0.2">
      <c r="B53" s="39" t="s">
        <v>330</v>
      </c>
      <c r="C53" s="3">
        <v>33</v>
      </c>
      <c r="D53" s="3">
        <v>49</v>
      </c>
      <c r="E53" s="3" t="s">
        <v>759</v>
      </c>
      <c r="G53" t="s">
        <v>755</v>
      </c>
      <c r="I53" s="144" t="s">
        <v>324</v>
      </c>
    </row>
    <row r="54" spans="2:9" x14ac:dyDescent="0.2">
      <c r="B54" s="39" t="s">
        <v>333</v>
      </c>
      <c r="C54" s="3">
        <v>42</v>
      </c>
      <c r="D54" s="3">
        <v>40</v>
      </c>
      <c r="E54" s="3" t="s">
        <v>760</v>
      </c>
      <c r="G54" t="s">
        <v>755</v>
      </c>
      <c r="I54" t="s">
        <v>761</v>
      </c>
    </row>
    <row r="55" spans="2:9" x14ac:dyDescent="0.2">
      <c r="B55" s="39" t="s">
        <v>336</v>
      </c>
      <c r="C55" s="3">
        <v>50</v>
      </c>
      <c r="D55" s="3">
        <v>32</v>
      </c>
      <c r="E55" s="3" t="s">
        <v>754</v>
      </c>
      <c r="G55" t="s">
        <v>755</v>
      </c>
      <c r="I55" t="s">
        <v>762</v>
      </c>
    </row>
    <row r="56" spans="2:9" x14ac:dyDescent="0.2">
      <c r="B56" s="39" t="s">
        <v>339</v>
      </c>
      <c r="C56" s="3">
        <v>49</v>
      </c>
      <c r="D56" s="3">
        <v>33</v>
      </c>
      <c r="E56" s="3" t="s">
        <v>763</v>
      </c>
      <c r="G56" t="s">
        <v>755</v>
      </c>
      <c r="I56" t="s">
        <v>764</v>
      </c>
    </row>
    <row r="57" spans="2:9" x14ac:dyDescent="0.2">
      <c r="B57" s="39" t="s">
        <v>342</v>
      </c>
      <c r="C57" s="3">
        <v>41</v>
      </c>
      <c r="D57" s="3">
        <v>41</v>
      </c>
      <c r="E57" s="3" t="s">
        <v>765</v>
      </c>
      <c r="G57" t="s">
        <v>755</v>
      </c>
      <c r="I57" s="144" t="s">
        <v>324</v>
      </c>
    </row>
    <row r="58" spans="2:9" x14ac:dyDescent="0.2">
      <c r="B58" s="39" t="s">
        <v>346</v>
      </c>
      <c r="C58" s="3">
        <v>36</v>
      </c>
      <c r="D58" s="3">
        <v>30</v>
      </c>
      <c r="E58" s="3" t="s">
        <v>754</v>
      </c>
      <c r="G58" t="s">
        <v>755</v>
      </c>
      <c r="I58" t="s">
        <v>766</v>
      </c>
    </row>
    <row r="59" spans="2:9" x14ac:dyDescent="0.2">
      <c r="B59" s="39" t="s">
        <v>348</v>
      </c>
      <c r="C59" s="3">
        <v>57</v>
      </c>
      <c r="D59" s="3">
        <v>25</v>
      </c>
      <c r="E59" s="3" t="s">
        <v>767</v>
      </c>
      <c r="G59" t="s">
        <v>755</v>
      </c>
      <c r="I59" t="s">
        <v>768</v>
      </c>
    </row>
    <row r="60" spans="2:9" x14ac:dyDescent="0.2">
      <c r="B60" s="3" t="s">
        <v>350</v>
      </c>
      <c r="C60" s="3">
        <f>SUM(C50:C59)</f>
        <v>408</v>
      </c>
      <c r="D60" s="3">
        <f>SUM(D50:D59)</f>
        <v>389</v>
      </c>
      <c r="E60" s="41">
        <f>C60/(C60+D60)</f>
        <v>0.51191969887076538</v>
      </c>
    </row>
    <row r="61" spans="2:9" x14ac:dyDescent="0.2">
      <c r="B61" s="3"/>
      <c r="C61" s="3"/>
      <c r="D61" s="3"/>
      <c r="E61" s="41"/>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1B103-C282-DA4C-B14E-849F4773FBAF}">
  <dimension ref="A1:AR59"/>
  <sheetViews>
    <sheetView zoomScaleNormal="100" workbookViewId="0">
      <selection sqref="A1:AR1"/>
    </sheetView>
  </sheetViews>
  <sheetFormatPr baseColWidth="10" defaultColWidth="11" defaultRowHeight="16" x14ac:dyDescent="0.2"/>
  <cols>
    <col min="1" max="1" width="3.33203125" customWidth="1"/>
    <col min="2" max="2" width="19" customWidth="1"/>
    <col min="3" max="3" width="11.5" customWidth="1"/>
    <col min="4" max="4" width="7.5" customWidth="1"/>
    <col min="5" max="5" width="10.83203125" customWidth="1"/>
    <col min="6" max="6" width="8.33203125" customWidth="1"/>
    <col min="7" max="7" width="8.6640625" customWidth="1"/>
    <col min="8" max="8" width="6.1640625" customWidth="1"/>
    <col min="9" max="9" width="25" customWidth="1"/>
    <col min="10" max="11" width="11.1640625" customWidth="1"/>
    <col min="12" max="12" width="5.6640625" customWidth="1"/>
    <col min="13" max="13" width="25.1640625" customWidth="1"/>
    <col min="14" max="14" width="15.1640625" customWidth="1"/>
    <col min="15" max="15" width="47.1640625" customWidth="1"/>
    <col min="16" max="16" width="13.5" customWidth="1"/>
    <col min="17" max="17" width="12.83203125" customWidth="1"/>
    <col min="18" max="18" width="12" customWidth="1"/>
    <col min="19" max="19" width="12.6640625" customWidth="1"/>
    <col min="20" max="20" width="12.5" customWidth="1"/>
    <col min="21" max="21" width="12.33203125" bestFit="1" customWidth="1"/>
    <col min="22" max="22" width="181.5" customWidth="1"/>
    <col min="23" max="23" width="29" customWidth="1"/>
    <col min="24" max="24" width="9.6640625" customWidth="1"/>
    <col min="25" max="25" width="3.83203125" customWidth="1"/>
    <col min="26" max="26" width="8.1640625" customWidth="1"/>
    <col min="27" max="27" width="6.1640625" customWidth="1"/>
    <col min="28" max="28" width="5.83203125" customWidth="1"/>
    <col min="29" max="29" width="7.5" customWidth="1"/>
    <col min="30" max="30" width="5.1640625" customWidth="1"/>
    <col min="31" max="31" width="4.6640625" customWidth="1"/>
    <col min="32" max="32" width="5.83203125" customWidth="1"/>
    <col min="33" max="33" width="7.83203125" customWidth="1"/>
    <col min="34" max="34" width="5.1640625" customWidth="1"/>
    <col min="35" max="35" width="5" customWidth="1"/>
    <col min="36" max="36" width="6.6640625" customWidth="1"/>
    <col min="37" max="37" width="6" customWidth="1"/>
    <col min="38" max="38" width="6.1640625" customWidth="1"/>
    <col min="39" max="39" width="5.6640625" customWidth="1"/>
    <col min="40" max="40" width="5.1640625" customWidth="1"/>
  </cols>
  <sheetData>
    <row r="1" spans="1:44" x14ac:dyDescent="0.2">
      <c r="A1" s="223" t="s">
        <v>2394</v>
      </c>
      <c r="B1" s="223" t="s">
        <v>2395</v>
      </c>
      <c r="C1" s="223" t="s">
        <v>2396</v>
      </c>
      <c r="D1" s="223" t="s">
        <v>2397</v>
      </c>
      <c r="E1" s="223" t="s">
        <v>2398</v>
      </c>
      <c r="F1" s="223" t="s">
        <v>2399</v>
      </c>
      <c r="G1" s="223" t="s">
        <v>2400</v>
      </c>
      <c r="H1" s="223" t="s">
        <v>2401</v>
      </c>
      <c r="I1" s="223" t="s">
        <v>2402</v>
      </c>
      <c r="J1" s="223" t="s">
        <v>2403</v>
      </c>
      <c r="K1" s="223" t="s">
        <v>2404</v>
      </c>
      <c r="L1" s="223" t="s">
        <v>2405</v>
      </c>
      <c r="M1" s="223" t="s">
        <v>2406</v>
      </c>
      <c r="N1" s="223" t="s">
        <v>2407</v>
      </c>
      <c r="O1" s="223" t="s">
        <v>2408</v>
      </c>
      <c r="P1" s="223" t="s">
        <v>2409</v>
      </c>
      <c r="Q1" s="223" t="s">
        <v>2410</v>
      </c>
      <c r="R1" s="223" t="s">
        <v>2411</v>
      </c>
      <c r="S1" s="223" t="s">
        <v>2412</v>
      </c>
      <c r="T1" s="223" t="s">
        <v>2413</v>
      </c>
      <c r="U1" s="223" t="s">
        <v>2414</v>
      </c>
      <c r="V1" s="223" t="s">
        <v>2415</v>
      </c>
      <c r="W1" s="223" t="s">
        <v>2416</v>
      </c>
      <c r="X1" s="223" t="s">
        <v>2433</v>
      </c>
      <c r="Y1" s="223" t="s">
        <v>2417</v>
      </c>
      <c r="Z1" s="223" t="s">
        <v>2418</v>
      </c>
      <c r="AA1" s="223" t="s">
        <v>2419</v>
      </c>
      <c r="AB1" s="223" t="s">
        <v>2420</v>
      </c>
      <c r="AC1" s="223" t="s">
        <v>2421</v>
      </c>
      <c r="AD1" s="223" t="s">
        <v>2422</v>
      </c>
      <c r="AE1" s="223" t="s">
        <v>2423</v>
      </c>
      <c r="AF1" s="223" t="s">
        <v>2424</v>
      </c>
      <c r="AG1" s="223" t="s">
        <v>2425</v>
      </c>
      <c r="AH1" s="223" t="s">
        <v>2426</v>
      </c>
      <c r="AI1" s="223" t="s">
        <v>2427</v>
      </c>
      <c r="AJ1" s="223" t="s">
        <v>2428</v>
      </c>
      <c r="AK1" s="223" t="s">
        <v>2429</v>
      </c>
      <c r="AL1" s="223" t="s">
        <v>2430</v>
      </c>
      <c r="AM1" s="223" t="s">
        <v>2431</v>
      </c>
      <c r="AN1" s="223" t="s">
        <v>2432</v>
      </c>
      <c r="AO1" s="224"/>
      <c r="AP1" s="225"/>
      <c r="AQ1" s="6"/>
      <c r="AR1" s="6"/>
    </row>
    <row r="2" spans="1:44" x14ac:dyDescent="0.2">
      <c r="A2" s="3">
        <v>15</v>
      </c>
      <c r="B2" s="3" t="s">
        <v>202</v>
      </c>
      <c r="C2" s="3" t="s">
        <v>236</v>
      </c>
      <c r="D2" s="108">
        <v>70</v>
      </c>
      <c r="E2" s="108">
        <v>73</v>
      </c>
      <c r="F2" s="109">
        <v>284</v>
      </c>
      <c r="G2" s="4">
        <v>34749</v>
      </c>
      <c r="H2" s="113">
        <f t="shared" ref="H2:H12" ca="1" si="0">ROUNDDOWN(YEARFRAC($G$23,G2),1)</f>
        <v>25.6</v>
      </c>
      <c r="I2" s="3" t="s">
        <v>606</v>
      </c>
      <c r="J2" s="3">
        <v>6</v>
      </c>
      <c r="K2" s="112">
        <v>2014</v>
      </c>
      <c r="L2" s="112">
        <v>41</v>
      </c>
      <c r="M2" s="3" t="s">
        <v>2049</v>
      </c>
      <c r="N2" s="3" t="s">
        <v>1</v>
      </c>
      <c r="O2" s="3" t="s">
        <v>2188</v>
      </c>
      <c r="P2" s="11">
        <v>29542010</v>
      </c>
      <c r="Q2" s="11">
        <v>31579390</v>
      </c>
      <c r="R2" s="11">
        <v>33616770</v>
      </c>
      <c r="S2" s="14">
        <v>41343750</v>
      </c>
      <c r="T2" s="3"/>
      <c r="U2" s="3"/>
      <c r="V2" s="3" t="s">
        <v>2050</v>
      </c>
      <c r="W2" s="139" t="s">
        <v>240</v>
      </c>
      <c r="X2" s="69">
        <v>5</v>
      </c>
      <c r="Y2" s="69">
        <v>65</v>
      </c>
      <c r="Z2" s="65">
        <f>43/65</f>
        <v>0.66153846153846152</v>
      </c>
      <c r="AA2" s="122">
        <v>112.9</v>
      </c>
      <c r="AB2" s="122">
        <v>107.7</v>
      </c>
      <c r="AC2" s="122">
        <f t="shared" ref="AC2:AC11" si="1">AA2-AB2</f>
        <v>5.2000000000000028</v>
      </c>
      <c r="AD2" s="122">
        <v>32.299999999999997</v>
      </c>
      <c r="AE2" s="122">
        <v>25</v>
      </c>
      <c r="AF2" s="65">
        <v>0.60399999999999998</v>
      </c>
      <c r="AG2" s="122">
        <v>26.6</v>
      </c>
      <c r="AH2" s="122">
        <v>6</v>
      </c>
      <c r="AI2" s="122">
        <v>3.2</v>
      </c>
      <c r="AJ2" s="65">
        <v>0.20899999999999999</v>
      </c>
      <c r="AK2" s="122">
        <v>5.4</v>
      </c>
      <c r="AL2" s="122">
        <v>2.2999999999999998</v>
      </c>
      <c r="AM2" s="122">
        <v>5.0999999999999996</v>
      </c>
      <c r="AN2" s="122">
        <v>18.2</v>
      </c>
    </row>
    <row r="3" spans="1:44" x14ac:dyDescent="0.2">
      <c r="A3" s="3">
        <v>27</v>
      </c>
      <c r="B3" s="3" t="s">
        <v>782</v>
      </c>
      <c r="C3" s="3" t="s">
        <v>232</v>
      </c>
      <c r="D3" s="108">
        <v>64</v>
      </c>
      <c r="E3" s="108">
        <v>67</v>
      </c>
      <c r="F3" s="109">
        <v>215</v>
      </c>
      <c r="G3" s="4">
        <v>35484</v>
      </c>
      <c r="H3" s="113">
        <f t="shared" ca="1" si="0"/>
        <v>23.6</v>
      </c>
      <c r="I3" s="3" t="s">
        <v>270</v>
      </c>
      <c r="J3" s="3">
        <v>5</v>
      </c>
      <c r="K3" s="112">
        <v>2016</v>
      </c>
      <c r="L3" s="112">
        <v>7</v>
      </c>
      <c r="M3" s="3" t="s">
        <v>783</v>
      </c>
      <c r="N3" s="3" t="s">
        <v>1</v>
      </c>
      <c r="O3" s="3" t="s">
        <v>2191</v>
      </c>
      <c r="P3" s="11">
        <v>27285000</v>
      </c>
      <c r="Q3" s="11">
        <v>29467800</v>
      </c>
      <c r="R3" s="11">
        <v>31650600</v>
      </c>
      <c r="S3" s="11">
        <v>33833400</v>
      </c>
      <c r="T3" s="11">
        <v>36016200</v>
      </c>
      <c r="U3" s="14">
        <v>43411200</v>
      </c>
      <c r="V3" s="3" t="s">
        <v>2051</v>
      </c>
      <c r="W3" s="138" t="s">
        <v>784</v>
      </c>
      <c r="X3" s="69">
        <v>1</v>
      </c>
      <c r="Y3" s="69">
        <v>55</v>
      </c>
      <c r="Z3" s="65">
        <f>37/55</f>
        <v>0.67272727272727273</v>
      </c>
      <c r="AA3" s="122">
        <v>112.9</v>
      </c>
      <c r="AB3" s="122">
        <v>107</v>
      </c>
      <c r="AC3" s="122">
        <f t="shared" si="1"/>
        <v>5.9000000000000057</v>
      </c>
      <c r="AD3" s="122">
        <v>32.799999999999997</v>
      </c>
      <c r="AE3" s="122">
        <v>17.5</v>
      </c>
      <c r="AF3" s="65">
        <v>0.55900000000000005</v>
      </c>
      <c r="AG3" s="122">
        <v>25.2</v>
      </c>
      <c r="AH3" s="122">
        <v>2.5</v>
      </c>
      <c r="AI3" s="122">
        <v>1.6</v>
      </c>
      <c r="AJ3" s="65">
        <v>0.111</v>
      </c>
      <c r="AK3" s="122">
        <v>1.8</v>
      </c>
      <c r="AL3" s="122">
        <v>-0.7</v>
      </c>
      <c r="AM3" s="122">
        <v>1.4</v>
      </c>
      <c r="AN3" s="122">
        <v>12</v>
      </c>
    </row>
    <row r="4" spans="1:44" x14ac:dyDescent="0.2">
      <c r="A4" s="3">
        <v>14</v>
      </c>
      <c r="B4" s="3" t="s">
        <v>203</v>
      </c>
      <c r="C4" s="3" t="s">
        <v>255</v>
      </c>
      <c r="D4" s="108">
        <v>64</v>
      </c>
      <c r="E4" s="108">
        <v>67</v>
      </c>
      <c r="F4" s="109">
        <v>210</v>
      </c>
      <c r="G4" s="4">
        <v>34591</v>
      </c>
      <c r="H4" s="113">
        <f t="shared" ca="1" si="0"/>
        <v>26.1</v>
      </c>
      <c r="I4" s="3" t="s">
        <v>513</v>
      </c>
      <c r="J4" s="3">
        <v>7</v>
      </c>
      <c r="K4" s="112">
        <v>2014</v>
      </c>
      <c r="L4" s="112">
        <v>19</v>
      </c>
      <c r="M4" s="3" t="s">
        <v>771</v>
      </c>
      <c r="N4" s="3" t="s">
        <v>1</v>
      </c>
      <c r="O4" s="3" t="s">
        <v>2189</v>
      </c>
      <c r="P4" s="11">
        <f>19160714+350000</f>
        <v>19510714</v>
      </c>
      <c r="Q4" s="11">
        <f>20482143+350000</f>
        <v>20832143</v>
      </c>
      <c r="R4" s="14">
        <f>Q4*1.5</f>
        <v>31248214.5</v>
      </c>
      <c r="S4" s="12"/>
      <c r="T4" s="12"/>
      <c r="U4" s="12"/>
      <c r="V4" s="3" t="s">
        <v>2389</v>
      </c>
      <c r="W4" s="138" t="s">
        <v>772</v>
      </c>
      <c r="X4" s="69">
        <v>2</v>
      </c>
      <c r="Y4" s="69">
        <v>56</v>
      </c>
      <c r="Z4" s="65">
        <f>37/56</f>
        <v>0.6607142857142857</v>
      </c>
      <c r="AA4" s="122">
        <v>110.5</v>
      </c>
      <c r="AB4" s="122">
        <v>107.1</v>
      </c>
      <c r="AC4" s="122">
        <f t="shared" si="1"/>
        <v>3.4000000000000057</v>
      </c>
      <c r="AD4" s="122">
        <v>31.8</v>
      </c>
      <c r="AE4" s="122">
        <v>9.6999999999999993</v>
      </c>
      <c r="AF4" s="65">
        <v>0.51900000000000002</v>
      </c>
      <c r="AG4" s="122">
        <v>15.1</v>
      </c>
      <c r="AH4" s="122">
        <v>0.5</v>
      </c>
      <c r="AI4" s="122">
        <v>1.7</v>
      </c>
      <c r="AJ4" s="65">
        <v>5.8999999999999997E-2</v>
      </c>
      <c r="AK4" s="122">
        <v>-2.8</v>
      </c>
      <c r="AL4" s="122">
        <v>0.4</v>
      </c>
      <c r="AM4" s="122">
        <v>-0.2</v>
      </c>
      <c r="AN4" s="122">
        <v>6.2</v>
      </c>
    </row>
    <row r="5" spans="1:44" x14ac:dyDescent="0.2">
      <c r="A5" s="3">
        <v>5</v>
      </c>
      <c r="B5" s="3" t="s">
        <v>774</v>
      </c>
      <c r="C5" s="3" t="s">
        <v>255</v>
      </c>
      <c r="D5" s="108">
        <v>65</v>
      </c>
      <c r="E5" s="108">
        <v>610</v>
      </c>
      <c r="F5" s="109">
        <v>181</v>
      </c>
      <c r="G5" s="4">
        <v>33244</v>
      </c>
      <c r="H5" s="113">
        <f t="shared" ca="1" si="0"/>
        <v>29.8</v>
      </c>
      <c r="I5" s="3" t="s">
        <v>225</v>
      </c>
      <c r="J5" s="3">
        <v>9</v>
      </c>
      <c r="K5" s="112">
        <v>2012</v>
      </c>
      <c r="L5" s="112">
        <v>40</v>
      </c>
      <c r="M5" s="3" t="s">
        <v>775</v>
      </c>
      <c r="N5" s="3" t="s">
        <v>1</v>
      </c>
      <c r="O5" s="3" t="s">
        <v>2176</v>
      </c>
      <c r="P5" s="11">
        <v>13723214</v>
      </c>
      <c r="Q5" s="48">
        <v>14669642</v>
      </c>
      <c r="R5" s="14">
        <f>Q5*1.5</f>
        <v>22004463</v>
      </c>
      <c r="S5" s="12"/>
      <c r="T5" s="12"/>
      <c r="U5" s="12"/>
      <c r="V5" s="3"/>
      <c r="W5" s="138" t="s">
        <v>776</v>
      </c>
      <c r="X5" s="69">
        <v>3</v>
      </c>
      <c r="Y5" s="69">
        <v>58</v>
      </c>
      <c r="Z5" s="65">
        <f>38/58</f>
        <v>0.65517241379310343</v>
      </c>
      <c r="AA5" s="122">
        <v>112.7</v>
      </c>
      <c r="AB5" s="122">
        <v>106.9</v>
      </c>
      <c r="AC5" s="122">
        <f t="shared" si="1"/>
        <v>5.7999999999999972</v>
      </c>
      <c r="AD5" s="122">
        <v>33</v>
      </c>
      <c r="AE5" s="122">
        <v>15.7</v>
      </c>
      <c r="AF5" s="65">
        <v>0.54900000000000004</v>
      </c>
      <c r="AG5" s="122">
        <v>20</v>
      </c>
      <c r="AH5" s="122">
        <v>2.4</v>
      </c>
      <c r="AI5" s="122">
        <v>2.1</v>
      </c>
      <c r="AJ5" s="65">
        <v>0.113</v>
      </c>
      <c r="AK5" s="122">
        <v>1.2</v>
      </c>
      <c r="AL5" s="122">
        <v>-0.1</v>
      </c>
      <c r="AM5" s="122">
        <v>1.5</v>
      </c>
      <c r="AN5" s="122">
        <v>10.9</v>
      </c>
    </row>
    <row r="6" spans="1:44" x14ac:dyDescent="0.2">
      <c r="A6" s="3">
        <v>9</v>
      </c>
      <c r="B6" s="3" t="s">
        <v>39</v>
      </c>
      <c r="C6" s="3" t="s">
        <v>236</v>
      </c>
      <c r="D6" s="108">
        <v>68</v>
      </c>
      <c r="E6" s="108">
        <v>73</v>
      </c>
      <c r="F6" s="109">
        <v>210</v>
      </c>
      <c r="G6" s="4">
        <v>34405</v>
      </c>
      <c r="H6" s="113">
        <f t="shared" ca="1" si="0"/>
        <v>26.6</v>
      </c>
      <c r="I6" s="3" t="s">
        <v>777</v>
      </c>
      <c r="J6" s="3">
        <v>7</v>
      </c>
      <c r="K6" s="112">
        <v>2014</v>
      </c>
      <c r="L6" s="112">
        <v>39</v>
      </c>
      <c r="M6" s="3" t="s">
        <v>778</v>
      </c>
      <c r="N6" s="3" t="s">
        <v>779</v>
      </c>
      <c r="O6" s="163" t="s">
        <v>780</v>
      </c>
      <c r="P6" s="48">
        <v>9346153</v>
      </c>
      <c r="Q6" s="14">
        <f>P6*1.9</f>
        <v>17757690.699999999</v>
      </c>
      <c r="R6" s="12"/>
      <c r="S6" s="12"/>
      <c r="T6" s="12"/>
      <c r="U6" s="12"/>
      <c r="V6" s="3"/>
      <c r="W6" s="138" t="s">
        <v>781</v>
      </c>
      <c r="X6" s="69">
        <v>4</v>
      </c>
      <c r="Y6" s="69">
        <v>64</v>
      </c>
      <c r="Z6" s="65">
        <f>42/64</f>
        <v>0.65625</v>
      </c>
      <c r="AA6" s="122">
        <v>109.1</v>
      </c>
      <c r="AB6" s="122">
        <v>111.2</v>
      </c>
      <c r="AC6" s="122">
        <f t="shared" si="1"/>
        <v>-2.1000000000000085</v>
      </c>
      <c r="AD6" s="122">
        <v>26.2</v>
      </c>
      <c r="AE6" s="122">
        <v>14.2</v>
      </c>
      <c r="AF6" s="65">
        <v>0.58499999999999996</v>
      </c>
      <c r="AG6" s="122">
        <v>17.8</v>
      </c>
      <c r="AH6" s="122">
        <v>2.4</v>
      </c>
      <c r="AI6" s="122">
        <v>1.7</v>
      </c>
      <c r="AJ6" s="65">
        <v>0.11600000000000001</v>
      </c>
      <c r="AK6" s="122">
        <v>-0.1</v>
      </c>
      <c r="AL6" s="122">
        <v>-0.4</v>
      </c>
      <c r="AM6" s="122">
        <v>0.7</v>
      </c>
      <c r="AN6" s="122">
        <v>8.3000000000000007</v>
      </c>
    </row>
    <row r="7" spans="1:44" x14ac:dyDescent="0.2">
      <c r="A7" s="3">
        <v>1</v>
      </c>
      <c r="B7" s="3" t="s">
        <v>785</v>
      </c>
      <c r="C7" s="3" t="s">
        <v>244</v>
      </c>
      <c r="D7" s="108">
        <v>610</v>
      </c>
      <c r="E7" s="108">
        <v>70</v>
      </c>
      <c r="F7" s="109">
        <v>218</v>
      </c>
      <c r="G7" s="4">
        <v>35975</v>
      </c>
      <c r="H7" s="113">
        <f t="shared" ca="1" si="0"/>
        <v>22.3</v>
      </c>
      <c r="I7" s="3" t="s">
        <v>786</v>
      </c>
      <c r="J7" s="3">
        <v>3</v>
      </c>
      <c r="K7" s="112">
        <v>2018</v>
      </c>
      <c r="L7" s="112">
        <v>14</v>
      </c>
      <c r="M7" s="3" t="s">
        <v>787</v>
      </c>
      <c r="N7" s="3" t="s">
        <v>247</v>
      </c>
      <c r="O7" s="3" t="s">
        <v>2155</v>
      </c>
      <c r="P7" s="11">
        <v>3550800</v>
      </c>
      <c r="Q7" s="51">
        <v>5258735</v>
      </c>
      <c r="R7" s="50">
        <f>Q7*3</f>
        <v>15776205</v>
      </c>
      <c r="S7" s="12"/>
      <c r="T7" s="12"/>
      <c r="U7" s="12"/>
      <c r="V7" s="3"/>
      <c r="W7" s="138" t="s">
        <v>788</v>
      </c>
      <c r="X7" s="69">
        <v>4</v>
      </c>
      <c r="Y7" s="69">
        <v>48</v>
      </c>
      <c r="Z7" s="65">
        <f>33/48</f>
        <v>0.6875</v>
      </c>
      <c r="AA7" s="122">
        <v>111.8</v>
      </c>
      <c r="AB7" s="122">
        <v>111.1</v>
      </c>
      <c r="AC7" s="122">
        <f t="shared" si="1"/>
        <v>0.70000000000000284</v>
      </c>
      <c r="AD7" s="122">
        <v>14</v>
      </c>
      <c r="AE7" s="122">
        <v>18.5</v>
      </c>
      <c r="AF7" s="65">
        <v>0.58899999999999997</v>
      </c>
      <c r="AG7" s="122">
        <v>22</v>
      </c>
      <c r="AH7" s="122">
        <v>1</v>
      </c>
      <c r="AI7" s="122">
        <v>0.9</v>
      </c>
      <c r="AJ7" s="65">
        <v>0.14099999999999999</v>
      </c>
      <c r="AK7" s="122">
        <v>1.4</v>
      </c>
      <c r="AL7" s="122">
        <v>-0.7</v>
      </c>
      <c r="AM7" s="122">
        <v>0.5</v>
      </c>
      <c r="AN7" s="122">
        <v>11.5</v>
      </c>
    </row>
    <row r="8" spans="1:44" x14ac:dyDescent="0.2">
      <c r="A8" s="3">
        <v>35</v>
      </c>
      <c r="B8" s="3" t="s">
        <v>807</v>
      </c>
      <c r="C8" s="3" t="s">
        <v>255</v>
      </c>
      <c r="D8" s="108">
        <v>66</v>
      </c>
      <c r="E8" s="108">
        <v>611</v>
      </c>
      <c r="F8" s="109">
        <v>205</v>
      </c>
      <c r="G8" s="4">
        <v>35363</v>
      </c>
      <c r="H8" s="113">
        <f t="shared" ca="1" si="0"/>
        <v>23.9</v>
      </c>
      <c r="I8" s="3" t="s">
        <v>808</v>
      </c>
      <c r="J8" s="3">
        <v>4</v>
      </c>
      <c r="K8" s="112">
        <v>2017</v>
      </c>
      <c r="L8" s="112"/>
      <c r="M8" s="3" t="s">
        <v>809</v>
      </c>
      <c r="N8" s="3" t="s">
        <v>521</v>
      </c>
      <c r="O8" s="3" t="s">
        <v>2190</v>
      </c>
      <c r="P8" s="57">
        <v>1762796</v>
      </c>
      <c r="Q8" s="57">
        <v>1910860</v>
      </c>
      <c r="R8" s="52">
        <v>1948864</v>
      </c>
      <c r="S8" s="22"/>
      <c r="T8" s="12"/>
      <c r="U8" s="12"/>
      <c r="V8" s="3"/>
      <c r="W8" s="138" t="s">
        <v>810</v>
      </c>
      <c r="X8" s="69">
        <v>1</v>
      </c>
      <c r="Y8" s="69">
        <v>21</v>
      </c>
      <c r="Z8" s="65">
        <f>15/21</f>
        <v>0.7142857142857143</v>
      </c>
      <c r="AA8" s="122">
        <v>105.6</v>
      </c>
      <c r="AB8" s="122">
        <v>107.1</v>
      </c>
      <c r="AC8" s="122">
        <f t="shared" si="1"/>
        <v>-1.5</v>
      </c>
      <c r="AD8" s="122">
        <v>11.1</v>
      </c>
      <c r="AE8" s="122">
        <v>9.3000000000000007</v>
      </c>
      <c r="AF8" s="65">
        <v>0.44900000000000001</v>
      </c>
      <c r="AG8" s="122">
        <v>19.8</v>
      </c>
      <c r="AH8" s="122">
        <v>-0.1</v>
      </c>
      <c r="AI8" s="122">
        <v>0.2</v>
      </c>
      <c r="AJ8" s="65">
        <v>1.9E-2</v>
      </c>
      <c r="AK8" s="122">
        <v>-4.4000000000000004</v>
      </c>
      <c r="AL8" s="122">
        <v>-0.8</v>
      </c>
      <c r="AM8" s="122">
        <v>-0.2</v>
      </c>
      <c r="AN8" s="122">
        <v>5.6</v>
      </c>
    </row>
    <row r="9" spans="1:44" x14ac:dyDescent="0.2">
      <c r="A9" s="3">
        <v>11</v>
      </c>
      <c r="B9" s="3" t="s">
        <v>42</v>
      </c>
      <c r="C9" s="3" t="s">
        <v>250</v>
      </c>
      <c r="D9" s="108">
        <v>62</v>
      </c>
      <c r="E9" s="108">
        <v>65</v>
      </c>
      <c r="F9" s="109">
        <v>183</v>
      </c>
      <c r="G9" s="4">
        <v>34877</v>
      </c>
      <c r="H9" s="113">
        <f t="shared" ca="1" si="0"/>
        <v>25.3</v>
      </c>
      <c r="I9" s="3" t="s">
        <v>230</v>
      </c>
      <c r="J9" s="3">
        <v>4</v>
      </c>
      <c r="K9" s="112">
        <v>2017</v>
      </c>
      <c r="L9" s="112">
        <v>51</v>
      </c>
      <c r="M9" s="3" t="s">
        <v>795</v>
      </c>
      <c r="N9" s="3" t="s">
        <v>796</v>
      </c>
      <c r="O9" s="163" t="s">
        <v>797</v>
      </c>
      <c r="P9" s="15">
        <v>1723707</v>
      </c>
      <c r="Q9" s="14">
        <v>1856061</v>
      </c>
      <c r="R9" s="3"/>
      <c r="S9" s="12"/>
      <c r="T9" s="12"/>
      <c r="U9" s="12"/>
      <c r="V9" s="3"/>
      <c r="W9" s="139" t="s">
        <v>291</v>
      </c>
      <c r="X9" s="69">
        <v>1</v>
      </c>
      <c r="Y9" s="69">
        <v>65</v>
      </c>
      <c r="Z9" s="65">
        <f>43/65</f>
        <v>0.66153846153846152</v>
      </c>
      <c r="AA9" s="122">
        <v>109.2</v>
      </c>
      <c r="AB9" s="122">
        <v>107.5</v>
      </c>
      <c r="AC9" s="122">
        <f t="shared" si="1"/>
        <v>1.7000000000000028</v>
      </c>
      <c r="AD9" s="122">
        <v>21.6</v>
      </c>
      <c r="AE9" s="122">
        <v>14.9</v>
      </c>
      <c r="AF9" s="65">
        <v>0.53700000000000003</v>
      </c>
      <c r="AG9" s="122">
        <v>17.2</v>
      </c>
      <c r="AH9" s="122">
        <v>2.2000000000000002</v>
      </c>
      <c r="AI9" s="122">
        <v>1.2</v>
      </c>
      <c r="AJ9" s="65">
        <v>0.11700000000000001</v>
      </c>
      <c r="AK9" s="122">
        <v>0.2</v>
      </c>
      <c r="AL9" s="122">
        <v>-0.1</v>
      </c>
      <c r="AM9" s="122">
        <v>0.8</v>
      </c>
      <c r="AN9" s="122">
        <v>10</v>
      </c>
    </row>
    <row r="10" spans="1:44" x14ac:dyDescent="0.2">
      <c r="A10" s="3">
        <v>6</v>
      </c>
      <c r="B10" s="3" t="s">
        <v>43</v>
      </c>
      <c r="C10" s="3" t="s">
        <v>236</v>
      </c>
      <c r="D10" s="108">
        <v>68</v>
      </c>
      <c r="E10" s="108">
        <v>73</v>
      </c>
      <c r="F10" s="109">
        <v>229</v>
      </c>
      <c r="G10" s="4">
        <v>35087</v>
      </c>
      <c r="H10" s="113">
        <f t="shared" ca="1" si="0"/>
        <v>24.7</v>
      </c>
      <c r="I10" s="3" t="s">
        <v>798</v>
      </c>
      <c r="J10" s="3">
        <v>3</v>
      </c>
      <c r="K10" s="112">
        <v>2018</v>
      </c>
      <c r="L10" s="112">
        <v>48</v>
      </c>
      <c r="M10" s="3" t="s">
        <v>792</v>
      </c>
      <c r="N10" s="3" t="s">
        <v>793</v>
      </c>
      <c r="O10" s="163" t="s">
        <v>799</v>
      </c>
      <c r="P10" s="15">
        <v>1663861</v>
      </c>
      <c r="Q10" s="50">
        <v>2122822</v>
      </c>
      <c r="R10" s="3"/>
      <c r="S10" s="147"/>
      <c r="T10" s="12"/>
      <c r="U10" s="12"/>
      <c r="V10" s="3"/>
      <c r="W10" s="138" t="s">
        <v>800</v>
      </c>
      <c r="X10" s="69">
        <v>4</v>
      </c>
      <c r="Y10" s="69">
        <v>37</v>
      </c>
      <c r="Z10" s="65">
        <f>8/37</f>
        <v>0.21621621621621623</v>
      </c>
      <c r="AA10" s="122">
        <v>98.1</v>
      </c>
      <c r="AB10" s="122">
        <v>109.7</v>
      </c>
      <c r="AC10" s="122">
        <f t="shared" si="1"/>
        <v>-11.600000000000009</v>
      </c>
      <c r="AD10" s="122">
        <v>17.5</v>
      </c>
      <c r="AE10" s="122">
        <v>12.5</v>
      </c>
      <c r="AF10" s="65">
        <v>0.53500000000000003</v>
      </c>
      <c r="AG10" s="122">
        <v>15.8</v>
      </c>
      <c r="AH10" s="122">
        <v>0.6</v>
      </c>
      <c r="AI10" s="122">
        <v>0.5</v>
      </c>
      <c r="AJ10" s="65">
        <v>7.5999999999999998E-2</v>
      </c>
      <c r="AK10" s="122">
        <v>-0.8</v>
      </c>
      <c r="AL10" s="122">
        <v>-0.1</v>
      </c>
      <c r="AM10" s="122">
        <v>0.2</v>
      </c>
      <c r="AN10" s="122">
        <v>8.8000000000000007</v>
      </c>
    </row>
    <row r="11" spans="1:44" x14ac:dyDescent="0.2">
      <c r="A11" s="3">
        <v>31</v>
      </c>
      <c r="B11" s="3" t="s">
        <v>801</v>
      </c>
      <c r="C11" s="3" t="s">
        <v>236</v>
      </c>
      <c r="D11" s="108">
        <v>68</v>
      </c>
      <c r="E11" s="108">
        <v>611</v>
      </c>
      <c r="F11" s="109">
        <v>236</v>
      </c>
      <c r="G11" s="4">
        <v>35530</v>
      </c>
      <c r="H11" s="113">
        <f t="shared" ca="1" si="0"/>
        <v>23.5</v>
      </c>
      <c r="I11" s="3" t="s">
        <v>802</v>
      </c>
      <c r="J11" s="3">
        <v>2</v>
      </c>
      <c r="K11" s="112">
        <v>2017</v>
      </c>
      <c r="L11" s="112">
        <v>49</v>
      </c>
      <c r="M11" s="3" t="s">
        <v>803</v>
      </c>
      <c r="N11" s="3" t="s">
        <v>521</v>
      </c>
      <c r="O11" s="3" t="s">
        <v>799</v>
      </c>
      <c r="P11" s="11">
        <v>1517981</v>
      </c>
      <c r="Q11" s="15">
        <v>1782621</v>
      </c>
      <c r="R11" s="50">
        <v>2228276</v>
      </c>
      <c r="S11" s="12"/>
      <c r="T11" s="12"/>
      <c r="U11" s="12"/>
      <c r="V11" s="3"/>
      <c r="W11" s="138" t="s">
        <v>804</v>
      </c>
      <c r="X11" s="69">
        <v>4</v>
      </c>
      <c r="Y11" s="69">
        <v>14</v>
      </c>
      <c r="Z11" s="65">
        <f>7/14</f>
        <v>0.5</v>
      </c>
      <c r="AA11" s="122">
        <v>104.1</v>
      </c>
      <c r="AB11" s="122">
        <v>110.1</v>
      </c>
      <c r="AC11" s="122">
        <f t="shared" si="1"/>
        <v>-6</v>
      </c>
      <c r="AD11" s="122">
        <v>3.2</v>
      </c>
      <c r="AE11" s="122">
        <v>11.4</v>
      </c>
      <c r="AF11" s="65">
        <v>0.50700000000000001</v>
      </c>
      <c r="AG11" s="122">
        <v>19.100000000000001</v>
      </c>
      <c r="AH11" s="122">
        <v>0</v>
      </c>
      <c r="AI11" s="122">
        <v>0</v>
      </c>
      <c r="AJ11" s="65">
        <v>6.9000000000000006E-2</v>
      </c>
      <c r="AK11" s="122">
        <v>-3.5</v>
      </c>
      <c r="AL11" s="122">
        <v>-1.1000000000000001</v>
      </c>
      <c r="AM11" s="122">
        <v>0</v>
      </c>
      <c r="AN11" s="122">
        <v>5.2</v>
      </c>
    </row>
    <row r="12" spans="1:44" x14ac:dyDescent="0.2">
      <c r="A12" s="3">
        <v>10</v>
      </c>
      <c r="B12" s="3" t="s">
        <v>811</v>
      </c>
      <c r="C12" s="3" t="s">
        <v>236</v>
      </c>
      <c r="D12" s="108">
        <v>72</v>
      </c>
      <c r="E12" s="108">
        <v>78</v>
      </c>
      <c r="F12" s="109">
        <v>220</v>
      </c>
      <c r="G12" s="4">
        <v>36480</v>
      </c>
      <c r="H12" s="113">
        <f t="shared" ca="1" si="0"/>
        <v>20.9</v>
      </c>
      <c r="I12" s="3" t="s">
        <v>812</v>
      </c>
      <c r="J12" s="3">
        <v>2</v>
      </c>
      <c r="K12" s="112">
        <v>2019</v>
      </c>
      <c r="L12" s="112">
        <v>44</v>
      </c>
      <c r="M12" s="3" t="s">
        <v>813</v>
      </c>
      <c r="N12" s="3" t="s">
        <v>295</v>
      </c>
      <c r="O12" s="163" t="s">
        <v>814</v>
      </c>
      <c r="P12" s="3" t="s">
        <v>295</v>
      </c>
      <c r="Q12" s="34"/>
      <c r="R12" s="12"/>
      <c r="S12" s="12"/>
      <c r="T12" s="12"/>
      <c r="U12" s="12"/>
      <c r="V12" s="3"/>
      <c r="W12" s="138"/>
      <c r="X12" s="69"/>
      <c r="Y12" s="69"/>
      <c r="Z12" s="65"/>
      <c r="AA12" s="122"/>
      <c r="AB12" s="122"/>
      <c r="AC12" s="122"/>
      <c r="AD12" s="122"/>
      <c r="AE12" s="122"/>
      <c r="AF12" s="65"/>
      <c r="AG12" s="122"/>
      <c r="AH12" s="122"/>
      <c r="AI12" s="122"/>
      <c r="AJ12" s="65"/>
      <c r="AK12" s="122"/>
      <c r="AL12" s="122"/>
      <c r="AM12" s="122"/>
      <c r="AN12" s="122"/>
    </row>
    <row r="13" spans="1:44" x14ac:dyDescent="0.2">
      <c r="B13" s="2" t="s">
        <v>297</v>
      </c>
      <c r="H13" s="113"/>
      <c r="K13" s="112"/>
      <c r="L13" s="112"/>
      <c r="M13" s="16"/>
      <c r="N13" s="16"/>
      <c r="O13" s="16"/>
      <c r="P13" s="11"/>
      <c r="Q13" s="11"/>
      <c r="R13" s="11"/>
      <c r="S13" s="11"/>
      <c r="T13" s="3"/>
      <c r="U13" s="3"/>
      <c r="V13" s="3"/>
      <c r="W13" s="138"/>
      <c r="X13" s="69"/>
      <c r="Y13" s="69"/>
      <c r="Z13" s="65"/>
      <c r="AA13" s="122"/>
      <c r="AB13" s="122"/>
      <c r="AC13" s="122"/>
      <c r="AD13" s="122"/>
      <c r="AE13" s="122"/>
      <c r="AF13" s="65"/>
      <c r="AG13" s="122"/>
      <c r="AH13" s="126"/>
      <c r="AI13" s="126"/>
      <c r="AJ13" s="127"/>
      <c r="AK13" s="126"/>
      <c r="AL13" s="126"/>
      <c r="AM13" s="126"/>
      <c r="AN13" s="126"/>
    </row>
    <row r="14" spans="1:44" x14ac:dyDescent="0.2">
      <c r="B14" s="159" t="s">
        <v>2195</v>
      </c>
      <c r="H14" s="113"/>
      <c r="K14" s="136"/>
      <c r="L14" s="112"/>
      <c r="M14" s="16"/>
      <c r="N14" s="16"/>
      <c r="O14" s="16"/>
      <c r="P14" s="11">
        <v>2379840</v>
      </c>
      <c r="Q14" s="11">
        <v>2498760</v>
      </c>
      <c r="R14" s="51">
        <v>2617800</v>
      </c>
      <c r="S14" s="51">
        <f>R14*1.645</f>
        <v>4306281</v>
      </c>
      <c r="T14" s="50">
        <f>S14*3</f>
        <v>12918843</v>
      </c>
      <c r="V14" s="7"/>
      <c r="W14" s="138"/>
      <c r="X14" s="137"/>
      <c r="Y14" s="137"/>
      <c r="Z14" s="127"/>
      <c r="AG14" s="126"/>
      <c r="AH14" s="126"/>
      <c r="AI14" s="126"/>
      <c r="AJ14" s="127"/>
      <c r="AK14" s="126"/>
      <c r="AL14" s="126"/>
      <c r="AM14" s="126"/>
      <c r="AN14" s="126"/>
    </row>
    <row r="15" spans="1:44" x14ac:dyDescent="0.2">
      <c r="B15" s="152"/>
      <c r="H15" s="113"/>
      <c r="K15" s="136"/>
      <c r="L15" s="112"/>
      <c r="M15" s="16"/>
      <c r="N15" s="16"/>
      <c r="O15" s="16"/>
      <c r="P15" s="11"/>
      <c r="Q15" s="11"/>
      <c r="R15" s="16"/>
      <c r="S15" s="16"/>
      <c r="T15" s="16"/>
      <c r="W15" s="138"/>
      <c r="X15" s="137"/>
      <c r="Y15" s="137"/>
      <c r="Z15" s="127"/>
      <c r="AG15" s="126"/>
      <c r="AH15" s="126"/>
      <c r="AI15" s="126"/>
      <c r="AJ15" s="127"/>
      <c r="AK15" s="126"/>
      <c r="AL15" s="126"/>
      <c r="AM15" s="126"/>
      <c r="AN15" s="126"/>
    </row>
    <row r="16" spans="1:44" x14ac:dyDescent="0.2">
      <c r="A16" s="3">
        <v>4</v>
      </c>
      <c r="B16" s="3" t="s">
        <v>37</v>
      </c>
      <c r="C16" s="3" t="s">
        <v>236</v>
      </c>
      <c r="D16" s="108">
        <v>67</v>
      </c>
      <c r="E16" s="108">
        <v>72</v>
      </c>
      <c r="F16" s="109">
        <v>257</v>
      </c>
      <c r="G16" s="4">
        <v>31088</v>
      </c>
      <c r="H16" s="113">
        <f t="shared" ref="H16:H21" ca="1" si="2">ROUNDDOWN(YEARFRAC($G$23,G16),1)</f>
        <v>35.700000000000003</v>
      </c>
      <c r="I16" s="3" t="s">
        <v>769</v>
      </c>
      <c r="J16" s="3">
        <v>15</v>
      </c>
      <c r="K16" s="112">
        <v>2006</v>
      </c>
      <c r="L16" s="112">
        <v>48</v>
      </c>
      <c r="M16" s="3" t="s">
        <v>714</v>
      </c>
      <c r="N16" s="3"/>
      <c r="O16" s="3"/>
      <c r="P16" s="14">
        <v>40250000</v>
      </c>
      <c r="Q16" s="12"/>
      <c r="R16" s="12"/>
      <c r="S16" s="12"/>
      <c r="T16" s="12"/>
      <c r="U16" s="12"/>
      <c r="V16" s="3"/>
      <c r="W16" s="138" t="s">
        <v>770</v>
      </c>
      <c r="X16" s="69">
        <v>4</v>
      </c>
      <c r="Y16" s="69">
        <v>44</v>
      </c>
      <c r="Z16" s="65">
        <f>27/44</f>
        <v>0.61363636363636365</v>
      </c>
      <c r="AA16" s="122">
        <v>113.5</v>
      </c>
      <c r="AB16" s="122">
        <v>102.2</v>
      </c>
      <c r="AC16" s="122">
        <f t="shared" ref="AC16:AC20" si="3">AA16-AB16</f>
        <v>11.299999999999997</v>
      </c>
      <c r="AD16" s="122">
        <v>24.4</v>
      </c>
      <c r="AE16" s="122">
        <v>17.7</v>
      </c>
      <c r="AF16" s="65">
        <v>0.59799999999999998</v>
      </c>
      <c r="AG16" s="122">
        <v>20.3</v>
      </c>
      <c r="AH16" s="122">
        <v>2</v>
      </c>
      <c r="AI16" s="122">
        <v>1.4</v>
      </c>
      <c r="AJ16" s="65">
        <v>0.151</v>
      </c>
      <c r="AK16" s="122">
        <v>0.6</v>
      </c>
      <c r="AL16" s="122">
        <v>0</v>
      </c>
      <c r="AM16" s="122">
        <v>0.7</v>
      </c>
      <c r="AN16" s="122">
        <v>10.8</v>
      </c>
    </row>
    <row r="17" spans="1:40" x14ac:dyDescent="0.2">
      <c r="A17" s="3">
        <v>7</v>
      </c>
      <c r="B17" s="3" t="s">
        <v>38</v>
      </c>
      <c r="C17" s="3" t="s">
        <v>236</v>
      </c>
      <c r="D17" s="108">
        <v>611</v>
      </c>
      <c r="E17" s="108">
        <v>611</v>
      </c>
      <c r="F17" s="109">
        <v>254</v>
      </c>
      <c r="G17" s="4">
        <v>32937</v>
      </c>
      <c r="H17" s="113">
        <f t="shared" ca="1" si="2"/>
        <v>30.6</v>
      </c>
      <c r="I17" s="3" t="s">
        <v>256</v>
      </c>
      <c r="J17" s="3">
        <v>8</v>
      </c>
      <c r="K17" s="112">
        <v>2013</v>
      </c>
      <c r="L17" s="112">
        <v>22</v>
      </c>
      <c r="M17" s="3" t="s">
        <v>773</v>
      </c>
      <c r="N17" s="3"/>
      <c r="O17" s="3"/>
      <c r="P17" s="14">
        <v>21061644</v>
      </c>
      <c r="Q17" s="12"/>
      <c r="R17" s="12"/>
      <c r="S17" s="12"/>
      <c r="T17" s="12"/>
      <c r="U17" s="12"/>
      <c r="V17" s="3"/>
      <c r="W17" s="138" t="s">
        <v>575</v>
      </c>
      <c r="X17" s="69">
        <v>5</v>
      </c>
      <c r="Y17" s="69">
        <v>53</v>
      </c>
      <c r="Z17" s="65">
        <f>35/53</f>
        <v>0.660377358490566</v>
      </c>
      <c r="AA17" s="122">
        <v>107.2</v>
      </c>
      <c r="AB17" s="122">
        <v>106.4</v>
      </c>
      <c r="AC17" s="122">
        <f t="shared" si="3"/>
        <v>0.79999999999999716</v>
      </c>
      <c r="AD17" s="122">
        <v>17</v>
      </c>
      <c r="AE17" s="122">
        <v>19.100000000000001</v>
      </c>
      <c r="AF17" s="65">
        <v>0.61499999999999999</v>
      </c>
      <c r="AG17" s="122">
        <v>18.399999999999999</v>
      </c>
      <c r="AH17" s="122">
        <v>1.7</v>
      </c>
      <c r="AI17" s="122">
        <v>1.3</v>
      </c>
      <c r="AJ17" s="65">
        <v>0.16200000000000001</v>
      </c>
      <c r="AK17" s="122">
        <v>0.2</v>
      </c>
      <c r="AL17" s="122">
        <v>2</v>
      </c>
      <c r="AM17" s="122">
        <v>1</v>
      </c>
      <c r="AN17" s="122">
        <v>12.2</v>
      </c>
    </row>
    <row r="18" spans="1:40" x14ac:dyDescent="0.2">
      <c r="A18" s="3">
        <v>3</v>
      </c>
      <c r="B18" s="3" t="s">
        <v>40</v>
      </c>
      <c r="C18" s="3" t="s">
        <v>255</v>
      </c>
      <c r="D18" s="108">
        <v>67</v>
      </c>
      <c r="E18" s="108"/>
      <c r="F18" s="109">
        <v>221</v>
      </c>
      <c r="G18" s="4">
        <v>33226</v>
      </c>
      <c r="H18" s="113">
        <f t="shared" ca="1" si="2"/>
        <v>29.8</v>
      </c>
      <c r="I18" s="3" t="s">
        <v>789</v>
      </c>
      <c r="J18" s="3">
        <v>4</v>
      </c>
      <c r="K18" s="112">
        <v>2014</v>
      </c>
      <c r="L18" s="112"/>
      <c r="M18" s="3" t="s">
        <v>790</v>
      </c>
      <c r="N18" s="3"/>
      <c r="O18" s="3"/>
      <c r="P18" s="50">
        <v>3800000</v>
      </c>
      <c r="Q18" s="3"/>
      <c r="R18" s="12"/>
      <c r="S18" s="12"/>
      <c r="T18" s="12"/>
      <c r="U18" s="12"/>
      <c r="V18" s="3"/>
      <c r="W18" s="138" t="s">
        <v>791</v>
      </c>
      <c r="X18" s="69">
        <v>3</v>
      </c>
      <c r="Y18" s="69">
        <v>50</v>
      </c>
      <c r="Z18" s="65">
        <f>35/50</f>
        <v>0.7</v>
      </c>
      <c r="AA18" s="122">
        <v>105.7</v>
      </c>
      <c r="AB18" s="122">
        <v>111.1</v>
      </c>
      <c r="AC18" s="122">
        <f t="shared" si="3"/>
        <v>-5.3999999999999915</v>
      </c>
      <c r="AD18" s="122">
        <v>17.399999999999999</v>
      </c>
      <c r="AE18" s="122">
        <v>10.4</v>
      </c>
      <c r="AF18" s="65">
        <v>0.55900000000000005</v>
      </c>
      <c r="AG18" s="122">
        <v>12.2</v>
      </c>
      <c r="AH18" s="122">
        <v>0.8</v>
      </c>
      <c r="AI18" s="122">
        <v>0.9</v>
      </c>
      <c r="AJ18" s="65">
        <v>9.5000000000000001E-2</v>
      </c>
      <c r="AK18" s="122">
        <v>-2.4</v>
      </c>
      <c r="AL18" s="122">
        <v>0.1</v>
      </c>
      <c r="AM18" s="122">
        <v>-0.1</v>
      </c>
      <c r="AN18" s="122">
        <v>5.6</v>
      </c>
    </row>
    <row r="19" spans="1:40" x14ac:dyDescent="0.2">
      <c r="A19" s="3">
        <v>32</v>
      </c>
      <c r="B19" s="3" t="s">
        <v>41</v>
      </c>
      <c r="C19" s="3" t="s">
        <v>236</v>
      </c>
      <c r="D19" s="108">
        <v>610</v>
      </c>
      <c r="E19" s="108">
        <v>74</v>
      </c>
      <c r="F19" s="109">
        <v>257</v>
      </c>
      <c r="G19" s="4">
        <v>34935</v>
      </c>
      <c r="H19" s="113">
        <f t="shared" ca="1" si="2"/>
        <v>25.1</v>
      </c>
      <c r="I19" s="3" t="s">
        <v>374</v>
      </c>
      <c r="J19" s="3">
        <v>7</v>
      </c>
      <c r="K19" s="112">
        <v>2014</v>
      </c>
      <c r="L19" s="112">
        <v>9</v>
      </c>
      <c r="M19" s="3" t="s">
        <v>792</v>
      </c>
      <c r="N19" s="3"/>
      <c r="O19" s="3"/>
      <c r="P19" s="14">
        <v>2400000</v>
      </c>
      <c r="Q19" s="12"/>
      <c r="R19" s="12"/>
      <c r="S19" s="12"/>
      <c r="T19" s="12"/>
      <c r="U19" s="12"/>
      <c r="V19" s="3"/>
      <c r="W19" s="139" t="s">
        <v>794</v>
      </c>
      <c r="X19" s="69">
        <v>5</v>
      </c>
      <c r="Y19" s="69">
        <v>29</v>
      </c>
      <c r="Z19" s="65">
        <f>10/29</f>
        <v>0.34482758620689657</v>
      </c>
      <c r="AA19" s="122">
        <v>97.4</v>
      </c>
      <c r="AB19" s="122">
        <v>102.1</v>
      </c>
      <c r="AC19" s="122">
        <f t="shared" si="3"/>
        <v>-4.6999999999999886</v>
      </c>
      <c r="AD19" s="122">
        <v>12</v>
      </c>
      <c r="AE19" s="122">
        <v>15.3</v>
      </c>
      <c r="AF19" s="65">
        <v>0.60499999999999998</v>
      </c>
      <c r="AG19" s="122">
        <v>13.9</v>
      </c>
      <c r="AH19" s="122">
        <v>0.5</v>
      </c>
      <c r="AI19" s="122">
        <v>0.3</v>
      </c>
      <c r="AJ19" s="65">
        <v>0.123</v>
      </c>
      <c r="AK19" s="122">
        <v>-1.4</v>
      </c>
      <c r="AL19" s="122">
        <v>0.4</v>
      </c>
      <c r="AM19" s="122">
        <v>0.1</v>
      </c>
      <c r="AN19" s="122">
        <v>12.7</v>
      </c>
    </row>
    <row r="20" spans="1:40" x14ac:dyDescent="0.2">
      <c r="A20" s="3">
        <v>30</v>
      </c>
      <c r="B20" s="3" t="s">
        <v>44</v>
      </c>
      <c r="C20" s="3" t="s">
        <v>255</v>
      </c>
      <c r="D20" s="108">
        <v>64</v>
      </c>
      <c r="E20" s="108">
        <v>67</v>
      </c>
      <c r="F20" s="109">
        <v>200</v>
      </c>
      <c r="G20" s="4">
        <v>33434</v>
      </c>
      <c r="H20" s="113">
        <f t="shared" ca="1" si="2"/>
        <v>29.2</v>
      </c>
      <c r="I20" s="3" t="s">
        <v>278</v>
      </c>
      <c r="J20" s="3">
        <v>8</v>
      </c>
      <c r="K20" s="112">
        <v>2013</v>
      </c>
      <c r="L20" s="112"/>
      <c r="M20" s="3" t="s">
        <v>805</v>
      </c>
      <c r="N20" s="3"/>
      <c r="O20" s="3"/>
      <c r="P20" s="14">
        <v>1620564</v>
      </c>
      <c r="Q20" s="3"/>
      <c r="R20" s="3"/>
      <c r="S20" s="12"/>
      <c r="T20" s="12"/>
      <c r="U20" s="12"/>
      <c r="V20" s="3"/>
      <c r="W20" s="138" t="s">
        <v>806</v>
      </c>
      <c r="X20" s="69">
        <v>3</v>
      </c>
      <c r="Y20" s="69">
        <v>41</v>
      </c>
      <c r="Z20" s="65">
        <f>31/41</f>
        <v>0.75609756097560976</v>
      </c>
      <c r="AA20" s="122">
        <v>102.7</v>
      </c>
      <c r="AB20" s="122">
        <v>102.7</v>
      </c>
      <c r="AC20" s="122">
        <f t="shared" si="3"/>
        <v>0</v>
      </c>
      <c r="AD20" s="122">
        <v>11.1</v>
      </c>
      <c r="AE20" s="122">
        <v>9</v>
      </c>
      <c r="AF20" s="65">
        <v>0.52700000000000002</v>
      </c>
      <c r="AG20" s="122">
        <v>16.100000000000001</v>
      </c>
      <c r="AH20" s="122">
        <v>0.3</v>
      </c>
      <c r="AI20" s="122">
        <v>0.4</v>
      </c>
      <c r="AJ20" s="65">
        <v>7.1999999999999995E-2</v>
      </c>
      <c r="AK20" s="122">
        <v>-1.1000000000000001</v>
      </c>
      <c r="AL20" s="122">
        <v>-1</v>
      </c>
      <c r="AM20" s="122">
        <v>0</v>
      </c>
      <c r="AN20" s="122">
        <v>5.8</v>
      </c>
    </row>
    <row r="21" spans="1:40" x14ac:dyDescent="0.2">
      <c r="A21" s="3">
        <v>25</v>
      </c>
      <c r="B21" s="3" t="s">
        <v>2065</v>
      </c>
      <c r="C21" s="3" t="s">
        <v>236</v>
      </c>
      <c r="D21" s="108">
        <v>68</v>
      </c>
      <c r="E21" s="108">
        <v>71</v>
      </c>
      <c r="F21" s="109">
        <v>255</v>
      </c>
      <c r="G21" s="4">
        <v>35696</v>
      </c>
      <c r="H21" s="113">
        <f t="shared" ca="1" si="2"/>
        <v>23</v>
      </c>
      <c r="I21" s="3" t="s">
        <v>2066</v>
      </c>
      <c r="J21" s="3">
        <v>2</v>
      </c>
      <c r="K21" s="112">
        <v>2019</v>
      </c>
      <c r="L21" s="112"/>
      <c r="M21" s="3" t="s">
        <v>2078</v>
      </c>
      <c r="N21" s="3"/>
      <c r="O21" s="3"/>
      <c r="P21" s="14">
        <v>1620564</v>
      </c>
      <c r="Q21" s="55"/>
      <c r="R21" s="12"/>
      <c r="S21" s="12"/>
      <c r="T21" s="12"/>
      <c r="U21" s="12"/>
      <c r="V21" s="3"/>
      <c r="W21" s="138"/>
      <c r="X21" s="69"/>
      <c r="Y21" s="69"/>
      <c r="Z21" s="65"/>
      <c r="AA21" s="122"/>
      <c r="AB21" s="122"/>
      <c r="AC21" s="122"/>
      <c r="AD21" s="122"/>
      <c r="AE21" s="122"/>
      <c r="AF21" s="65"/>
      <c r="AG21" s="122"/>
      <c r="AH21" s="122"/>
      <c r="AI21" s="122"/>
      <c r="AJ21" s="65"/>
      <c r="AK21" s="122"/>
      <c r="AL21" s="122"/>
      <c r="AM21" s="122"/>
      <c r="AN21" s="122"/>
    </row>
    <row r="22" spans="1:40" x14ac:dyDescent="0.2">
      <c r="H22" s="113"/>
      <c r="K22" s="136"/>
      <c r="L22" s="112"/>
      <c r="M22" s="16"/>
      <c r="N22" s="16"/>
      <c r="O22" s="16"/>
      <c r="P22" s="11"/>
      <c r="Q22" s="11"/>
      <c r="R22" s="16"/>
      <c r="S22" s="16"/>
      <c r="T22" s="16"/>
      <c r="W22" s="138"/>
      <c r="X22" s="137"/>
      <c r="Y22" s="137"/>
      <c r="Z22" s="127"/>
      <c r="AG22" s="126"/>
      <c r="AH22" s="126"/>
      <c r="AI22" s="126"/>
      <c r="AJ22" s="127"/>
      <c r="AK22" s="126"/>
      <c r="AL22" s="126"/>
      <c r="AM22" s="126"/>
      <c r="AN22" s="126"/>
    </row>
    <row r="23" spans="1:40" x14ac:dyDescent="0.2">
      <c r="E23" s="62"/>
      <c r="F23" s="66"/>
      <c r="G23" s="62">
        <f ca="1">TODAY()</f>
        <v>44128</v>
      </c>
      <c r="H23" s="63">
        <f ca="1">AVERAGE(H2:H12)</f>
        <v>24.754545454545454</v>
      </c>
      <c r="J23" s="63">
        <f>AVERAGE(J2:J12)</f>
        <v>4.7272727272727275</v>
      </c>
      <c r="K23" s="78"/>
      <c r="L23" s="195"/>
      <c r="M23" s="78"/>
      <c r="N23" s="75"/>
      <c r="O23" s="75"/>
      <c r="P23" s="73"/>
      <c r="R23" s="7"/>
      <c r="W23" s="138"/>
      <c r="AG23" s="126"/>
      <c r="AH23" s="126"/>
      <c r="AI23" s="126"/>
      <c r="AJ23" s="127"/>
      <c r="AK23" s="126"/>
      <c r="AL23" s="126"/>
      <c r="AM23" s="126"/>
      <c r="AN23" s="126"/>
    </row>
    <row r="24" spans="1:40" x14ac:dyDescent="0.2">
      <c r="E24" s="62"/>
      <c r="F24" s="66"/>
      <c r="G24" s="62"/>
      <c r="H24" s="63">
        <f ca="1">MEDIAN(H2:H11)</f>
        <v>25</v>
      </c>
      <c r="J24" s="63">
        <f>MEDIAN(J2:J11)</f>
        <v>4.5</v>
      </c>
      <c r="K24" s="78"/>
      <c r="L24" s="195"/>
      <c r="M24" s="78"/>
      <c r="N24" s="75"/>
      <c r="O24" s="75"/>
      <c r="P24" s="73"/>
      <c r="R24" s="7"/>
      <c r="W24" s="138"/>
      <c r="AG24" s="126"/>
      <c r="AH24" s="126"/>
      <c r="AI24" s="126"/>
      <c r="AJ24" s="127"/>
      <c r="AK24" s="126"/>
      <c r="AL24" s="126"/>
      <c r="AM24" s="126"/>
      <c r="AN24" s="126"/>
    </row>
    <row r="25" spans="1:40" x14ac:dyDescent="0.2">
      <c r="A25" s="196"/>
      <c r="B25" s="5" t="s">
        <v>2224</v>
      </c>
      <c r="C25" s="60"/>
      <c r="H25" s="63"/>
      <c r="J25" s="36"/>
      <c r="K25" s="121"/>
      <c r="L25" s="121"/>
      <c r="M25" s="75"/>
      <c r="N25" s="75"/>
      <c r="O25" s="75"/>
      <c r="P25" s="64">
        <f>P2+P3+P4+P5+P7+P11+P14+1200000</f>
        <v>98709559</v>
      </c>
      <c r="Q25" s="7"/>
      <c r="W25" s="138"/>
      <c r="AK25" s="126"/>
      <c r="AL25" s="126"/>
      <c r="AM25" s="126"/>
      <c r="AN25" s="126"/>
    </row>
    <row r="26" spans="1:40" x14ac:dyDescent="0.2">
      <c r="B26" s="3" t="s">
        <v>2085</v>
      </c>
      <c r="C26" s="60">
        <v>7</v>
      </c>
      <c r="J26" s="3"/>
      <c r="K26" s="78"/>
      <c r="L26" s="121"/>
      <c r="M26" s="75"/>
      <c r="N26" s="75"/>
      <c r="O26" s="75"/>
      <c r="P26" s="160">
        <f>P2+P3+P4+P5+P6+P7+P11+P14+1200000</f>
        <v>108055712</v>
      </c>
      <c r="R26" s="7"/>
      <c r="W26" s="138"/>
    </row>
    <row r="27" spans="1:40" x14ac:dyDescent="0.2">
      <c r="B27" s="3" t="s">
        <v>2088</v>
      </c>
      <c r="C27" s="60">
        <v>4</v>
      </c>
      <c r="J27" s="4"/>
      <c r="K27" s="3"/>
      <c r="L27" s="121"/>
      <c r="M27" s="75"/>
      <c r="N27" s="75"/>
      <c r="O27" s="76"/>
      <c r="P27" s="64">
        <f>P2+P3+P4+P5+P6+P7+P8+P9+P10+P11+P14</f>
        <v>112006076</v>
      </c>
      <c r="W27" s="138"/>
    </row>
    <row r="28" spans="1:40" x14ac:dyDescent="0.2">
      <c r="B28" s="3" t="s">
        <v>2086</v>
      </c>
      <c r="C28" s="60">
        <v>1</v>
      </c>
      <c r="J28" s="4"/>
      <c r="K28" s="3"/>
      <c r="L28" s="121"/>
      <c r="M28" s="75"/>
      <c r="N28" s="75"/>
      <c r="O28" s="75"/>
      <c r="P28" s="124">
        <f>P2+P3+P4+P5+P7+P8+P9+P10+P11+P14</f>
        <v>102659923</v>
      </c>
      <c r="W28" s="138"/>
    </row>
    <row r="29" spans="1:40" x14ac:dyDescent="0.2">
      <c r="B29" s="3" t="s">
        <v>2219</v>
      </c>
      <c r="C29" s="64" t="s">
        <v>2386</v>
      </c>
      <c r="D29" s="62"/>
      <c r="E29" s="60"/>
      <c r="F29" s="60"/>
      <c r="G29" s="60"/>
      <c r="J29" s="3"/>
      <c r="K29" s="120"/>
      <c r="L29" s="75"/>
      <c r="M29" s="75"/>
      <c r="N29" s="75"/>
      <c r="O29" s="3"/>
      <c r="Q29" s="7"/>
    </row>
    <row r="30" spans="1:40" x14ac:dyDescent="0.2">
      <c r="B30" s="24" t="s">
        <v>301</v>
      </c>
      <c r="C30" s="64">
        <v>0</v>
      </c>
      <c r="D30" s="60"/>
      <c r="E30" s="60"/>
      <c r="F30" s="60"/>
      <c r="G30" s="60"/>
      <c r="J30" s="3"/>
      <c r="K30" s="75"/>
      <c r="L30" s="75"/>
      <c r="M30" s="75"/>
      <c r="N30" s="75"/>
      <c r="O30" s="22" t="s">
        <v>300</v>
      </c>
      <c r="P30" s="11">
        <v>109140000</v>
      </c>
    </row>
    <row r="31" spans="1:40" x14ac:dyDescent="0.2">
      <c r="B31" s="3" t="s">
        <v>303</v>
      </c>
      <c r="C31" s="64">
        <v>0</v>
      </c>
      <c r="J31" s="3"/>
      <c r="M31" s="75"/>
      <c r="N31" s="75"/>
      <c r="O31" s="22" t="s">
        <v>302</v>
      </c>
      <c r="P31" s="11">
        <v>132627000</v>
      </c>
    </row>
    <row r="32" spans="1:40" x14ac:dyDescent="0.2">
      <c r="J32" s="22"/>
      <c r="M32" s="75"/>
      <c r="N32" s="75"/>
      <c r="O32" s="75"/>
    </row>
    <row r="33" spans="2:15" x14ac:dyDescent="0.2">
      <c r="B33" s="152" t="s">
        <v>2084</v>
      </c>
      <c r="J33" s="22"/>
      <c r="M33" s="75"/>
      <c r="N33" s="75"/>
      <c r="O33" s="75"/>
    </row>
    <row r="34" spans="2:15" x14ac:dyDescent="0.2">
      <c r="B34" s="3" t="s">
        <v>304</v>
      </c>
      <c r="C34" s="41">
        <f>46/(46+27)</f>
        <v>0.63013698630136983</v>
      </c>
      <c r="D34" s="3" t="s">
        <v>767</v>
      </c>
      <c r="E34" s="3"/>
      <c r="J34" s="3"/>
      <c r="M34" s="75"/>
      <c r="N34" s="75"/>
      <c r="O34" s="76"/>
    </row>
    <row r="35" spans="2:15" x14ac:dyDescent="0.2">
      <c r="B35" s="3" t="s">
        <v>306</v>
      </c>
      <c r="C35" s="113">
        <v>112.6</v>
      </c>
      <c r="D35" s="3" t="s">
        <v>2192</v>
      </c>
      <c r="E35" s="3"/>
      <c r="M35" s="75"/>
      <c r="N35" s="16"/>
      <c r="O35" s="75"/>
    </row>
    <row r="36" spans="2:15" x14ac:dyDescent="0.2">
      <c r="B36" s="3" t="s">
        <v>307</v>
      </c>
      <c r="C36" s="113">
        <v>110.4</v>
      </c>
      <c r="D36" s="3" t="s">
        <v>2193</v>
      </c>
      <c r="E36" s="3"/>
      <c r="M36" s="75"/>
      <c r="N36" s="16"/>
      <c r="O36" s="75"/>
    </row>
    <row r="37" spans="2:15" x14ac:dyDescent="0.2">
      <c r="B37" s="3" t="s">
        <v>308</v>
      </c>
      <c r="C37" s="113">
        <f>C35-C36</f>
        <v>2.1999999999999886</v>
      </c>
      <c r="D37" s="3" t="s">
        <v>1880</v>
      </c>
      <c r="E37" s="3"/>
      <c r="M37" s="75"/>
      <c r="N37" s="16"/>
      <c r="O37" s="75"/>
    </row>
    <row r="38" spans="2:15" x14ac:dyDescent="0.2">
      <c r="B38" s="23" t="s">
        <v>309</v>
      </c>
      <c r="C38" s="63">
        <v>97.64</v>
      </c>
      <c r="D38" s="3" t="s">
        <v>2194</v>
      </c>
      <c r="J38" s="132"/>
    </row>
    <row r="39" spans="2:15" x14ac:dyDescent="0.2">
      <c r="B39" s="3"/>
      <c r="C39" s="3"/>
      <c r="D39" s="3"/>
      <c r="E39" s="3"/>
      <c r="M39" s="75"/>
      <c r="N39" s="75"/>
      <c r="O39" s="75"/>
    </row>
    <row r="40" spans="2:15" x14ac:dyDescent="0.2">
      <c r="B40" s="2" t="s">
        <v>310</v>
      </c>
      <c r="C40" s="3"/>
      <c r="D40" s="3"/>
      <c r="E40" s="3"/>
      <c r="M40" s="75"/>
      <c r="N40" s="75"/>
      <c r="O40" s="75"/>
    </row>
    <row r="41" spans="2:15" x14ac:dyDescent="0.2">
      <c r="B41" s="2" t="s">
        <v>1170</v>
      </c>
      <c r="C41" s="3"/>
      <c r="D41" s="3"/>
      <c r="E41" s="3"/>
      <c r="M41" s="75"/>
      <c r="N41" s="75"/>
      <c r="O41" s="75"/>
    </row>
    <row r="42" spans="2:15" x14ac:dyDescent="0.2">
      <c r="B42" s="10"/>
      <c r="C42" s="3"/>
      <c r="D42" s="3"/>
      <c r="E42" s="3"/>
      <c r="M42" s="75"/>
      <c r="N42" s="75"/>
      <c r="O42" s="75"/>
    </row>
    <row r="43" spans="2:15" x14ac:dyDescent="0.2">
      <c r="B43" s="2" t="s">
        <v>318</v>
      </c>
      <c r="C43" s="3"/>
      <c r="D43" s="3"/>
      <c r="E43" s="3"/>
    </row>
    <row r="44" spans="2:15" x14ac:dyDescent="0.2">
      <c r="B44" s="2" t="s">
        <v>2249</v>
      </c>
      <c r="C44" s="3"/>
      <c r="D44" s="3"/>
      <c r="E44" s="3"/>
    </row>
    <row r="45" spans="2:15" x14ac:dyDescent="0.2">
      <c r="B45" s="2" t="s">
        <v>2248</v>
      </c>
      <c r="C45" s="3"/>
      <c r="D45" s="3"/>
      <c r="E45" s="3"/>
    </row>
    <row r="46" spans="2:15" x14ac:dyDescent="0.2">
      <c r="B46" s="2"/>
      <c r="C46" s="3"/>
      <c r="D46" s="3"/>
      <c r="E46" s="3"/>
    </row>
    <row r="47" spans="2:15" x14ac:dyDescent="0.2">
      <c r="B47" s="5" t="s">
        <v>2228</v>
      </c>
      <c r="C47" s="3"/>
      <c r="D47" s="3"/>
      <c r="E47" s="3"/>
    </row>
    <row r="48" spans="2:15" x14ac:dyDescent="0.2">
      <c r="B48" s="39" t="s">
        <v>322</v>
      </c>
      <c r="C48" s="3">
        <v>46</v>
      </c>
      <c r="D48" s="3">
        <v>27</v>
      </c>
      <c r="E48" s="3" t="s">
        <v>767</v>
      </c>
      <c r="G48" t="s">
        <v>815</v>
      </c>
      <c r="J48" t="s">
        <v>2393</v>
      </c>
    </row>
    <row r="49" spans="2:10" x14ac:dyDescent="0.2">
      <c r="B49" s="39" t="s">
        <v>325</v>
      </c>
      <c r="C49" s="3">
        <v>54</v>
      </c>
      <c r="D49" s="3">
        <v>28</v>
      </c>
      <c r="E49" s="3" t="s">
        <v>817</v>
      </c>
      <c r="G49" t="s">
        <v>815</v>
      </c>
      <c r="J49" t="s">
        <v>818</v>
      </c>
    </row>
    <row r="50" spans="2:10" x14ac:dyDescent="0.2">
      <c r="B50" s="39" t="s">
        <v>327</v>
      </c>
      <c r="C50" s="3">
        <v>46</v>
      </c>
      <c r="D50" s="3">
        <v>36</v>
      </c>
      <c r="E50" s="3" t="s">
        <v>819</v>
      </c>
      <c r="G50" t="s">
        <v>815</v>
      </c>
      <c r="J50" s="144" t="s">
        <v>324</v>
      </c>
    </row>
    <row r="51" spans="2:10" x14ac:dyDescent="0.2">
      <c r="B51" s="39" t="s">
        <v>330</v>
      </c>
      <c r="C51" s="3">
        <v>40</v>
      </c>
      <c r="D51" s="3">
        <v>42</v>
      </c>
      <c r="E51" s="3" t="s">
        <v>819</v>
      </c>
      <c r="G51" t="s">
        <v>815</v>
      </c>
      <c r="J51" s="144" t="s">
        <v>324</v>
      </c>
    </row>
    <row r="52" spans="2:10" x14ac:dyDescent="0.2">
      <c r="B52" s="39" t="s">
        <v>333</v>
      </c>
      <c r="C52" s="3">
        <v>33</v>
      </c>
      <c r="D52" s="3">
        <v>49</v>
      </c>
      <c r="E52" s="3" t="s">
        <v>765</v>
      </c>
      <c r="G52" t="s">
        <v>815</v>
      </c>
      <c r="J52" s="144" t="s">
        <v>324</v>
      </c>
    </row>
    <row r="53" spans="2:10" x14ac:dyDescent="0.2">
      <c r="B53" s="39" t="s">
        <v>336</v>
      </c>
      <c r="C53" s="3">
        <v>30</v>
      </c>
      <c r="D53" s="3">
        <v>52</v>
      </c>
      <c r="E53" s="3" t="s">
        <v>820</v>
      </c>
      <c r="G53" t="s">
        <v>821</v>
      </c>
      <c r="J53" s="144" t="s">
        <v>324</v>
      </c>
    </row>
    <row r="54" spans="2:10" x14ac:dyDescent="0.2">
      <c r="B54" s="39" t="s">
        <v>339</v>
      </c>
      <c r="C54" s="3">
        <v>36</v>
      </c>
      <c r="D54" s="3">
        <v>46</v>
      </c>
      <c r="E54" s="3" t="s">
        <v>759</v>
      </c>
      <c r="G54" t="s">
        <v>822</v>
      </c>
      <c r="J54" s="144" t="s">
        <v>324</v>
      </c>
    </row>
    <row r="55" spans="2:10" x14ac:dyDescent="0.2">
      <c r="B55" s="39" t="s">
        <v>342</v>
      </c>
      <c r="C55" s="3">
        <v>57</v>
      </c>
      <c r="D55" s="3">
        <v>25</v>
      </c>
      <c r="E55" s="3" t="s">
        <v>767</v>
      </c>
      <c r="G55" t="s">
        <v>823</v>
      </c>
      <c r="J55" t="s">
        <v>824</v>
      </c>
    </row>
    <row r="56" spans="2:10" x14ac:dyDescent="0.2">
      <c r="B56" s="39" t="s">
        <v>346</v>
      </c>
      <c r="C56" s="3">
        <v>38</v>
      </c>
      <c r="D56" s="3">
        <v>26</v>
      </c>
      <c r="E56" s="3" t="s">
        <v>760</v>
      </c>
      <c r="G56" t="s">
        <v>823</v>
      </c>
      <c r="J56" t="s">
        <v>825</v>
      </c>
    </row>
    <row r="57" spans="2:10" x14ac:dyDescent="0.2">
      <c r="B57" s="39" t="s">
        <v>348</v>
      </c>
      <c r="C57" s="3">
        <v>50</v>
      </c>
      <c r="D57" s="3">
        <v>32</v>
      </c>
      <c r="E57" s="3" t="s">
        <v>826</v>
      </c>
      <c r="G57" t="s">
        <v>823</v>
      </c>
      <c r="J57" t="s">
        <v>761</v>
      </c>
    </row>
    <row r="58" spans="2:10" x14ac:dyDescent="0.2">
      <c r="B58" s="3" t="s">
        <v>350</v>
      </c>
      <c r="C58" s="3">
        <f>SUM(C48:C57)</f>
        <v>430</v>
      </c>
      <c r="D58" s="3">
        <f>SUM(D48:D57)</f>
        <v>363</v>
      </c>
      <c r="E58" s="74">
        <f>C58/(C58+D58)</f>
        <v>0.54224464060529631</v>
      </c>
    </row>
    <row r="59" spans="2:10" x14ac:dyDescent="0.2">
      <c r="B59" s="3"/>
      <c r="C59" s="3"/>
      <c r="D59" s="3"/>
      <c r="E59" s="41"/>
    </row>
  </sheetData>
  <pageMargins left="0.7" right="0.7" top="0.75" bottom="0.75" header="0.3" footer="0.3"/>
  <ignoredErrors>
    <ignoredError sqref="J24" formulaRange="1"/>
  </ignoredErrors>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BC3E9-9217-EB49-9FCA-A1DF4630EA42}">
  <dimension ref="A1:AR61"/>
  <sheetViews>
    <sheetView zoomScaleNormal="100" workbookViewId="0">
      <selection sqref="A1:AR1"/>
    </sheetView>
  </sheetViews>
  <sheetFormatPr baseColWidth="10" defaultColWidth="10.83203125" defaultRowHeight="16" x14ac:dyDescent="0.2"/>
  <cols>
    <col min="1" max="1" width="3.1640625" style="60" bestFit="1" customWidth="1"/>
    <col min="2" max="2" width="18.5" style="60" customWidth="1"/>
    <col min="3" max="3" width="11.83203125" style="60" customWidth="1"/>
    <col min="4" max="4" width="7.83203125" style="60" customWidth="1"/>
    <col min="5" max="5" width="11.33203125" style="60" customWidth="1"/>
    <col min="6" max="6" width="8" style="60" customWidth="1"/>
    <col min="7" max="7" width="10.6640625" style="60" customWidth="1"/>
    <col min="8" max="8" width="7.33203125" style="60" customWidth="1"/>
    <col min="9" max="9" width="24.6640625" style="60" customWidth="1"/>
    <col min="10" max="10" width="10.83203125" style="60" customWidth="1"/>
    <col min="11" max="11" width="12.6640625" style="60" customWidth="1"/>
    <col min="12" max="12" width="5.1640625" style="60" customWidth="1"/>
    <col min="13" max="13" width="27" style="60" customWidth="1"/>
    <col min="14" max="14" width="15.6640625" style="60" customWidth="1"/>
    <col min="15" max="15" width="37.5" style="60" customWidth="1"/>
    <col min="16" max="16" width="13.83203125" style="60" customWidth="1"/>
    <col min="17" max="17" width="12.83203125" style="60" customWidth="1"/>
    <col min="18" max="18" width="13.83203125" style="60" customWidth="1"/>
    <col min="19" max="20" width="12.33203125" style="60" customWidth="1"/>
    <col min="21" max="21" width="10" style="60" customWidth="1"/>
    <col min="22" max="22" width="156.83203125" style="60" customWidth="1"/>
    <col min="23" max="23" width="21.33203125" style="60" customWidth="1"/>
    <col min="24" max="24" width="9.5" style="60" customWidth="1"/>
    <col min="25" max="25" width="3.1640625" style="60" customWidth="1"/>
    <col min="26" max="26" width="7.83203125" style="60" customWidth="1"/>
    <col min="27" max="28" width="5.83203125" style="60" customWidth="1"/>
    <col min="29" max="29" width="7.33203125" style="60" customWidth="1"/>
    <col min="30" max="30" width="5.1640625" style="60" customWidth="1"/>
    <col min="31" max="31" width="4.83203125" style="60" customWidth="1"/>
    <col min="32" max="32" width="6.1640625" style="60" customWidth="1"/>
    <col min="33" max="33" width="7.83203125" style="60" customWidth="1"/>
    <col min="34" max="34" width="5" style="60" customWidth="1"/>
    <col min="35" max="35" width="4.83203125" style="60" customWidth="1"/>
    <col min="36" max="36" width="6.5" style="60" customWidth="1"/>
    <col min="37" max="37" width="5.83203125" style="60" customWidth="1"/>
    <col min="38" max="38" width="6.1640625" style="60" customWidth="1"/>
    <col min="39" max="39" width="5.83203125" style="60" customWidth="1"/>
    <col min="40" max="40" width="4.33203125" style="60" customWidth="1"/>
    <col min="41" max="16384" width="10.83203125" style="60"/>
  </cols>
  <sheetData>
    <row r="1" spans="1:44" x14ac:dyDescent="0.2">
      <c r="A1" s="223" t="s">
        <v>2394</v>
      </c>
      <c r="B1" s="223" t="s">
        <v>2395</v>
      </c>
      <c r="C1" s="223" t="s">
        <v>2396</v>
      </c>
      <c r="D1" s="223" t="s">
        <v>2397</v>
      </c>
      <c r="E1" s="223" t="s">
        <v>2398</v>
      </c>
      <c r="F1" s="223" t="s">
        <v>2399</v>
      </c>
      <c r="G1" s="223" t="s">
        <v>2400</v>
      </c>
      <c r="H1" s="223" t="s">
        <v>2401</v>
      </c>
      <c r="I1" s="223" t="s">
        <v>2402</v>
      </c>
      <c r="J1" s="223" t="s">
        <v>2403</v>
      </c>
      <c r="K1" s="223" t="s">
        <v>2404</v>
      </c>
      <c r="L1" s="223" t="s">
        <v>2405</v>
      </c>
      <c r="M1" s="223" t="s">
        <v>2406</v>
      </c>
      <c r="N1" s="223" t="s">
        <v>2407</v>
      </c>
      <c r="O1" s="223" t="s">
        <v>2408</v>
      </c>
      <c r="P1" s="223" t="s">
        <v>2409</v>
      </c>
      <c r="Q1" s="223" t="s">
        <v>2410</v>
      </c>
      <c r="R1" s="223" t="s">
        <v>2411</v>
      </c>
      <c r="S1" s="223" t="s">
        <v>2412</v>
      </c>
      <c r="T1" s="223" t="s">
        <v>2413</v>
      </c>
      <c r="U1" s="223" t="s">
        <v>2414</v>
      </c>
      <c r="V1" s="223" t="s">
        <v>2415</v>
      </c>
      <c r="W1" s="223" t="s">
        <v>2416</v>
      </c>
      <c r="X1" s="223" t="s">
        <v>2433</v>
      </c>
      <c r="Y1" s="223" t="s">
        <v>2417</v>
      </c>
      <c r="Z1" s="223" t="s">
        <v>2418</v>
      </c>
      <c r="AA1" s="223" t="s">
        <v>2419</v>
      </c>
      <c r="AB1" s="223" t="s">
        <v>2420</v>
      </c>
      <c r="AC1" s="223" t="s">
        <v>2421</v>
      </c>
      <c r="AD1" s="223" t="s">
        <v>2422</v>
      </c>
      <c r="AE1" s="223" t="s">
        <v>2423</v>
      </c>
      <c r="AF1" s="223" t="s">
        <v>2424</v>
      </c>
      <c r="AG1" s="223" t="s">
        <v>2425</v>
      </c>
      <c r="AH1" s="223" t="s">
        <v>2426</v>
      </c>
      <c r="AI1" s="223" t="s">
        <v>2427</v>
      </c>
      <c r="AJ1" s="223" t="s">
        <v>2428</v>
      </c>
      <c r="AK1" s="223" t="s">
        <v>2429</v>
      </c>
      <c r="AL1" s="223" t="s">
        <v>2430</v>
      </c>
      <c r="AM1" s="223" t="s">
        <v>2431</v>
      </c>
      <c r="AN1" s="223" t="s">
        <v>2432</v>
      </c>
      <c r="AO1" s="224"/>
      <c r="AP1" s="225"/>
      <c r="AQ1" s="6"/>
      <c r="AR1" s="6"/>
    </row>
    <row r="2" spans="1:44" x14ac:dyDescent="0.2">
      <c r="A2" s="3">
        <v>23</v>
      </c>
      <c r="B2" s="3" t="s">
        <v>827</v>
      </c>
      <c r="C2" s="3" t="s">
        <v>236</v>
      </c>
      <c r="D2" s="108">
        <v>69</v>
      </c>
      <c r="E2" s="108">
        <v>611</v>
      </c>
      <c r="F2" s="109">
        <v>250</v>
      </c>
      <c r="G2" s="4">
        <v>32583</v>
      </c>
      <c r="H2" s="113">
        <f t="shared" ref="H2:H10" ca="1" si="0">ROUNDDOWN(YEARFRAC($G$23,G2),1)</f>
        <v>31.6</v>
      </c>
      <c r="I2" s="3" t="s">
        <v>251</v>
      </c>
      <c r="J2" s="3">
        <v>12</v>
      </c>
      <c r="K2" s="112">
        <v>2009</v>
      </c>
      <c r="L2" s="112">
        <v>1</v>
      </c>
      <c r="M2" s="3" t="s">
        <v>828</v>
      </c>
      <c r="N2" s="3" t="s">
        <v>829</v>
      </c>
      <c r="O2" s="3" t="s">
        <v>2257</v>
      </c>
      <c r="P2" s="11">
        <v>36810996</v>
      </c>
      <c r="Q2" s="48">
        <v>38957028</v>
      </c>
      <c r="R2" s="14">
        <v>45937500</v>
      </c>
      <c r="S2" s="12"/>
      <c r="T2" s="28"/>
      <c r="V2" s="60" t="s">
        <v>830</v>
      </c>
      <c r="W2" s="60" t="s">
        <v>831</v>
      </c>
      <c r="X2" s="69">
        <v>4</v>
      </c>
      <c r="Y2" s="69">
        <v>18</v>
      </c>
      <c r="Z2" s="65">
        <f>8/18</f>
        <v>0.44444444444444442</v>
      </c>
      <c r="AA2" s="122">
        <v>109.3</v>
      </c>
      <c r="AB2" s="122">
        <v>111.9</v>
      </c>
      <c r="AC2" s="122">
        <f t="shared" ref="AC2:AC6" si="1">AA2-AB2</f>
        <v>-2.6000000000000085</v>
      </c>
      <c r="AD2" s="122">
        <v>28.5</v>
      </c>
      <c r="AE2" s="122">
        <v>11.9</v>
      </c>
      <c r="AF2" s="65">
        <v>0.47599999999999998</v>
      </c>
      <c r="AG2" s="122">
        <v>28.4</v>
      </c>
      <c r="AH2" s="122">
        <v>-0.4</v>
      </c>
      <c r="AI2" s="122">
        <v>0.2</v>
      </c>
      <c r="AJ2" s="65">
        <v>-1.2E-2</v>
      </c>
      <c r="AK2" s="122">
        <v>1.7</v>
      </c>
      <c r="AL2" s="122">
        <v>-2.6</v>
      </c>
      <c r="AM2" s="122">
        <v>-0.3</v>
      </c>
      <c r="AN2" s="122">
        <v>8.4</v>
      </c>
    </row>
    <row r="3" spans="1:44" x14ac:dyDescent="0.2">
      <c r="A3" s="3">
        <v>17</v>
      </c>
      <c r="B3" s="3" t="s">
        <v>46</v>
      </c>
      <c r="C3" s="3" t="s">
        <v>255</v>
      </c>
      <c r="D3" s="108">
        <v>66</v>
      </c>
      <c r="E3" s="108">
        <v>70</v>
      </c>
      <c r="F3" s="109">
        <v>213</v>
      </c>
      <c r="G3" s="4">
        <v>33552</v>
      </c>
      <c r="H3" s="113">
        <f t="shared" ca="1" si="0"/>
        <v>28.9</v>
      </c>
      <c r="I3" s="3" t="s">
        <v>835</v>
      </c>
      <c r="J3" s="3">
        <v>8</v>
      </c>
      <c r="K3" s="112">
        <v>2013</v>
      </c>
      <c r="L3" s="112">
        <v>20</v>
      </c>
      <c r="M3" s="3" t="s">
        <v>836</v>
      </c>
      <c r="N3" s="3" t="s">
        <v>837</v>
      </c>
      <c r="O3" s="163" t="s">
        <v>838</v>
      </c>
      <c r="P3" s="48">
        <v>12178571</v>
      </c>
      <c r="Q3" s="14">
        <f>P3*1.5</f>
        <v>18267856.5</v>
      </c>
      <c r="R3" s="3"/>
      <c r="S3" s="3"/>
      <c r="T3" s="25"/>
      <c r="V3" s="60" t="s">
        <v>2057</v>
      </c>
      <c r="W3" s="60" t="s">
        <v>839</v>
      </c>
      <c r="X3" s="69">
        <v>3</v>
      </c>
      <c r="Y3" s="69">
        <v>59</v>
      </c>
      <c r="Z3" s="65">
        <f>18/59</f>
        <v>0.30508474576271188</v>
      </c>
      <c r="AA3" s="122">
        <v>105.9</v>
      </c>
      <c r="AB3" s="122">
        <v>111.4</v>
      </c>
      <c r="AC3" s="122">
        <f t="shared" si="1"/>
        <v>-5.5</v>
      </c>
      <c r="AD3" s="122">
        <v>27.8</v>
      </c>
      <c r="AE3" s="122">
        <v>9.6999999999999993</v>
      </c>
      <c r="AF3" s="65">
        <v>0.59799999999999998</v>
      </c>
      <c r="AG3" s="122">
        <v>11.4</v>
      </c>
      <c r="AH3" s="122">
        <v>2.1</v>
      </c>
      <c r="AI3" s="122">
        <v>0.5</v>
      </c>
      <c r="AJ3" s="65">
        <v>7.5999999999999998E-2</v>
      </c>
      <c r="AK3" s="122">
        <v>-1.1000000000000001</v>
      </c>
      <c r="AL3" s="122">
        <v>-0.6</v>
      </c>
      <c r="AM3" s="122">
        <v>0.1</v>
      </c>
      <c r="AN3" s="122">
        <v>6.2</v>
      </c>
    </row>
    <row r="4" spans="1:44" x14ac:dyDescent="0.2">
      <c r="A4" s="3">
        <v>25</v>
      </c>
      <c r="B4" s="3" t="s">
        <v>843</v>
      </c>
      <c r="C4" s="3" t="s">
        <v>250</v>
      </c>
      <c r="D4" s="108">
        <v>62</v>
      </c>
      <c r="E4" s="108">
        <v>68</v>
      </c>
      <c r="F4" s="109">
        <v>200</v>
      </c>
      <c r="G4" s="4">
        <v>32420</v>
      </c>
      <c r="H4" s="113">
        <f t="shared" ca="1" si="0"/>
        <v>32</v>
      </c>
      <c r="I4" s="3" t="s">
        <v>225</v>
      </c>
      <c r="J4" s="3">
        <v>13</v>
      </c>
      <c r="K4" s="112">
        <v>2008</v>
      </c>
      <c r="L4" s="112">
        <v>1</v>
      </c>
      <c r="M4" s="3" t="s">
        <v>427</v>
      </c>
      <c r="N4" s="3" t="s">
        <v>521</v>
      </c>
      <c r="O4" s="3" t="s">
        <v>2258</v>
      </c>
      <c r="P4" s="11">
        <v>7682926</v>
      </c>
      <c r="Q4" s="14">
        <f>P4*1.3</f>
        <v>9987803.8000000007</v>
      </c>
      <c r="R4" s="3"/>
      <c r="S4" s="3"/>
      <c r="T4" s="198"/>
      <c r="W4" s="60" t="s">
        <v>845</v>
      </c>
      <c r="X4" s="69">
        <v>1</v>
      </c>
      <c r="Y4" s="69">
        <v>50</v>
      </c>
      <c r="Z4" s="65">
        <f>17/50</f>
        <v>0.34</v>
      </c>
      <c r="AA4" s="122">
        <v>108.8</v>
      </c>
      <c r="AB4" s="122">
        <v>112.2</v>
      </c>
      <c r="AC4" s="122">
        <f t="shared" si="1"/>
        <v>-3.4000000000000057</v>
      </c>
      <c r="AD4" s="122">
        <v>26</v>
      </c>
      <c r="AE4" s="122">
        <v>21.1</v>
      </c>
      <c r="AF4" s="65">
        <v>0.55500000000000005</v>
      </c>
      <c r="AG4" s="122">
        <v>31.6</v>
      </c>
      <c r="AH4" s="122">
        <v>1.9</v>
      </c>
      <c r="AI4" s="122">
        <v>0.6</v>
      </c>
      <c r="AJ4" s="65">
        <v>9.2999999999999999E-2</v>
      </c>
      <c r="AK4" s="122">
        <v>4</v>
      </c>
      <c r="AL4" s="122">
        <v>-1.7</v>
      </c>
      <c r="AM4" s="122">
        <v>1.4</v>
      </c>
      <c r="AN4" s="122">
        <v>14</v>
      </c>
    </row>
    <row r="5" spans="1:44" x14ac:dyDescent="0.2">
      <c r="A5" s="3">
        <v>5</v>
      </c>
      <c r="B5" s="3" t="s">
        <v>846</v>
      </c>
      <c r="C5" s="3" t="s">
        <v>255</v>
      </c>
      <c r="D5" s="108">
        <v>65</v>
      </c>
      <c r="E5" s="108">
        <v>65</v>
      </c>
      <c r="F5" s="109">
        <v>206</v>
      </c>
      <c r="G5" s="4">
        <v>35240</v>
      </c>
      <c r="H5" s="113">
        <f t="shared" ca="1" si="0"/>
        <v>24.3</v>
      </c>
      <c r="I5" s="3" t="s">
        <v>256</v>
      </c>
      <c r="J5" s="3">
        <v>4</v>
      </c>
      <c r="K5" s="112">
        <v>2017</v>
      </c>
      <c r="L5" s="112">
        <v>12</v>
      </c>
      <c r="M5" s="3" t="s">
        <v>847</v>
      </c>
      <c r="N5" s="3" t="s">
        <v>247</v>
      </c>
      <c r="O5" s="3" t="s">
        <v>2259</v>
      </c>
      <c r="P5" s="11">
        <v>5273826</v>
      </c>
      <c r="Q5" s="50">
        <f>P5*3</f>
        <v>15821478</v>
      </c>
      <c r="R5" s="12"/>
      <c r="S5" s="12"/>
      <c r="T5" s="28"/>
      <c r="W5" s="60" t="s">
        <v>848</v>
      </c>
      <c r="X5" s="69">
        <v>2</v>
      </c>
      <c r="Y5" s="69">
        <v>28</v>
      </c>
      <c r="Z5" s="65">
        <f>11/28</f>
        <v>0.39285714285714285</v>
      </c>
      <c r="AA5" s="122">
        <v>109.2</v>
      </c>
      <c r="AB5" s="122">
        <v>111.3</v>
      </c>
      <c r="AC5" s="122">
        <f t="shared" si="1"/>
        <v>-2.0999999999999943</v>
      </c>
      <c r="AD5" s="122">
        <v>32.9</v>
      </c>
      <c r="AE5" s="122">
        <v>14.4</v>
      </c>
      <c r="AF5" s="65">
        <v>0.58899999999999997</v>
      </c>
      <c r="AG5" s="122">
        <v>19.8</v>
      </c>
      <c r="AH5" s="122">
        <v>1.6</v>
      </c>
      <c r="AI5" s="122">
        <v>0.3</v>
      </c>
      <c r="AJ5" s="65">
        <v>0.1</v>
      </c>
      <c r="AK5" s="122">
        <v>1.1000000000000001</v>
      </c>
      <c r="AL5" s="122">
        <v>-1.4</v>
      </c>
      <c r="AM5" s="122">
        <v>0.4</v>
      </c>
      <c r="AN5" s="122">
        <v>9.8000000000000007</v>
      </c>
    </row>
    <row r="6" spans="1:44" x14ac:dyDescent="0.2">
      <c r="A6" s="3">
        <v>45</v>
      </c>
      <c r="B6" s="3" t="s">
        <v>852</v>
      </c>
      <c r="C6" s="3" t="s">
        <v>244</v>
      </c>
      <c r="D6" s="108">
        <v>68</v>
      </c>
      <c r="E6" s="108">
        <v>611</v>
      </c>
      <c r="F6" s="109">
        <v>230</v>
      </c>
      <c r="G6" s="4">
        <v>36883</v>
      </c>
      <c r="H6" s="113">
        <f t="shared" ca="1" si="0"/>
        <v>19.8</v>
      </c>
      <c r="I6" s="3" t="s">
        <v>853</v>
      </c>
      <c r="J6" s="3">
        <v>2</v>
      </c>
      <c r="K6" s="112">
        <v>2019</v>
      </c>
      <c r="L6" s="112">
        <v>15</v>
      </c>
      <c r="M6" s="3" t="s">
        <v>854</v>
      </c>
      <c r="N6" s="3" t="s">
        <v>247</v>
      </c>
      <c r="O6" s="11" t="s">
        <v>2260</v>
      </c>
      <c r="P6" s="11">
        <v>3449400</v>
      </c>
      <c r="Q6" s="51">
        <v>3613680</v>
      </c>
      <c r="R6" s="51">
        <v>5539771</v>
      </c>
      <c r="S6" s="50">
        <v>16619313</v>
      </c>
      <c r="T6" s="25"/>
      <c r="W6" s="60" t="s">
        <v>855</v>
      </c>
      <c r="X6" s="69">
        <v>4</v>
      </c>
      <c r="Y6" s="69">
        <v>38</v>
      </c>
      <c r="Z6" s="65">
        <f>10/38</f>
        <v>0.26315789473684209</v>
      </c>
      <c r="AA6" s="122">
        <v>104</v>
      </c>
      <c r="AB6" s="122">
        <v>114.8</v>
      </c>
      <c r="AC6" s="122">
        <f t="shared" si="1"/>
        <v>-10.799999999999997</v>
      </c>
      <c r="AD6" s="122">
        <v>19.8</v>
      </c>
      <c r="AE6" s="122">
        <v>6.2</v>
      </c>
      <c r="AF6" s="65">
        <v>0.47399999999999998</v>
      </c>
      <c r="AG6" s="122">
        <v>16.899999999999999</v>
      </c>
      <c r="AH6" s="122">
        <v>-0.8</v>
      </c>
      <c r="AI6" s="122">
        <v>0.5</v>
      </c>
      <c r="AJ6" s="65">
        <v>-0.02</v>
      </c>
      <c r="AK6" s="122">
        <v>-5.2</v>
      </c>
      <c r="AL6" s="122">
        <v>-1.5</v>
      </c>
      <c r="AM6" s="122">
        <v>-0.9</v>
      </c>
      <c r="AN6" s="122">
        <v>3.9</v>
      </c>
    </row>
    <row r="7" spans="1:44" x14ac:dyDescent="0.2">
      <c r="A7" s="3">
        <v>13</v>
      </c>
      <c r="B7" s="3" t="s">
        <v>2053</v>
      </c>
      <c r="C7" s="3" t="s">
        <v>236</v>
      </c>
      <c r="D7" s="108">
        <v>611</v>
      </c>
      <c r="E7" s="108">
        <v>73</v>
      </c>
      <c r="F7" s="109">
        <v>241</v>
      </c>
      <c r="G7" s="4">
        <v>35595</v>
      </c>
      <c r="H7" s="113">
        <f t="shared" ca="1" si="0"/>
        <v>23.3</v>
      </c>
      <c r="I7" s="3" t="s">
        <v>862</v>
      </c>
      <c r="J7" s="3">
        <v>4</v>
      </c>
      <c r="K7" s="112">
        <v>2017</v>
      </c>
      <c r="L7" s="112">
        <v>16</v>
      </c>
      <c r="M7" s="3" t="s">
        <v>2067</v>
      </c>
      <c r="N7" s="3" t="s">
        <v>521</v>
      </c>
      <c r="O7" s="163" t="s">
        <v>844</v>
      </c>
      <c r="P7" s="15">
        <v>1762796</v>
      </c>
      <c r="Q7" s="14">
        <v>1856061</v>
      </c>
      <c r="R7" s="12"/>
      <c r="S7" s="12"/>
      <c r="T7" s="28"/>
      <c r="X7" s="69"/>
      <c r="Y7" s="69"/>
      <c r="Z7" s="65"/>
      <c r="AA7" s="122"/>
      <c r="AB7" s="122"/>
      <c r="AC7" s="122"/>
      <c r="AD7" s="122"/>
      <c r="AE7" s="122"/>
      <c r="AF7" s="65"/>
      <c r="AG7" s="122"/>
      <c r="AH7" s="122"/>
      <c r="AI7" s="122"/>
      <c r="AJ7" s="65"/>
      <c r="AK7" s="122"/>
      <c r="AL7" s="122"/>
      <c r="AM7" s="122"/>
      <c r="AN7" s="122"/>
    </row>
    <row r="8" spans="1:44" x14ac:dyDescent="0.2">
      <c r="A8" s="3">
        <v>13</v>
      </c>
      <c r="B8" s="3" t="s">
        <v>52</v>
      </c>
      <c r="C8" s="3" t="s">
        <v>255</v>
      </c>
      <c r="D8" s="108">
        <v>63</v>
      </c>
      <c r="E8" s="108">
        <v>611</v>
      </c>
      <c r="F8" s="109">
        <v>210</v>
      </c>
      <c r="G8" s="4">
        <v>35193</v>
      </c>
      <c r="H8" s="113">
        <f t="shared" ca="1" si="0"/>
        <v>24.4</v>
      </c>
      <c r="I8" s="3" t="s">
        <v>862</v>
      </c>
      <c r="J8" s="3">
        <v>3</v>
      </c>
      <c r="K8" s="112">
        <v>2018</v>
      </c>
      <c r="L8" s="112">
        <v>38</v>
      </c>
      <c r="M8" s="3" t="s">
        <v>863</v>
      </c>
      <c r="N8" s="3" t="s">
        <v>521</v>
      </c>
      <c r="O8" s="163" t="s">
        <v>526</v>
      </c>
      <c r="P8" s="15">
        <v>1663861</v>
      </c>
      <c r="Q8" s="50">
        <v>2122822</v>
      </c>
      <c r="R8" s="3"/>
      <c r="S8" s="3"/>
      <c r="T8" s="25"/>
      <c r="W8" s="60" t="s">
        <v>864</v>
      </c>
      <c r="X8" s="69">
        <v>3</v>
      </c>
      <c r="Y8" s="69">
        <v>8</v>
      </c>
      <c r="Z8" s="65">
        <f>2/8</f>
        <v>0.25</v>
      </c>
      <c r="AA8" s="122">
        <v>93.4</v>
      </c>
      <c r="AB8" s="122">
        <v>122.1</v>
      </c>
      <c r="AC8" s="122">
        <f t="shared" ref="AC8:AC10" si="2">AA8-AB8</f>
        <v>-28.699999999999989</v>
      </c>
      <c r="AD8" s="122">
        <v>7.7</v>
      </c>
      <c r="AE8" s="122">
        <v>3.2</v>
      </c>
      <c r="AF8" s="65">
        <v>0.45300000000000001</v>
      </c>
      <c r="AG8" s="122">
        <v>15.6</v>
      </c>
      <c r="AH8" s="122">
        <v>-0.1</v>
      </c>
      <c r="AI8" s="122">
        <v>0</v>
      </c>
      <c r="AJ8" s="65">
        <v>-3.7999999999999999E-2</v>
      </c>
      <c r="AK8" s="122">
        <v>-6.1</v>
      </c>
      <c r="AL8" s="122">
        <v>-1.8</v>
      </c>
      <c r="AM8" s="122">
        <v>-0.1</v>
      </c>
      <c r="AN8" s="122">
        <v>-1.3</v>
      </c>
    </row>
    <row r="9" spans="1:44" x14ac:dyDescent="0.2">
      <c r="A9" s="3">
        <v>6</v>
      </c>
      <c r="B9" s="3" t="s">
        <v>53</v>
      </c>
      <c r="C9" s="3" t="s">
        <v>232</v>
      </c>
      <c r="D9" s="108">
        <v>64</v>
      </c>
      <c r="E9" s="108">
        <v>69</v>
      </c>
      <c r="F9" s="109">
        <v>202</v>
      </c>
      <c r="G9" s="4">
        <v>35292</v>
      </c>
      <c r="H9" s="113">
        <f t="shared" ca="1" si="0"/>
        <v>24.1</v>
      </c>
      <c r="I9" s="3" t="s">
        <v>676</v>
      </c>
      <c r="J9" s="3">
        <v>3</v>
      </c>
      <c r="K9" s="112">
        <v>2018</v>
      </c>
      <c r="L9" s="112">
        <v>42</v>
      </c>
      <c r="M9" s="3" t="s">
        <v>865</v>
      </c>
      <c r="N9" s="3" t="s">
        <v>521</v>
      </c>
      <c r="O9" s="163" t="s">
        <v>526</v>
      </c>
      <c r="P9" s="15">
        <v>1663861</v>
      </c>
      <c r="Q9" s="50">
        <v>2122822</v>
      </c>
      <c r="R9" s="3"/>
      <c r="S9" s="3"/>
      <c r="T9" s="25"/>
      <c r="W9" s="60" t="s">
        <v>866</v>
      </c>
      <c r="X9" s="69">
        <v>2</v>
      </c>
      <c r="Y9" s="69">
        <v>58</v>
      </c>
      <c r="Z9" s="65">
        <f>18/58</f>
        <v>0.31034482758620691</v>
      </c>
      <c r="AA9" s="122">
        <v>106</v>
      </c>
      <c r="AB9" s="122">
        <v>110.4</v>
      </c>
      <c r="AC9" s="122">
        <f t="shared" si="2"/>
        <v>-4.4000000000000057</v>
      </c>
      <c r="AD9" s="122">
        <v>28.2</v>
      </c>
      <c r="AE9" s="122">
        <v>11.9</v>
      </c>
      <c r="AF9" s="65">
        <v>0.51800000000000002</v>
      </c>
      <c r="AG9" s="122">
        <v>16</v>
      </c>
      <c r="AH9" s="122">
        <v>0.8</v>
      </c>
      <c r="AI9" s="122">
        <v>1.4</v>
      </c>
      <c r="AJ9" s="65">
        <v>6.2E-2</v>
      </c>
      <c r="AK9" s="122">
        <v>-2</v>
      </c>
      <c r="AL9" s="122">
        <v>0.8</v>
      </c>
      <c r="AM9" s="122">
        <v>0.3</v>
      </c>
      <c r="AN9" s="122">
        <v>8.3000000000000007</v>
      </c>
    </row>
    <row r="10" spans="1:44" x14ac:dyDescent="0.2">
      <c r="A10" s="3">
        <v>19</v>
      </c>
      <c r="B10" s="3" t="s">
        <v>867</v>
      </c>
      <c r="C10" s="3" t="s">
        <v>244</v>
      </c>
      <c r="D10" s="108">
        <v>67</v>
      </c>
      <c r="E10" s="108">
        <v>65</v>
      </c>
      <c r="F10" s="109">
        <v>205</v>
      </c>
      <c r="G10" s="4">
        <v>35591</v>
      </c>
      <c r="H10" s="113">
        <f t="shared" ca="1" si="0"/>
        <v>23.3</v>
      </c>
      <c r="I10" s="3" t="s">
        <v>524</v>
      </c>
      <c r="J10" s="3">
        <v>3</v>
      </c>
      <c r="K10" s="112">
        <v>2018</v>
      </c>
      <c r="L10" s="112">
        <v>47</v>
      </c>
      <c r="M10" s="3" t="s">
        <v>868</v>
      </c>
      <c r="N10" s="3" t="s">
        <v>869</v>
      </c>
      <c r="O10" s="163" t="s">
        <v>797</v>
      </c>
      <c r="P10" s="49">
        <v>1663861</v>
      </c>
      <c r="Q10" s="50">
        <v>2122822</v>
      </c>
      <c r="R10" s="12"/>
      <c r="S10" s="12"/>
      <c r="T10" s="28"/>
      <c r="W10" s="60" t="s">
        <v>870</v>
      </c>
      <c r="X10" s="69">
        <v>3</v>
      </c>
      <c r="Y10" s="69">
        <v>56</v>
      </c>
      <c r="Z10" s="65">
        <f>17/56</f>
        <v>0.30357142857142855</v>
      </c>
      <c r="AA10" s="122">
        <v>108.6</v>
      </c>
      <c r="AB10" s="122">
        <v>109.2</v>
      </c>
      <c r="AC10" s="122">
        <f t="shared" si="2"/>
        <v>-0.60000000000000853</v>
      </c>
      <c r="AD10" s="122">
        <v>22.6</v>
      </c>
      <c r="AE10" s="122">
        <v>11.2</v>
      </c>
      <c r="AF10" s="65">
        <v>0.57799999999999996</v>
      </c>
      <c r="AG10" s="122">
        <v>17.100000000000001</v>
      </c>
      <c r="AH10" s="122">
        <v>1</v>
      </c>
      <c r="AI10" s="122">
        <v>0.6</v>
      </c>
      <c r="AJ10" s="65">
        <v>0.06</v>
      </c>
      <c r="AK10" s="122">
        <v>-0.7</v>
      </c>
      <c r="AL10" s="122">
        <v>-1.2</v>
      </c>
      <c r="AM10" s="122">
        <v>0</v>
      </c>
      <c r="AN10" s="122">
        <v>6.9</v>
      </c>
    </row>
    <row r="11" spans="1:44" x14ac:dyDescent="0.2">
      <c r="B11" s="60" t="s">
        <v>297</v>
      </c>
      <c r="K11" s="58"/>
      <c r="L11" s="55"/>
      <c r="M11" s="55"/>
      <c r="N11" s="55"/>
      <c r="O11" s="55"/>
      <c r="P11" s="3"/>
      <c r="Q11" s="3"/>
      <c r="R11" s="3"/>
      <c r="S11" s="3"/>
      <c r="T11" s="25"/>
      <c r="X11" s="69"/>
      <c r="Y11" s="69"/>
      <c r="Z11" s="65"/>
      <c r="AA11" s="122"/>
      <c r="AB11" s="122"/>
      <c r="AC11" s="122"/>
      <c r="AD11" s="122"/>
      <c r="AE11" s="122"/>
      <c r="AF11" s="65"/>
      <c r="AG11" s="122"/>
      <c r="AH11" s="122"/>
      <c r="AI11" s="122"/>
      <c r="AJ11" s="65"/>
      <c r="AK11" s="122"/>
      <c r="AL11" s="122"/>
      <c r="AM11" s="122"/>
      <c r="AN11" s="122"/>
    </row>
    <row r="12" spans="1:44" ht="17" x14ac:dyDescent="0.2">
      <c r="B12" s="3" t="s">
        <v>612</v>
      </c>
      <c r="H12" s="35"/>
      <c r="K12" s="58"/>
      <c r="L12" s="16"/>
      <c r="M12" s="3"/>
      <c r="N12" s="22"/>
      <c r="O12" s="16"/>
      <c r="P12" s="11">
        <v>5307120</v>
      </c>
      <c r="Q12" s="11">
        <v>5572680</v>
      </c>
      <c r="R12" s="51">
        <v>5837760</v>
      </c>
      <c r="S12" s="51">
        <f>R12*1.27</f>
        <v>7413955.2000000002</v>
      </c>
      <c r="T12" s="50">
        <f>S12*3</f>
        <v>22241865.600000001</v>
      </c>
      <c r="X12" s="69"/>
      <c r="Y12" s="69"/>
      <c r="Z12" s="65"/>
      <c r="AA12" s="122"/>
      <c r="AB12" s="122"/>
      <c r="AC12" s="122"/>
      <c r="AD12" s="122"/>
      <c r="AE12" s="122"/>
      <c r="AF12" s="65"/>
      <c r="AG12" s="122"/>
      <c r="AH12" s="122"/>
      <c r="AI12" s="122"/>
      <c r="AJ12" s="65"/>
      <c r="AK12" s="122"/>
      <c r="AL12" s="122"/>
      <c r="AM12" s="122"/>
      <c r="AN12" s="122"/>
    </row>
    <row r="13" spans="1:44" ht="17" x14ac:dyDescent="0.2">
      <c r="B13" s="3"/>
      <c r="H13" s="35"/>
      <c r="K13" s="58"/>
      <c r="L13" s="16"/>
      <c r="M13" s="3"/>
      <c r="N13" s="22"/>
      <c r="O13" s="16"/>
      <c r="P13" s="11"/>
      <c r="Q13" s="11"/>
      <c r="R13" s="16"/>
      <c r="S13" s="16"/>
      <c r="T13" s="16"/>
      <c r="X13" s="69"/>
      <c r="Y13" s="69"/>
      <c r="Z13" s="65"/>
      <c r="AA13" s="122"/>
      <c r="AB13" s="122"/>
      <c r="AC13" s="122"/>
      <c r="AD13" s="122"/>
      <c r="AE13" s="122"/>
      <c r="AF13" s="65"/>
      <c r="AG13" s="122"/>
      <c r="AH13" s="122"/>
      <c r="AI13" s="122"/>
      <c r="AJ13" s="65"/>
      <c r="AK13" s="122"/>
      <c r="AL13" s="122"/>
      <c r="AM13" s="122"/>
      <c r="AN13" s="122"/>
    </row>
    <row r="14" spans="1:44" x14ac:dyDescent="0.2">
      <c r="A14" s="3">
        <v>20</v>
      </c>
      <c r="B14" s="3" t="s">
        <v>45</v>
      </c>
      <c r="C14" s="3" t="s">
        <v>250</v>
      </c>
      <c r="D14" s="108">
        <v>62</v>
      </c>
      <c r="E14" s="108">
        <v>67</v>
      </c>
      <c r="F14" s="109">
        <v>182</v>
      </c>
      <c r="G14" s="4">
        <v>33574</v>
      </c>
      <c r="H14" s="113">
        <f t="shared" ref="H14:H21" ca="1" si="3">ROUNDDOWN(YEARFRAC($G$23,G14),1)</f>
        <v>28.8</v>
      </c>
      <c r="I14" s="3" t="s">
        <v>270</v>
      </c>
      <c r="J14" s="3">
        <v>10</v>
      </c>
      <c r="K14" s="112">
        <v>2011</v>
      </c>
      <c r="L14" s="112">
        <v>8</v>
      </c>
      <c r="M14" s="3" t="s">
        <v>832</v>
      </c>
      <c r="N14" s="3"/>
      <c r="O14" s="3"/>
      <c r="P14" s="14">
        <v>23465625</v>
      </c>
      <c r="Q14" s="3"/>
      <c r="R14" s="3"/>
      <c r="S14" s="3"/>
      <c r="T14" s="25"/>
      <c r="W14" s="60" t="s">
        <v>834</v>
      </c>
      <c r="X14" s="69">
        <v>1</v>
      </c>
      <c r="Y14" s="69">
        <v>9</v>
      </c>
      <c r="Z14" s="65">
        <f>1/9</f>
        <v>0.1111111111111111</v>
      </c>
      <c r="AA14" s="122">
        <v>112.2</v>
      </c>
      <c r="AB14" s="122">
        <v>117.2</v>
      </c>
      <c r="AC14" s="122">
        <f t="shared" ref="AC14:AC21" si="4">AA14-AB14</f>
        <v>-5</v>
      </c>
      <c r="AD14" s="122">
        <v>24.6</v>
      </c>
      <c r="AE14" s="122">
        <v>11.9</v>
      </c>
      <c r="AF14" s="65">
        <v>0.57599999999999996</v>
      </c>
      <c r="AG14" s="122">
        <v>22.2</v>
      </c>
      <c r="AH14" s="122">
        <v>0.1</v>
      </c>
      <c r="AI14" s="122">
        <v>0.1</v>
      </c>
      <c r="AJ14" s="65">
        <v>4.5999999999999999E-2</v>
      </c>
      <c r="AK14" s="122">
        <v>0.5</v>
      </c>
      <c r="AL14" s="122">
        <v>-2.5</v>
      </c>
      <c r="AM14" s="122">
        <v>0</v>
      </c>
      <c r="AN14" s="122">
        <v>7.6</v>
      </c>
    </row>
    <row r="15" spans="1:44" x14ac:dyDescent="0.2">
      <c r="A15" s="3">
        <v>31</v>
      </c>
      <c r="B15" s="3" t="s">
        <v>47</v>
      </c>
      <c r="C15" s="3" t="s">
        <v>236</v>
      </c>
      <c r="D15" s="108">
        <v>69</v>
      </c>
      <c r="E15" s="108">
        <v>76</v>
      </c>
      <c r="F15" s="109">
        <v>219</v>
      </c>
      <c r="G15" s="4">
        <v>33235</v>
      </c>
      <c r="H15" s="113">
        <f t="shared" ca="1" si="3"/>
        <v>29.8</v>
      </c>
      <c r="I15" s="3" t="s">
        <v>281</v>
      </c>
      <c r="J15" s="3">
        <v>9</v>
      </c>
      <c r="K15" s="112">
        <v>2012</v>
      </c>
      <c r="L15" s="112">
        <v>14</v>
      </c>
      <c r="M15" s="3" t="s">
        <v>832</v>
      </c>
      <c r="N15" s="3"/>
      <c r="O15" s="3"/>
      <c r="P15" s="14">
        <v>14598594</v>
      </c>
      <c r="Q15" s="3"/>
      <c r="R15" s="3"/>
      <c r="S15" s="3"/>
      <c r="T15" s="25"/>
      <c r="W15" s="60" t="s">
        <v>840</v>
      </c>
      <c r="X15" s="69">
        <v>4</v>
      </c>
      <c r="Y15" s="69">
        <v>11</v>
      </c>
      <c r="Z15" s="65">
        <f>1/11</f>
        <v>9.0909090909090912E-2</v>
      </c>
      <c r="AA15" s="122">
        <v>104.2</v>
      </c>
      <c r="AB15" s="122">
        <v>103.9</v>
      </c>
      <c r="AC15" s="122">
        <f t="shared" si="4"/>
        <v>0.29999999999999716</v>
      </c>
      <c r="AD15" s="122">
        <v>17.100000000000001</v>
      </c>
      <c r="AE15" s="122">
        <v>17.100000000000001</v>
      </c>
      <c r="AF15" s="65">
        <v>0.67</v>
      </c>
      <c r="AG15" s="122">
        <v>16.7</v>
      </c>
      <c r="AH15" s="122">
        <v>0.2</v>
      </c>
      <c r="AI15" s="122">
        <v>0.2</v>
      </c>
      <c r="AJ15" s="65">
        <v>0.11</v>
      </c>
      <c r="AK15" s="122">
        <v>-1.1000000000000001</v>
      </c>
      <c r="AL15" s="122">
        <v>1.7</v>
      </c>
      <c r="AM15" s="122">
        <v>0.1</v>
      </c>
      <c r="AN15" s="122">
        <v>11.5</v>
      </c>
    </row>
    <row r="16" spans="1:44" x14ac:dyDescent="0.2">
      <c r="A16" s="3">
        <v>9</v>
      </c>
      <c r="B16" s="3" t="s">
        <v>48</v>
      </c>
      <c r="C16" s="3" t="s">
        <v>255</v>
      </c>
      <c r="D16" s="108">
        <v>61</v>
      </c>
      <c r="E16" s="108">
        <v>68</v>
      </c>
      <c r="F16" s="109">
        <v>200</v>
      </c>
      <c r="G16" s="4">
        <v>33581</v>
      </c>
      <c r="H16" s="113">
        <f t="shared" ca="1" si="3"/>
        <v>28.8</v>
      </c>
      <c r="I16" s="3" t="s">
        <v>267</v>
      </c>
      <c r="J16" s="3">
        <v>7</v>
      </c>
      <c r="K16" s="112">
        <v>2014</v>
      </c>
      <c r="L16" s="112"/>
      <c r="M16" s="3" t="s">
        <v>841</v>
      </c>
      <c r="N16" s="3"/>
      <c r="O16" s="3"/>
      <c r="P16" s="14">
        <v>13933333</v>
      </c>
      <c r="Q16" s="3"/>
      <c r="R16" s="3"/>
      <c r="S16" s="3"/>
      <c r="T16" s="25"/>
      <c r="W16" s="60" t="s">
        <v>842</v>
      </c>
      <c r="X16" s="69">
        <v>2</v>
      </c>
      <c r="Y16" s="69">
        <v>66</v>
      </c>
      <c r="Z16" s="65">
        <f>20/66</f>
        <v>0.30303030303030304</v>
      </c>
      <c r="AA16" s="122">
        <v>107.7</v>
      </c>
      <c r="AB16" s="122">
        <v>112.1</v>
      </c>
      <c r="AC16" s="122">
        <f t="shared" si="4"/>
        <v>-4.3999999999999915</v>
      </c>
      <c r="AD16" s="122">
        <v>25.8</v>
      </c>
      <c r="AE16" s="122">
        <v>12.3</v>
      </c>
      <c r="AF16" s="65">
        <v>0.58399999999999996</v>
      </c>
      <c r="AG16" s="122">
        <v>15.9</v>
      </c>
      <c r="AH16" s="122">
        <v>2.4</v>
      </c>
      <c r="AI16" s="122">
        <v>0.7</v>
      </c>
      <c r="AJ16" s="65">
        <v>8.6999999999999994E-2</v>
      </c>
      <c r="AK16" s="122">
        <v>0.1</v>
      </c>
      <c r="AL16" s="122">
        <v>-0.9</v>
      </c>
      <c r="AM16" s="122">
        <v>0.5</v>
      </c>
      <c r="AN16" s="122">
        <v>7.5</v>
      </c>
    </row>
    <row r="17" spans="1:40" x14ac:dyDescent="0.2">
      <c r="A17" s="3">
        <v>7</v>
      </c>
      <c r="B17" s="3" t="s">
        <v>49</v>
      </c>
      <c r="C17" s="3" t="s">
        <v>236</v>
      </c>
      <c r="D17" s="108">
        <v>70</v>
      </c>
      <c r="E17" s="108">
        <v>73</v>
      </c>
      <c r="F17" s="109">
        <v>221</v>
      </c>
      <c r="G17" s="4">
        <v>35486</v>
      </c>
      <c r="H17" s="113">
        <f t="shared" ca="1" si="3"/>
        <v>23.6</v>
      </c>
      <c r="I17" s="3" t="s">
        <v>849</v>
      </c>
      <c r="J17" s="3">
        <v>5</v>
      </c>
      <c r="K17" s="112">
        <v>2016</v>
      </c>
      <c r="L17" s="112">
        <v>10</v>
      </c>
      <c r="M17" s="3" t="s">
        <v>850</v>
      </c>
      <c r="N17" s="3"/>
      <c r="O17" s="3"/>
      <c r="P17" s="50">
        <v>10708929</v>
      </c>
      <c r="Q17" s="3"/>
      <c r="R17" s="3"/>
      <c r="S17" s="3"/>
      <c r="T17" s="25"/>
      <c r="W17" s="60" t="s">
        <v>851</v>
      </c>
      <c r="X17" s="69">
        <v>5</v>
      </c>
      <c r="Y17" s="69">
        <v>60</v>
      </c>
      <c r="Z17" s="65">
        <f>20/60</f>
        <v>0.33333333333333331</v>
      </c>
      <c r="AA17" s="122">
        <v>103.8</v>
      </c>
      <c r="AB17" s="122">
        <v>111.9</v>
      </c>
      <c r="AC17" s="122">
        <f t="shared" si="4"/>
        <v>-8.1000000000000085</v>
      </c>
      <c r="AD17" s="122">
        <v>12.9</v>
      </c>
      <c r="AE17" s="122">
        <v>13.7</v>
      </c>
      <c r="AF17" s="65">
        <v>0.58199999999999996</v>
      </c>
      <c r="AG17" s="122">
        <v>16.100000000000001</v>
      </c>
      <c r="AH17" s="122">
        <v>0.7</v>
      </c>
      <c r="AI17" s="122">
        <v>0.8</v>
      </c>
      <c r="AJ17" s="65">
        <v>9.6000000000000002E-2</v>
      </c>
      <c r="AK17" s="122">
        <v>-2</v>
      </c>
      <c r="AL17" s="122">
        <v>0.7</v>
      </c>
      <c r="AM17" s="122">
        <v>0.1</v>
      </c>
      <c r="AN17" s="122">
        <v>7.6</v>
      </c>
    </row>
    <row r="18" spans="1:40" x14ac:dyDescent="0.2">
      <c r="A18" s="3">
        <v>35</v>
      </c>
      <c r="B18" s="3" t="s">
        <v>50</v>
      </c>
      <c r="C18" s="3" t="s">
        <v>236</v>
      </c>
      <c r="D18" s="108">
        <v>610</v>
      </c>
      <c r="E18" s="108">
        <v>73</v>
      </c>
      <c r="F18" s="109">
        <v>214</v>
      </c>
      <c r="G18" s="4">
        <v>34969</v>
      </c>
      <c r="H18" s="113">
        <f t="shared" ca="1" si="3"/>
        <v>25</v>
      </c>
      <c r="I18" s="3" t="s">
        <v>856</v>
      </c>
      <c r="J18" s="3">
        <v>5</v>
      </c>
      <c r="K18" s="112">
        <v>2015</v>
      </c>
      <c r="L18" s="112"/>
      <c r="M18" s="3" t="s">
        <v>857</v>
      </c>
      <c r="N18" s="3"/>
      <c r="O18" s="3"/>
      <c r="P18" s="14">
        <v>1620564</v>
      </c>
      <c r="Q18" s="3"/>
      <c r="R18" s="12"/>
      <c r="S18" s="12"/>
      <c r="T18" s="28"/>
      <c r="W18" s="60" t="s">
        <v>858</v>
      </c>
      <c r="X18" s="69">
        <v>5</v>
      </c>
      <c r="Y18" s="69">
        <v>62</v>
      </c>
      <c r="Z18" s="65">
        <f>20/66</f>
        <v>0.30303030303030304</v>
      </c>
      <c r="AA18" s="122">
        <v>110.8</v>
      </c>
      <c r="AB18" s="122">
        <v>108.8</v>
      </c>
      <c r="AC18" s="122">
        <f t="shared" si="4"/>
        <v>2</v>
      </c>
      <c r="AD18" s="122">
        <v>21.4</v>
      </c>
      <c r="AE18" s="122">
        <v>23.2</v>
      </c>
      <c r="AF18" s="65">
        <v>0.65900000000000003</v>
      </c>
      <c r="AG18" s="122">
        <v>23</v>
      </c>
      <c r="AH18" s="122">
        <v>3.6</v>
      </c>
      <c r="AI18" s="122">
        <v>1.5</v>
      </c>
      <c r="AJ18" s="65">
        <v>0.184</v>
      </c>
      <c r="AK18" s="122">
        <v>3.5</v>
      </c>
      <c r="AL18" s="122">
        <v>-0.3</v>
      </c>
      <c r="AM18" s="122">
        <v>1.7</v>
      </c>
      <c r="AN18" s="122">
        <v>15.3</v>
      </c>
    </row>
    <row r="19" spans="1:40" x14ac:dyDescent="0.2">
      <c r="A19" s="3">
        <v>52</v>
      </c>
      <c r="B19" s="3" t="s">
        <v>51</v>
      </c>
      <c r="C19" s="3" t="s">
        <v>244</v>
      </c>
      <c r="D19" s="108">
        <v>65</v>
      </c>
      <c r="E19" s="108">
        <v>71</v>
      </c>
      <c r="F19" s="109">
        <v>179</v>
      </c>
      <c r="G19" s="4">
        <v>33325</v>
      </c>
      <c r="H19" s="113">
        <f t="shared" ca="1" si="3"/>
        <v>29.5</v>
      </c>
      <c r="I19" s="3" t="s">
        <v>859</v>
      </c>
      <c r="J19" s="3">
        <v>5</v>
      </c>
      <c r="K19" s="112">
        <v>2014</v>
      </c>
      <c r="L19" s="112">
        <v>58</v>
      </c>
      <c r="M19" s="3" t="s">
        <v>860</v>
      </c>
      <c r="N19" s="3"/>
      <c r="O19" s="3"/>
      <c r="P19" s="14">
        <v>1620564</v>
      </c>
      <c r="Q19" s="3"/>
      <c r="R19" s="3"/>
      <c r="S19" s="3"/>
      <c r="T19" s="25"/>
      <c r="W19" s="60" t="s">
        <v>861</v>
      </c>
      <c r="X19" s="69">
        <v>2</v>
      </c>
      <c r="Y19" s="69">
        <v>4</v>
      </c>
      <c r="Z19" s="65">
        <f>0/4</f>
        <v>0</v>
      </c>
      <c r="AA19" s="122">
        <v>106.8</v>
      </c>
      <c r="AB19" s="122">
        <v>125</v>
      </c>
      <c r="AC19" s="122">
        <f t="shared" si="4"/>
        <v>-18.200000000000003</v>
      </c>
      <c r="AD19" s="122">
        <v>24.6</v>
      </c>
      <c r="AE19" s="122">
        <v>6.5</v>
      </c>
      <c r="AF19" s="65">
        <v>0.44600000000000001</v>
      </c>
      <c r="AG19" s="122">
        <v>25.7</v>
      </c>
      <c r="AH19" s="122">
        <v>0.1</v>
      </c>
      <c r="AI19" s="122">
        <v>0</v>
      </c>
      <c r="AJ19" s="65">
        <v>-5.2999999999999999E-2</v>
      </c>
      <c r="AK19" s="122">
        <v>-5.6</v>
      </c>
      <c r="AL19" s="122">
        <v>-4.2</v>
      </c>
      <c r="AM19" s="122">
        <v>-0.2</v>
      </c>
      <c r="AN19" s="122">
        <v>5</v>
      </c>
    </row>
    <row r="20" spans="1:40" x14ac:dyDescent="0.2">
      <c r="A20" s="3">
        <v>14</v>
      </c>
      <c r="B20" s="3" t="s">
        <v>871</v>
      </c>
      <c r="C20" s="3" t="s">
        <v>255</v>
      </c>
      <c r="D20" s="108">
        <v>67</v>
      </c>
      <c r="E20" s="108">
        <v>70</v>
      </c>
      <c r="F20" s="109">
        <v>205</v>
      </c>
      <c r="G20" s="4">
        <v>36256</v>
      </c>
      <c r="H20" s="113">
        <f t="shared" ca="1" si="3"/>
        <v>21.5</v>
      </c>
      <c r="I20" s="3" t="s">
        <v>812</v>
      </c>
      <c r="J20" s="3">
        <v>2</v>
      </c>
      <c r="K20" s="112">
        <v>2019</v>
      </c>
      <c r="L20" s="118"/>
      <c r="M20" s="3" t="s">
        <v>872</v>
      </c>
      <c r="N20" s="3"/>
      <c r="O20" s="3"/>
      <c r="P20" s="50">
        <v>1416852</v>
      </c>
      <c r="Q20" s="3"/>
      <c r="R20" s="3"/>
      <c r="S20" s="3"/>
      <c r="T20" s="25"/>
      <c r="W20" s="60" t="s">
        <v>873</v>
      </c>
      <c r="X20" s="69">
        <v>3</v>
      </c>
      <c r="Y20" s="69">
        <v>10</v>
      </c>
      <c r="Z20" s="65">
        <f>3/10</f>
        <v>0.3</v>
      </c>
      <c r="AA20" s="122">
        <v>109.4</v>
      </c>
      <c r="AB20" s="122">
        <v>98.4</v>
      </c>
      <c r="AC20" s="122">
        <f t="shared" si="4"/>
        <v>11</v>
      </c>
      <c r="AD20" s="122">
        <v>6.2</v>
      </c>
      <c r="AE20" s="122">
        <v>6.3</v>
      </c>
      <c r="AF20" s="65">
        <v>0.44800000000000001</v>
      </c>
      <c r="AG20" s="122">
        <v>17.100000000000001</v>
      </c>
      <c r="AH20" s="122">
        <v>-0.1</v>
      </c>
      <c r="AI20" s="122">
        <v>0</v>
      </c>
      <c r="AJ20" s="65">
        <v>-7.0000000000000001E-3</v>
      </c>
      <c r="AK20" s="122">
        <v>-5.0999999999999996</v>
      </c>
      <c r="AL20" s="122">
        <v>-1.1000000000000001</v>
      </c>
      <c r="AM20" s="122">
        <v>-0.1</v>
      </c>
      <c r="AN20" s="122">
        <v>4.3</v>
      </c>
    </row>
    <row r="21" spans="1:40" x14ac:dyDescent="0.2">
      <c r="A21" s="3">
        <v>18</v>
      </c>
      <c r="B21" s="3" t="s">
        <v>874</v>
      </c>
      <c r="C21" s="3" t="s">
        <v>232</v>
      </c>
      <c r="D21" s="108">
        <v>63</v>
      </c>
      <c r="E21" s="108">
        <v>63</v>
      </c>
      <c r="F21" s="109">
        <v>180</v>
      </c>
      <c r="G21" s="4">
        <v>35739</v>
      </c>
      <c r="H21" s="113">
        <f t="shared" ca="1" si="3"/>
        <v>22.9</v>
      </c>
      <c r="I21" s="3" t="s">
        <v>382</v>
      </c>
      <c r="J21" s="3">
        <v>2</v>
      </c>
      <c r="K21" s="112">
        <v>2019</v>
      </c>
      <c r="L21" s="112">
        <v>57</v>
      </c>
      <c r="M21" s="3" t="s">
        <v>875</v>
      </c>
      <c r="N21" s="3"/>
      <c r="O21" s="3"/>
      <c r="P21" s="50">
        <v>1416852</v>
      </c>
      <c r="Q21" s="3"/>
      <c r="R21" s="3"/>
      <c r="S21" s="3"/>
      <c r="T21" s="25"/>
      <c r="W21" s="60" t="s">
        <v>876</v>
      </c>
      <c r="X21" s="69">
        <v>1</v>
      </c>
      <c r="Y21" s="69">
        <v>10</v>
      </c>
      <c r="Z21" s="65">
        <f>3/10</f>
        <v>0.3</v>
      </c>
      <c r="AA21" s="122">
        <v>101.8</v>
      </c>
      <c r="AB21" s="122">
        <v>104.7</v>
      </c>
      <c r="AC21" s="122">
        <f t="shared" si="4"/>
        <v>-2.9000000000000057</v>
      </c>
      <c r="AD21" s="122">
        <v>6.2</v>
      </c>
      <c r="AE21" s="122">
        <v>0.8</v>
      </c>
      <c r="AF21" s="65">
        <v>0.3</v>
      </c>
      <c r="AG21" s="122">
        <v>18.100000000000001</v>
      </c>
      <c r="AH21" s="122">
        <v>-0.1</v>
      </c>
      <c r="AI21" s="122">
        <v>0</v>
      </c>
      <c r="AJ21" s="65">
        <v>-0.11799999999999999</v>
      </c>
      <c r="AK21" s="122">
        <v>-9</v>
      </c>
      <c r="AL21" s="122">
        <v>-2.9</v>
      </c>
      <c r="AM21" s="122">
        <v>-0.1</v>
      </c>
      <c r="AN21" s="122">
        <v>1.1000000000000001</v>
      </c>
    </row>
    <row r="22" spans="1:40" x14ac:dyDescent="0.2">
      <c r="A22" s="3"/>
      <c r="B22" s="3"/>
      <c r="C22" s="3"/>
      <c r="D22" s="108"/>
      <c r="E22" s="108"/>
      <c r="F22" s="109"/>
      <c r="G22" s="4"/>
      <c r="H22" s="113"/>
      <c r="I22" s="3"/>
      <c r="J22" s="3"/>
      <c r="K22" s="112"/>
      <c r="L22" s="112"/>
      <c r="M22" s="3"/>
      <c r="N22" s="3"/>
      <c r="O22" s="3"/>
      <c r="P22" s="16"/>
      <c r="Q22" s="3"/>
      <c r="R22" s="3"/>
      <c r="S22" s="3"/>
      <c r="T22" s="25"/>
      <c r="X22" s="69"/>
      <c r="Y22" s="69"/>
      <c r="Z22" s="65"/>
      <c r="AA22" s="122"/>
      <c r="AB22" s="122"/>
      <c r="AC22" s="122"/>
      <c r="AD22" s="122"/>
      <c r="AE22" s="122"/>
      <c r="AF22" s="65"/>
      <c r="AG22" s="122"/>
      <c r="AH22" s="122"/>
      <c r="AI22" s="122"/>
      <c r="AJ22" s="65"/>
      <c r="AK22" s="122"/>
      <c r="AL22" s="122"/>
      <c r="AM22" s="122"/>
      <c r="AN22" s="122"/>
    </row>
    <row r="23" spans="1:40" x14ac:dyDescent="0.2">
      <c r="E23" s="62"/>
      <c r="F23" s="63"/>
      <c r="G23" s="62">
        <f ca="1">TODAY()</f>
        <v>44128</v>
      </c>
      <c r="H23" s="133">
        <f ca="1">AVERAGE(H2:H10)</f>
        <v>25.744444444444447</v>
      </c>
      <c r="J23" s="63">
        <f>AVERAGE(J2:J10)</f>
        <v>5.7777777777777777</v>
      </c>
      <c r="K23" s="58"/>
      <c r="L23" s="55"/>
      <c r="M23" s="22"/>
      <c r="N23" s="22"/>
      <c r="O23" s="58"/>
      <c r="P23" s="3"/>
      <c r="Q23" s="3"/>
      <c r="R23" s="3"/>
      <c r="S23" s="3"/>
      <c r="X23" s="69"/>
      <c r="Y23" s="69"/>
      <c r="Z23" s="65"/>
      <c r="AA23" s="122"/>
      <c r="AB23" s="122"/>
      <c r="AC23" s="122"/>
      <c r="AD23" s="122"/>
      <c r="AE23" s="122"/>
      <c r="AF23" s="65"/>
      <c r="AG23" s="122"/>
      <c r="AH23" s="122"/>
      <c r="AI23" s="122"/>
      <c r="AJ23" s="65"/>
      <c r="AK23" s="122"/>
      <c r="AL23" s="122"/>
      <c r="AM23" s="122"/>
      <c r="AN23" s="122"/>
    </row>
    <row r="24" spans="1:40" x14ac:dyDescent="0.2">
      <c r="B24" s="3"/>
      <c r="H24" s="133">
        <f ca="1">MEDIAN(H2:H10)</f>
        <v>24.3</v>
      </c>
      <c r="J24" s="36">
        <f>MEDIAN(J2:J10)</f>
        <v>4</v>
      </c>
      <c r="K24" s="120"/>
      <c r="L24" s="121"/>
      <c r="M24" s="3"/>
      <c r="N24" s="22"/>
      <c r="O24" s="78"/>
      <c r="P24" s="64"/>
      <c r="X24" s="69"/>
      <c r="Y24" s="69"/>
      <c r="Z24" s="65"/>
      <c r="AA24" s="122"/>
      <c r="AB24" s="122"/>
      <c r="AC24" s="122"/>
      <c r="AD24" s="122"/>
      <c r="AE24" s="122"/>
      <c r="AF24" s="65"/>
      <c r="AG24" s="122"/>
      <c r="AH24" s="122"/>
      <c r="AI24" s="122"/>
      <c r="AJ24" s="65"/>
      <c r="AK24" s="122"/>
      <c r="AL24" s="122"/>
      <c r="AM24" s="122"/>
      <c r="AN24" s="122"/>
    </row>
    <row r="25" spans="1:40" x14ac:dyDescent="0.2">
      <c r="B25" s="5" t="s">
        <v>2224</v>
      </c>
      <c r="H25" s="133"/>
      <c r="J25" s="36"/>
      <c r="K25" s="120"/>
      <c r="L25" s="121"/>
      <c r="M25" s="3"/>
      <c r="N25" s="22"/>
      <c r="O25" s="78"/>
      <c r="P25" s="64">
        <f>P2+P4+P12+P5+P6+744684</f>
        <v>59268952</v>
      </c>
      <c r="X25" s="69"/>
      <c r="Y25" s="69"/>
      <c r="Z25" s="65"/>
      <c r="AA25" s="122"/>
      <c r="AB25" s="122"/>
      <c r="AC25" s="122"/>
      <c r="AD25" s="122"/>
      <c r="AE25" s="122"/>
      <c r="AF25" s="65"/>
      <c r="AG25" s="122"/>
      <c r="AH25" s="122"/>
      <c r="AI25" s="122"/>
      <c r="AJ25" s="65"/>
      <c r="AK25" s="122"/>
      <c r="AL25" s="122"/>
      <c r="AM25" s="122"/>
      <c r="AN25" s="122"/>
    </row>
    <row r="26" spans="1:40" x14ac:dyDescent="0.2">
      <c r="B26" s="3" t="s">
        <v>2085</v>
      </c>
      <c r="C26" s="60">
        <v>4</v>
      </c>
      <c r="J26" s="36"/>
      <c r="K26" s="120"/>
      <c r="L26" s="121"/>
      <c r="M26" s="78"/>
      <c r="N26" s="78"/>
      <c r="O26" s="78"/>
      <c r="P26" s="160">
        <f>P2+P3+P4+P12+P5+P6+744684</f>
        <v>71447523</v>
      </c>
      <c r="R26" s="78"/>
      <c r="S26" s="78"/>
      <c r="T26" s="78"/>
      <c r="X26" s="69"/>
      <c r="Y26" s="69"/>
      <c r="Z26" s="65"/>
      <c r="AA26" s="122"/>
      <c r="AB26" s="122"/>
      <c r="AC26" s="122"/>
      <c r="AD26" s="122"/>
      <c r="AE26" s="122"/>
      <c r="AF26" s="65"/>
      <c r="AG26" s="122"/>
      <c r="AH26" s="122"/>
      <c r="AI26" s="122"/>
      <c r="AJ26" s="65"/>
      <c r="AK26" s="122"/>
      <c r="AL26" s="122"/>
      <c r="AM26" s="122"/>
      <c r="AN26" s="122"/>
    </row>
    <row r="27" spans="1:40" x14ac:dyDescent="0.2">
      <c r="B27" s="3" t="s">
        <v>2088</v>
      </c>
      <c r="C27" s="60">
        <v>5</v>
      </c>
      <c r="J27" s="4"/>
      <c r="K27" s="3"/>
      <c r="L27" s="121"/>
      <c r="M27" s="78"/>
      <c r="N27" s="78"/>
      <c r="O27" s="78"/>
      <c r="P27" s="124">
        <f>P2+P3+P4+P12+P5+P6+P7+P8+P9+P10</f>
        <v>77457218</v>
      </c>
      <c r="R27" s="78"/>
      <c r="S27" s="78"/>
      <c r="T27" s="78"/>
      <c r="X27" s="69"/>
      <c r="Y27" s="69"/>
      <c r="AA27" s="122"/>
      <c r="AB27" s="122"/>
      <c r="AC27" s="122"/>
      <c r="AD27" s="122"/>
      <c r="AE27" s="122"/>
      <c r="AF27" s="65"/>
      <c r="AG27" s="122"/>
      <c r="AH27" s="122"/>
      <c r="AI27" s="122"/>
      <c r="AJ27" s="65"/>
      <c r="AK27" s="122"/>
      <c r="AL27" s="122"/>
      <c r="AM27" s="122"/>
      <c r="AN27" s="122"/>
    </row>
    <row r="28" spans="1:40" x14ac:dyDescent="0.2">
      <c r="B28" s="3" t="s">
        <v>2086</v>
      </c>
      <c r="C28" s="60">
        <v>1</v>
      </c>
      <c r="J28" s="4"/>
      <c r="K28" s="3"/>
      <c r="L28" s="121"/>
      <c r="M28" s="78"/>
      <c r="N28" s="78"/>
      <c r="O28" s="78"/>
      <c r="P28" s="64"/>
      <c r="R28" s="78"/>
      <c r="S28" s="78"/>
      <c r="T28" s="78"/>
      <c r="X28" s="69"/>
      <c r="Y28" s="69"/>
      <c r="AA28" s="122"/>
      <c r="AB28" s="122"/>
      <c r="AC28" s="122"/>
      <c r="AD28" s="122"/>
      <c r="AE28" s="122"/>
      <c r="AF28" s="65"/>
      <c r="AG28" s="122"/>
      <c r="AH28" s="122"/>
      <c r="AI28" s="122"/>
      <c r="AJ28" s="65"/>
      <c r="AK28" s="122"/>
      <c r="AL28" s="122"/>
      <c r="AM28" s="122"/>
      <c r="AN28" s="122"/>
    </row>
    <row r="29" spans="1:40" x14ac:dyDescent="0.2">
      <c r="B29" s="3" t="s">
        <v>2219</v>
      </c>
      <c r="C29" s="154" t="s">
        <v>2376</v>
      </c>
      <c r="I29" s="154"/>
      <c r="J29" s="3"/>
      <c r="K29" s="58"/>
      <c r="L29" s="78"/>
      <c r="M29" s="78"/>
      <c r="N29" s="78"/>
      <c r="O29" s="3" t="s">
        <v>300</v>
      </c>
      <c r="P29" s="11">
        <v>109140000</v>
      </c>
      <c r="R29" s="78"/>
      <c r="S29" s="78"/>
      <c r="T29" s="78"/>
      <c r="AG29" s="122"/>
      <c r="AH29" s="122"/>
      <c r="AI29" s="122"/>
      <c r="AJ29" s="65"/>
      <c r="AK29" s="122"/>
      <c r="AL29" s="122"/>
      <c r="AM29" s="122"/>
      <c r="AN29" s="122"/>
    </row>
    <row r="30" spans="1:40" x14ac:dyDescent="0.2">
      <c r="B30" s="24" t="s">
        <v>301</v>
      </c>
      <c r="C30" s="61">
        <v>0</v>
      </c>
      <c r="J30" s="22"/>
      <c r="K30" s="58"/>
      <c r="L30" s="58"/>
      <c r="M30" s="78"/>
      <c r="N30" s="78"/>
      <c r="O30" s="22" t="s">
        <v>302</v>
      </c>
      <c r="P30" s="11">
        <v>132627000</v>
      </c>
      <c r="R30" s="78"/>
      <c r="S30" s="78"/>
      <c r="T30" s="78"/>
      <c r="AG30" s="122"/>
      <c r="AH30" s="122"/>
      <c r="AI30" s="122"/>
      <c r="AJ30" s="65"/>
      <c r="AK30" s="122"/>
      <c r="AL30" s="122"/>
      <c r="AM30" s="122"/>
      <c r="AN30" s="122"/>
    </row>
    <row r="31" spans="1:40" x14ac:dyDescent="0.2">
      <c r="B31" s="3" t="s">
        <v>303</v>
      </c>
      <c r="C31" s="61">
        <v>0</v>
      </c>
      <c r="J31" s="3"/>
      <c r="K31" s="58"/>
      <c r="L31" s="58"/>
      <c r="M31" s="78"/>
      <c r="N31" s="78"/>
      <c r="O31" s="3"/>
      <c r="P31" s="22"/>
      <c r="R31" s="78"/>
      <c r="S31" s="78"/>
      <c r="T31" s="78"/>
      <c r="AJ31" s="65"/>
    </row>
    <row r="32" spans="1:40" x14ac:dyDescent="0.2">
      <c r="J32" s="3"/>
      <c r="L32" s="22"/>
      <c r="N32" s="78"/>
      <c r="O32" s="3"/>
      <c r="P32" s="11"/>
      <c r="AJ32" s="65"/>
    </row>
    <row r="33" spans="2:36" x14ac:dyDescent="0.2">
      <c r="B33" s="71" t="s">
        <v>2084</v>
      </c>
      <c r="J33" s="3"/>
      <c r="L33" s="22"/>
      <c r="N33" s="78"/>
      <c r="O33" s="22"/>
      <c r="P33" s="11"/>
      <c r="AJ33" s="65"/>
    </row>
    <row r="34" spans="2:36" x14ac:dyDescent="0.2">
      <c r="B34" s="3" t="s">
        <v>304</v>
      </c>
      <c r="C34" s="41">
        <f>20/66</f>
        <v>0.30303030303030304</v>
      </c>
      <c r="D34" s="3" t="s">
        <v>617</v>
      </c>
      <c r="E34" s="3"/>
      <c r="J34" s="22"/>
      <c r="N34" s="78"/>
      <c r="O34" s="22"/>
      <c r="AJ34" s="65"/>
    </row>
    <row r="35" spans="2:36" x14ac:dyDescent="0.2">
      <c r="B35" s="3" t="s">
        <v>306</v>
      </c>
      <c r="C35" s="113">
        <v>108.8</v>
      </c>
      <c r="D35" s="3" t="s">
        <v>2250</v>
      </c>
      <c r="E35" s="3"/>
      <c r="N35" s="78"/>
      <c r="O35" s="78"/>
    </row>
    <row r="36" spans="2:36" x14ac:dyDescent="0.2">
      <c r="B36" s="3" t="s">
        <v>307</v>
      </c>
      <c r="C36" s="113">
        <v>112.3</v>
      </c>
      <c r="D36" s="3" t="s">
        <v>2230</v>
      </c>
      <c r="E36" s="3"/>
      <c r="N36" s="78"/>
      <c r="O36" s="78"/>
    </row>
    <row r="37" spans="2:36" x14ac:dyDescent="0.2">
      <c r="B37" s="3" t="s">
        <v>308</v>
      </c>
      <c r="C37" s="113">
        <f>C35-C36</f>
        <v>-3.5</v>
      </c>
      <c r="D37" s="3" t="s">
        <v>2245</v>
      </c>
      <c r="E37" s="3"/>
      <c r="N37" s="78"/>
      <c r="O37" s="78"/>
    </row>
    <row r="38" spans="2:36" x14ac:dyDescent="0.2">
      <c r="B38" s="3" t="s">
        <v>309</v>
      </c>
      <c r="C38" s="36">
        <v>97.86</v>
      </c>
      <c r="D38" s="3" t="s">
        <v>2171</v>
      </c>
      <c r="E38" s="3"/>
      <c r="N38" s="78"/>
      <c r="O38" s="78"/>
    </row>
    <row r="39" spans="2:36" x14ac:dyDescent="0.2">
      <c r="B39" s="3"/>
      <c r="C39" s="3"/>
      <c r="D39" s="3"/>
      <c r="E39" s="3"/>
    </row>
    <row r="40" spans="2:36" x14ac:dyDescent="0.2">
      <c r="B40" s="2" t="s">
        <v>310</v>
      </c>
      <c r="C40" s="3"/>
      <c r="D40" s="3"/>
      <c r="E40" s="3"/>
    </row>
    <row r="41" spans="2:36" x14ac:dyDescent="0.2">
      <c r="B41" s="2" t="s">
        <v>2254</v>
      </c>
      <c r="C41" s="3"/>
      <c r="D41" s="3"/>
      <c r="E41" s="3"/>
    </row>
    <row r="42" spans="2:36" x14ac:dyDescent="0.2">
      <c r="B42" s="2" t="s">
        <v>2255</v>
      </c>
      <c r="C42" s="3"/>
      <c r="D42" s="3"/>
      <c r="E42" s="3"/>
    </row>
    <row r="43" spans="2:36" x14ac:dyDescent="0.2">
      <c r="B43" s="2" t="s">
        <v>2256</v>
      </c>
      <c r="C43" s="3"/>
      <c r="D43" s="3"/>
      <c r="E43" s="3"/>
    </row>
    <row r="44" spans="2:36" x14ac:dyDescent="0.2">
      <c r="B44" s="10"/>
      <c r="C44" s="3"/>
      <c r="D44" s="3"/>
      <c r="E44" s="3"/>
    </row>
    <row r="45" spans="2:36" x14ac:dyDescent="0.2">
      <c r="B45" s="2" t="s">
        <v>318</v>
      </c>
      <c r="C45" s="3"/>
      <c r="D45" s="3"/>
      <c r="E45" s="3"/>
    </row>
    <row r="46" spans="2:36" x14ac:dyDescent="0.2">
      <c r="B46" s="2" t="s">
        <v>2251</v>
      </c>
      <c r="C46" s="3"/>
      <c r="D46" s="3"/>
      <c r="E46" s="3"/>
    </row>
    <row r="47" spans="2:36" x14ac:dyDescent="0.2">
      <c r="B47" s="2" t="s">
        <v>2252</v>
      </c>
      <c r="C47" s="3"/>
      <c r="D47" s="3"/>
      <c r="E47" s="3"/>
    </row>
    <row r="48" spans="2:36" x14ac:dyDescent="0.2">
      <c r="B48" s="2" t="s">
        <v>2253</v>
      </c>
      <c r="C48" s="3"/>
      <c r="D48" s="3"/>
      <c r="E48" s="3"/>
    </row>
    <row r="49" spans="2:10" x14ac:dyDescent="0.2">
      <c r="B49" s="2"/>
      <c r="C49" s="3"/>
      <c r="D49" s="3"/>
      <c r="E49" s="3"/>
    </row>
    <row r="50" spans="2:10" x14ac:dyDescent="0.2">
      <c r="B50" s="205" t="s">
        <v>2228</v>
      </c>
      <c r="C50" s="3"/>
      <c r="D50" s="3"/>
      <c r="E50" s="3"/>
    </row>
    <row r="51" spans="2:10" x14ac:dyDescent="0.2">
      <c r="B51" s="39" t="s">
        <v>322</v>
      </c>
      <c r="C51" s="3">
        <v>20</v>
      </c>
      <c r="D51" s="3">
        <v>46</v>
      </c>
      <c r="E51" s="3" t="s">
        <v>617</v>
      </c>
      <c r="G51" s="60" t="s">
        <v>878</v>
      </c>
      <c r="J51" s="148" t="s">
        <v>324</v>
      </c>
    </row>
    <row r="52" spans="2:10" x14ac:dyDescent="0.2">
      <c r="B52" s="39" t="s">
        <v>325</v>
      </c>
      <c r="C52" s="3">
        <v>41</v>
      </c>
      <c r="D52" s="3">
        <v>41</v>
      </c>
      <c r="E52" s="3" t="s">
        <v>340</v>
      </c>
      <c r="G52" s="60" t="s">
        <v>878</v>
      </c>
      <c r="J52" s="60" t="s">
        <v>879</v>
      </c>
    </row>
    <row r="53" spans="2:10" x14ac:dyDescent="0.2">
      <c r="B53" s="39" t="s">
        <v>327</v>
      </c>
      <c r="C53" s="3">
        <v>39</v>
      </c>
      <c r="D53" s="3">
        <v>43</v>
      </c>
      <c r="E53" s="3" t="s">
        <v>550</v>
      </c>
      <c r="G53" s="60" t="s">
        <v>880</v>
      </c>
      <c r="J53" s="148" t="s">
        <v>324</v>
      </c>
    </row>
    <row r="54" spans="2:10" x14ac:dyDescent="0.2">
      <c r="B54" s="39" t="s">
        <v>330</v>
      </c>
      <c r="C54" s="3">
        <v>37</v>
      </c>
      <c r="D54" s="3">
        <v>45</v>
      </c>
      <c r="E54" s="3" t="s">
        <v>549</v>
      </c>
      <c r="G54" s="60" t="s">
        <v>880</v>
      </c>
      <c r="J54" s="148" t="s">
        <v>324</v>
      </c>
    </row>
    <row r="55" spans="2:10" x14ac:dyDescent="0.2">
      <c r="B55" s="39" t="s">
        <v>333</v>
      </c>
      <c r="C55" s="3">
        <v>44</v>
      </c>
      <c r="D55" s="3">
        <v>38</v>
      </c>
      <c r="E55" s="3" t="s">
        <v>340</v>
      </c>
      <c r="G55" s="60" t="s">
        <v>880</v>
      </c>
      <c r="J55" s="60" t="s">
        <v>419</v>
      </c>
    </row>
    <row r="56" spans="2:10" x14ac:dyDescent="0.2">
      <c r="B56" s="39" t="s">
        <v>336</v>
      </c>
      <c r="C56" s="3">
        <v>32</v>
      </c>
      <c r="D56" s="3">
        <v>50</v>
      </c>
      <c r="E56" s="3" t="s">
        <v>326</v>
      </c>
      <c r="G56" s="60" t="s">
        <v>880</v>
      </c>
      <c r="J56" s="148" t="s">
        <v>324</v>
      </c>
    </row>
    <row r="57" spans="2:10" x14ac:dyDescent="0.2">
      <c r="B57" s="39" t="s">
        <v>339</v>
      </c>
      <c r="C57" s="3">
        <v>29</v>
      </c>
      <c r="D57" s="3">
        <v>53</v>
      </c>
      <c r="E57" s="3" t="s">
        <v>552</v>
      </c>
      <c r="G57" s="60" t="s">
        <v>881</v>
      </c>
      <c r="J57" s="148" t="s">
        <v>324</v>
      </c>
    </row>
    <row r="58" spans="2:10" x14ac:dyDescent="0.2">
      <c r="B58" s="39" t="s">
        <v>342</v>
      </c>
      <c r="C58" s="3">
        <v>29</v>
      </c>
      <c r="D58" s="3">
        <v>53</v>
      </c>
      <c r="E58" s="3" t="s">
        <v>552</v>
      </c>
      <c r="G58" s="60" t="s">
        <v>882</v>
      </c>
      <c r="J58" s="148" t="s">
        <v>324</v>
      </c>
    </row>
    <row r="59" spans="2:10" x14ac:dyDescent="0.2">
      <c r="B59" s="39" t="s">
        <v>346</v>
      </c>
      <c r="C59" s="3">
        <v>25</v>
      </c>
      <c r="D59" s="3">
        <v>41</v>
      </c>
      <c r="E59" s="41" t="s">
        <v>549</v>
      </c>
      <c r="G59" s="60" t="s">
        <v>882</v>
      </c>
      <c r="J59" s="148" t="s">
        <v>324</v>
      </c>
    </row>
    <row r="60" spans="2:10" x14ac:dyDescent="0.2">
      <c r="B60" s="39" t="s">
        <v>348</v>
      </c>
      <c r="C60" s="3">
        <v>30</v>
      </c>
      <c r="D60" s="3">
        <v>52</v>
      </c>
      <c r="E60" s="41" t="s">
        <v>552</v>
      </c>
      <c r="G60" s="60" t="s">
        <v>883</v>
      </c>
      <c r="J60" s="148" t="s">
        <v>324</v>
      </c>
    </row>
    <row r="61" spans="2:10" x14ac:dyDescent="0.2">
      <c r="B61" s="60" t="s">
        <v>350</v>
      </c>
      <c r="C61" s="60">
        <f>SUM(C51:C60)</f>
        <v>326</v>
      </c>
      <c r="D61" s="60">
        <f>SUM(D51:D60)</f>
        <v>462</v>
      </c>
      <c r="E61" s="65">
        <f>C61/(C61+D61)</f>
        <v>0.4137055837563452</v>
      </c>
    </row>
  </sheetData>
  <hyperlinks>
    <hyperlink ref="B51" r:id="rId1" xr:uid="{CAE0EE8F-AA61-EF47-B044-ED15AAD4572A}"/>
    <hyperlink ref="B52" r:id="rId2" xr:uid="{05863FC0-0CD0-AF4F-B3C4-78C697B0B041}"/>
    <hyperlink ref="B53" r:id="rId3" xr:uid="{7D595221-E8DE-7947-BA58-40C17FB2F642}"/>
    <hyperlink ref="B54" r:id="rId4" xr:uid="{DB912159-2494-4D49-A36F-BA270729EA73}"/>
    <hyperlink ref="B55" r:id="rId5" xr:uid="{A446FD62-034E-B745-9750-42E30E76492B}"/>
    <hyperlink ref="B56" r:id="rId6" xr:uid="{C6C36857-2B99-2949-A9E2-23F50631789F}"/>
    <hyperlink ref="B57" r:id="rId7" display="https://www.basketball-reference.com/teams/DET/2014.html" xr:uid="{821CB905-E912-E44E-8589-CDC47C224442}"/>
    <hyperlink ref="B58" r:id="rId8" xr:uid="{F319A316-3447-5947-A444-1BA8A8FAC067}"/>
    <hyperlink ref="B59" r:id="rId9" display="https://www.basketball-reference.com/teams/DET/2012.html" xr:uid="{89C29915-E766-7D4F-8E65-519E2F0E3B4D}"/>
    <hyperlink ref="B60" r:id="rId10" xr:uid="{F889F807-B985-174D-BC3E-FF9B25FBCCE0}"/>
  </hyperlinks>
  <pageMargins left="0.7" right="0.7" top="0.75" bottom="0.75" header="0.3" footer="0.3"/>
  <ignoredErrors>
    <ignoredError sqref="J26" formulaRange="1"/>
  </ignoredErrors>
  <legacyDrawing r:id="rId1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ATL</vt:lpstr>
      <vt:lpstr>BOS</vt:lpstr>
      <vt:lpstr>BKN</vt:lpstr>
      <vt:lpstr>CHA</vt:lpstr>
      <vt:lpstr>CHI</vt:lpstr>
      <vt:lpstr>CLE</vt:lpstr>
      <vt:lpstr>DAL</vt:lpstr>
      <vt:lpstr>DEN</vt:lpstr>
      <vt:lpstr>DET</vt:lpstr>
      <vt:lpstr>GSW</vt:lpstr>
      <vt:lpstr>HOU</vt:lpstr>
      <vt:lpstr>IND</vt:lpstr>
      <vt:lpstr>LAC</vt:lpstr>
      <vt:lpstr>LAL</vt:lpstr>
      <vt:lpstr>MEM</vt:lpstr>
      <vt:lpstr>MIA</vt:lpstr>
      <vt:lpstr>MIL</vt:lpstr>
      <vt:lpstr>MIN</vt:lpstr>
      <vt:lpstr>NOP</vt:lpstr>
      <vt:lpstr>NYK</vt:lpstr>
      <vt:lpstr>OKC</vt:lpstr>
      <vt:lpstr>ORL</vt:lpstr>
      <vt:lpstr>PHI</vt:lpstr>
      <vt:lpstr>PHX</vt:lpstr>
      <vt:lpstr>POR</vt:lpstr>
      <vt:lpstr>SAC</vt:lpstr>
      <vt:lpstr>SAS</vt:lpstr>
      <vt:lpstr>TOR</vt:lpstr>
      <vt:lpstr>UTA</vt:lpstr>
      <vt:lpstr>WSH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cp:revision/>
  <dcterms:created xsi:type="dcterms:W3CDTF">2020-05-10T00:33:44Z</dcterms:created>
  <dcterms:modified xsi:type="dcterms:W3CDTF">2020-10-24T23:15:23Z</dcterms:modified>
  <cp:category/>
  <cp:contentStatus/>
</cp:coreProperties>
</file>