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uddyscott/Desktop/"/>
    </mc:Choice>
  </mc:AlternateContent>
  <xr:revisionPtr revIDLastSave="0" documentId="13_ncr:1_{D0B397D3-C4E2-4D42-AD26-54CD9B443B56}" xr6:coauthVersionLast="45" xr6:coauthVersionMax="45" xr10:uidLastSave="{00000000-0000-0000-0000-000000000000}"/>
  <bookViews>
    <workbookView xWindow="780" yWindow="960" windowWidth="27640" windowHeight="16540" activeTab="2" xr2:uid="{D1CED620-F98F-994B-957A-C34A50B72B41}"/>
  </bookViews>
  <sheets>
    <sheet name="Sheet1" sheetId="1" r:id="rId1"/>
    <sheet name="Sheet2" sheetId="2" r:id="rId2"/>
    <sheet name="Sheet3" sheetId="3" r:id="rId3"/>
  </sheets>
  <externalReferences>
    <externalReference r:id="rId4"/>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5" i="3" l="1"/>
  <c r="H67" i="3" s="1"/>
  <c r="AC73" i="3"/>
  <c r="Z73" i="3"/>
  <c r="AC72" i="3"/>
  <c r="Z72" i="3"/>
  <c r="H70" i="3"/>
  <c r="AC69" i="3"/>
  <c r="Z69" i="3"/>
  <c r="AC68" i="3"/>
  <c r="Z68" i="3"/>
  <c r="AC67" i="3"/>
  <c r="Z67" i="3"/>
  <c r="AC66" i="3"/>
  <c r="Z66" i="3"/>
  <c r="H66" i="3"/>
  <c r="AC65" i="3"/>
  <c r="Z65" i="3"/>
  <c r="AC64" i="3"/>
  <c r="Z64" i="3"/>
  <c r="AC63" i="3"/>
  <c r="Z63" i="3"/>
  <c r="AC61" i="3"/>
  <c r="Z61" i="3"/>
  <c r="AC60" i="3"/>
  <c r="Z60" i="3"/>
  <c r="H60" i="3"/>
  <c r="AC59" i="3"/>
  <c r="Z59" i="3"/>
  <c r="AC58" i="3"/>
  <c r="Z58" i="3"/>
  <c r="Q58" i="3"/>
  <c r="AC57" i="3"/>
  <c r="Z57" i="3"/>
  <c r="Q57" i="3"/>
  <c r="AC56" i="3"/>
  <c r="Z56" i="3"/>
  <c r="AC55" i="3"/>
  <c r="Z55" i="3"/>
  <c r="AC54" i="3"/>
  <c r="Z54" i="3"/>
  <c r="H54" i="3"/>
  <c r="AC53" i="3"/>
  <c r="Z53" i="3"/>
  <c r="AC52" i="3"/>
  <c r="Z52" i="3"/>
  <c r="AC51" i="3"/>
  <c r="Z51" i="3"/>
  <c r="AC50" i="3"/>
  <c r="Z50" i="3"/>
  <c r="H50" i="3"/>
  <c r="AC49" i="3"/>
  <c r="Z49" i="3"/>
  <c r="AC48" i="3"/>
  <c r="Z48" i="3"/>
  <c r="AC47" i="3"/>
  <c r="Z47" i="3"/>
  <c r="AC46" i="3"/>
  <c r="Z46" i="3"/>
  <c r="H46" i="3"/>
  <c r="AC45" i="3"/>
  <c r="Z45" i="3"/>
  <c r="AC44" i="3"/>
  <c r="Z44" i="3"/>
  <c r="AC43" i="3"/>
  <c r="Z43" i="3"/>
  <c r="AC42" i="3"/>
  <c r="Z42" i="3"/>
  <c r="H42" i="3"/>
  <c r="AC41" i="3"/>
  <c r="Z41" i="3"/>
  <c r="AC40" i="3"/>
  <c r="Z40" i="3"/>
  <c r="AC39" i="3"/>
  <c r="Z39" i="3"/>
  <c r="AC38" i="3"/>
  <c r="Z38" i="3"/>
  <c r="H38" i="3"/>
  <c r="AC37" i="3"/>
  <c r="Z37" i="3"/>
  <c r="AC36" i="3"/>
  <c r="Z36" i="3"/>
  <c r="P36" i="3"/>
  <c r="AC35" i="3"/>
  <c r="Z35" i="3"/>
  <c r="AC33" i="3"/>
  <c r="Z33" i="3"/>
  <c r="AC32" i="3"/>
  <c r="Z32" i="3"/>
  <c r="AC31" i="3"/>
  <c r="Z31" i="3"/>
  <c r="H31" i="3"/>
  <c r="AC30" i="3"/>
  <c r="Z30" i="3"/>
  <c r="H30" i="3"/>
  <c r="AC29" i="3"/>
  <c r="Z29" i="3"/>
  <c r="H29" i="3"/>
  <c r="AC28" i="3"/>
  <c r="Z28" i="3"/>
  <c r="AC27" i="3"/>
  <c r="Z27" i="3"/>
  <c r="Q27" i="3"/>
  <c r="H26" i="3"/>
  <c r="H25" i="3"/>
  <c r="H24" i="3"/>
  <c r="AC23" i="3"/>
  <c r="Z23" i="3"/>
  <c r="H23" i="3"/>
  <c r="AC22" i="3"/>
  <c r="Z22" i="3"/>
  <c r="H22" i="3"/>
  <c r="AC21" i="3"/>
  <c r="Z21" i="3"/>
  <c r="AC20" i="3"/>
  <c r="Z20" i="3"/>
  <c r="H20" i="3"/>
  <c r="AC19" i="3"/>
  <c r="Z19" i="3"/>
  <c r="H19" i="3"/>
  <c r="AC18" i="3"/>
  <c r="Z18" i="3"/>
  <c r="Q18" i="3"/>
  <c r="H18" i="3"/>
  <c r="AC17" i="3"/>
  <c r="Z17" i="3"/>
  <c r="H17" i="3"/>
  <c r="AC16" i="3"/>
  <c r="Z16" i="3"/>
  <c r="AC15" i="3"/>
  <c r="Z15" i="3"/>
  <c r="H15" i="3"/>
  <c r="AC14" i="3"/>
  <c r="Z14" i="3"/>
  <c r="H14" i="3"/>
  <c r="AC13" i="3"/>
  <c r="Z13" i="3"/>
  <c r="H13" i="3"/>
  <c r="AC12" i="3"/>
  <c r="Z12" i="3"/>
  <c r="AC11" i="3"/>
  <c r="Z11" i="3"/>
  <c r="Q11" i="3"/>
  <c r="AC10" i="3"/>
  <c r="Z10" i="3"/>
  <c r="Q10" i="3"/>
  <c r="AC9" i="3"/>
  <c r="Z9" i="3"/>
  <c r="H9" i="3"/>
  <c r="AC8" i="3"/>
  <c r="Z8" i="3"/>
  <c r="H8" i="3"/>
  <c r="AC7" i="3"/>
  <c r="Z7" i="3"/>
  <c r="H7" i="3"/>
  <c r="AC6" i="3"/>
  <c r="Z6" i="3"/>
  <c r="H6" i="3"/>
  <c r="AC5" i="3"/>
  <c r="Z5" i="3"/>
  <c r="P5" i="3"/>
  <c r="H5" i="3"/>
  <c r="AC4" i="3"/>
  <c r="Z4" i="3"/>
  <c r="P4" i="3"/>
  <c r="H4" i="3"/>
  <c r="AC3" i="3"/>
  <c r="Z3" i="3"/>
  <c r="P3" i="3"/>
  <c r="H3" i="3"/>
  <c r="AC2" i="3"/>
  <c r="Z2" i="3"/>
  <c r="P2" i="3"/>
  <c r="H2" i="3"/>
  <c r="F101" i="2"/>
  <c r="G10" i="2" s="1"/>
  <c r="AB31" i="1"/>
  <c r="AA31" i="1"/>
  <c r="Z31" i="1"/>
  <c r="X31" i="1"/>
  <c r="W31" i="1"/>
  <c r="V31" i="1"/>
  <c r="T31" i="1"/>
  <c r="R31" i="1"/>
  <c r="Q31" i="1"/>
  <c r="P31" i="1"/>
  <c r="M31" i="1"/>
  <c r="L31" i="1"/>
  <c r="J31" i="1"/>
  <c r="H31" i="1"/>
  <c r="F31" i="1"/>
  <c r="D31" i="1"/>
  <c r="B31" i="1"/>
  <c r="AB30" i="1"/>
  <c r="AA30" i="1"/>
  <c r="Z30" i="1"/>
  <c r="X30" i="1"/>
  <c r="W30" i="1"/>
  <c r="V30" i="1"/>
  <c r="R30" i="1"/>
  <c r="T30" i="1" s="1"/>
  <c r="Q30" i="1"/>
  <c r="P30" i="1"/>
  <c r="M30" i="1"/>
  <c r="L30" i="1"/>
  <c r="J30" i="1"/>
  <c r="H30" i="1"/>
  <c r="F30" i="1"/>
  <c r="D30" i="1"/>
  <c r="B30" i="1"/>
  <c r="AB29" i="1"/>
  <c r="AA29" i="1"/>
  <c r="Z29" i="1"/>
  <c r="X29" i="1"/>
  <c r="W29" i="1"/>
  <c r="V29" i="1"/>
  <c r="T29" i="1"/>
  <c r="R29" i="1"/>
  <c r="Q29" i="1"/>
  <c r="P29" i="1"/>
  <c r="M29" i="1"/>
  <c r="L29" i="1"/>
  <c r="J29" i="1"/>
  <c r="H29" i="1"/>
  <c r="F29" i="1"/>
  <c r="D29" i="1"/>
  <c r="B29" i="1"/>
  <c r="AB28" i="1"/>
  <c r="AA28" i="1"/>
  <c r="Z28" i="1"/>
  <c r="X28" i="1"/>
  <c r="W28" i="1"/>
  <c r="V28" i="1"/>
  <c r="R28" i="1"/>
  <c r="T28" i="1" s="1"/>
  <c r="Q28" i="1"/>
  <c r="P28" i="1"/>
  <c r="M28" i="1"/>
  <c r="L28" i="1"/>
  <c r="J28" i="1"/>
  <c r="H28" i="1"/>
  <c r="F28" i="1"/>
  <c r="D28" i="1"/>
  <c r="B28" i="1"/>
  <c r="Z27" i="1"/>
  <c r="X27" i="1"/>
  <c r="W27" i="1"/>
  <c r="V27" i="1"/>
  <c r="T27" i="1"/>
  <c r="R27" i="1"/>
  <c r="Q27" i="1"/>
  <c r="P27" i="1"/>
  <c r="M27" i="1"/>
  <c r="L27" i="1"/>
  <c r="J27" i="1"/>
  <c r="H27" i="1"/>
  <c r="F27" i="1"/>
  <c r="D27" i="1"/>
  <c r="B27" i="1"/>
  <c r="AB26" i="1"/>
  <c r="AA26" i="1"/>
  <c r="Z26" i="1"/>
  <c r="X26" i="1"/>
  <c r="W26" i="1"/>
  <c r="V26" i="1"/>
  <c r="R26" i="1"/>
  <c r="T26" i="1" s="1"/>
  <c r="Q26" i="1"/>
  <c r="P26" i="1"/>
  <c r="M26" i="1"/>
  <c r="L26" i="1"/>
  <c r="J26" i="1"/>
  <c r="H26" i="1"/>
  <c r="F26" i="1"/>
  <c r="D26" i="1"/>
  <c r="B26" i="1"/>
  <c r="AB25" i="1"/>
  <c r="AA25" i="1"/>
  <c r="Z25" i="1"/>
  <c r="X25" i="1"/>
  <c r="W25" i="1"/>
  <c r="V25" i="1"/>
  <c r="R25" i="1"/>
  <c r="Q25" i="1"/>
  <c r="P25" i="1"/>
  <c r="M25" i="1"/>
  <c r="L25" i="1"/>
  <c r="J25" i="1"/>
  <c r="H25" i="1"/>
  <c r="F25" i="1"/>
  <c r="D25" i="1"/>
  <c r="B25" i="1"/>
  <c r="AB24" i="1"/>
  <c r="AA24" i="1"/>
  <c r="Z24" i="1"/>
  <c r="X24" i="1"/>
  <c r="W24" i="1"/>
  <c r="V24" i="1"/>
  <c r="T24" i="1"/>
  <c r="R24" i="1"/>
  <c r="Q24" i="1"/>
  <c r="P24" i="1"/>
  <c r="M24" i="1"/>
  <c r="L24" i="1"/>
  <c r="J24" i="1"/>
  <c r="H24" i="1"/>
  <c r="F24" i="1"/>
  <c r="D24" i="1"/>
  <c r="B24" i="1"/>
  <c r="AB23" i="1"/>
  <c r="AA23" i="1"/>
  <c r="Z23" i="1"/>
  <c r="X23" i="1"/>
  <c r="W23" i="1"/>
  <c r="V23" i="1"/>
  <c r="R23" i="1"/>
  <c r="T23" i="1" s="1"/>
  <c r="Q23" i="1"/>
  <c r="P23" i="1"/>
  <c r="M23" i="1"/>
  <c r="L23" i="1"/>
  <c r="J23" i="1"/>
  <c r="H23" i="1"/>
  <c r="F23" i="1"/>
  <c r="D23" i="1"/>
  <c r="B23" i="1"/>
  <c r="AB22" i="1"/>
  <c r="AA22" i="1"/>
  <c r="Z22" i="1"/>
  <c r="X22" i="1"/>
  <c r="W22" i="1"/>
  <c r="V22" i="1"/>
  <c r="T22" i="1"/>
  <c r="R22" i="1"/>
  <c r="Q22" i="1"/>
  <c r="P22" i="1"/>
  <c r="M22" i="1"/>
  <c r="L22" i="1"/>
  <c r="J22" i="1"/>
  <c r="H22" i="1"/>
  <c r="F22" i="1"/>
  <c r="D22" i="1"/>
  <c r="B22" i="1"/>
  <c r="AB21" i="1"/>
  <c r="AA21" i="1"/>
  <c r="Z21" i="1"/>
  <c r="X21" i="1"/>
  <c r="W21" i="1"/>
  <c r="V21" i="1"/>
  <c r="T21" i="1"/>
  <c r="S21" i="1"/>
  <c r="R21" i="1"/>
  <c r="Q21" i="1"/>
  <c r="P21" i="1"/>
  <c r="M21" i="1"/>
  <c r="L21" i="1"/>
  <c r="J21" i="1"/>
  <c r="H21" i="1"/>
  <c r="F21" i="1"/>
  <c r="D21" i="1"/>
  <c r="B21" i="1"/>
  <c r="AB20" i="1"/>
  <c r="AA20" i="1"/>
  <c r="Z20" i="1"/>
  <c r="X20" i="1"/>
  <c r="W20" i="1"/>
  <c r="V20" i="1"/>
  <c r="R20" i="1"/>
  <c r="T20" i="1" s="1"/>
  <c r="Q20" i="1"/>
  <c r="P20" i="1"/>
  <c r="M20" i="1"/>
  <c r="L20" i="1"/>
  <c r="J20" i="1"/>
  <c r="H20" i="1"/>
  <c r="F20" i="1"/>
  <c r="D20" i="1"/>
  <c r="B20" i="1"/>
  <c r="AB19" i="1"/>
  <c r="AA19" i="1"/>
  <c r="Z19" i="1"/>
  <c r="X19" i="1"/>
  <c r="W19" i="1"/>
  <c r="V19" i="1"/>
  <c r="T19" i="1"/>
  <c r="R19" i="1"/>
  <c r="Q19" i="1"/>
  <c r="P19" i="1"/>
  <c r="M19" i="1"/>
  <c r="L19" i="1"/>
  <c r="J19" i="1"/>
  <c r="H19" i="1"/>
  <c r="F19" i="1"/>
  <c r="D19" i="1"/>
  <c r="B19" i="1"/>
  <c r="AB18" i="1"/>
  <c r="AA18" i="1"/>
  <c r="Z18" i="1"/>
  <c r="X18" i="1"/>
  <c r="W18" i="1"/>
  <c r="V18" i="1"/>
  <c r="R18" i="1"/>
  <c r="T18" i="1" s="1"/>
  <c r="Q18" i="1"/>
  <c r="P18" i="1"/>
  <c r="M18" i="1"/>
  <c r="L18" i="1"/>
  <c r="J18" i="1"/>
  <c r="H18" i="1"/>
  <c r="F18" i="1"/>
  <c r="D18" i="1"/>
  <c r="B18" i="1"/>
  <c r="AB17" i="1"/>
  <c r="AA17" i="1"/>
  <c r="Z17" i="1"/>
  <c r="X17" i="1"/>
  <c r="W17" i="1"/>
  <c r="V17" i="1"/>
  <c r="R17" i="1"/>
  <c r="S17" i="1" s="1"/>
  <c r="Q17" i="1"/>
  <c r="P17" i="1"/>
  <c r="M17" i="1"/>
  <c r="L17" i="1"/>
  <c r="J17" i="1"/>
  <c r="H17" i="1"/>
  <c r="F17" i="1"/>
  <c r="D17" i="1"/>
  <c r="B17" i="1"/>
  <c r="AB16" i="1"/>
  <c r="AA16" i="1"/>
  <c r="Z16" i="1"/>
  <c r="X16" i="1"/>
  <c r="W16" i="1"/>
  <c r="V16" i="1"/>
  <c r="T16" i="1"/>
  <c r="R16" i="1"/>
  <c r="Q16" i="1"/>
  <c r="P16" i="1"/>
  <c r="M16" i="1"/>
  <c r="L16" i="1"/>
  <c r="J16" i="1"/>
  <c r="H16" i="1"/>
  <c r="F16" i="1"/>
  <c r="D16" i="1"/>
  <c r="B16" i="1"/>
  <c r="AB15" i="1"/>
  <c r="AA15" i="1"/>
  <c r="Z15" i="1"/>
  <c r="X15" i="1"/>
  <c r="W15" i="1"/>
  <c r="V15" i="1"/>
  <c r="R15" i="1"/>
  <c r="T15" i="1" s="1"/>
  <c r="Q15" i="1"/>
  <c r="P15" i="1"/>
  <c r="M15" i="1"/>
  <c r="L15" i="1"/>
  <c r="J15" i="1"/>
  <c r="H15" i="1"/>
  <c r="F15" i="1"/>
  <c r="D15" i="1"/>
  <c r="B15" i="1"/>
  <c r="AB14" i="1"/>
  <c r="AA14" i="1"/>
  <c r="Z14" i="1"/>
  <c r="X14" i="1"/>
  <c r="W14" i="1"/>
  <c r="V14" i="1"/>
  <c r="T14" i="1"/>
  <c r="R14" i="1"/>
  <c r="Q14" i="1"/>
  <c r="P14" i="1"/>
  <c r="M14" i="1"/>
  <c r="L14" i="1"/>
  <c r="J14" i="1"/>
  <c r="H14" i="1"/>
  <c r="F14" i="1"/>
  <c r="D14" i="1"/>
  <c r="B14" i="1"/>
  <c r="AB13" i="1"/>
  <c r="AA13" i="1"/>
  <c r="Z13" i="1"/>
  <c r="X13" i="1"/>
  <c r="W13" i="1"/>
  <c r="V13" i="1"/>
  <c r="R13" i="1"/>
  <c r="T13" i="1" s="1"/>
  <c r="Q13" i="1"/>
  <c r="P13" i="1"/>
  <c r="M13" i="1"/>
  <c r="L13" i="1"/>
  <c r="J13" i="1"/>
  <c r="H13" i="1"/>
  <c r="F13" i="1"/>
  <c r="D13" i="1"/>
  <c r="B13" i="1"/>
  <c r="AB12" i="1"/>
  <c r="AA12" i="1"/>
  <c r="Z12" i="1"/>
  <c r="X12" i="1"/>
  <c r="W12" i="1"/>
  <c r="V12" i="1"/>
  <c r="T12" i="1"/>
  <c r="R12" i="1"/>
  <c r="Q12" i="1"/>
  <c r="P12" i="1"/>
  <c r="M12" i="1"/>
  <c r="L12" i="1"/>
  <c r="J12" i="1"/>
  <c r="H12" i="1"/>
  <c r="F12" i="1"/>
  <c r="D12" i="1"/>
  <c r="B12" i="1"/>
  <c r="AB11" i="1"/>
  <c r="AA11" i="1"/>
  <c r="Z11" i="1"/>
  <c r="X11" i="1"/>
  <c r="W11" i="1"/>
  <c r="V11" i="1"/>
  <c r="R11" i="1"/>
  <c r="T11" i="1" s="1"/>
  <c r="Q11" i="1"/>
  <c r="P11" i="1"/>
  <c r="M11" i="1"/>
  <c r="L11" i="1"/>
  <c r="J11" i="1"/>
  <c r="H11" i="1"/>
  <c r="F11" i="1"/>
  <c r="D11" i="1"/>
  <c r="B11" i="1"/>
  <c r="AB10" i="1"/>
  <c r="AA10" i="1"/>
  <c r="Z10" i="1"/>
  <c r="X10" i="1"/>
  <c r="W10" i="1"/>
  <c r="V10" i="1"/>
  <c r="T10" i="1"/>
  <c r="R10" i="1"/>
  <c r="S10" i="1" s="1"/>
  <c r="Q10" i="1"/>
  <c r="P10" i="1"/>
  <c r="M10" i="1"/>
  <c r="L10" i="1"/>
  <c r="J10" i="1"/>
  <c r="H10" i="1"/>
  <c r="F10" i="1"/>
  <c r="D10" i="1"/>
  <c r="B10" i="1"/>
  <c r="AB9" i="1"/>
  <c r="AA9" i="1"/>
  <c r="Z9" i="1"/>
  <c r="X9" i="1"/>
  <c r="W9" i="1"/>
  <c r="V9" i="1"/>
  <c r="T9" i="1"/>
  <c r="R9" i="1"/>
  <c r="Q9" i="1"/>
  <c r="P9" i="1"/>
  <c r="M9" i="1"/>
  <c r="L9" i="1"/>
  <c r="J9" i="1"/>
  <c r="H9" i="1"/>
  <c r="F9" i="1"/>
  <c r="D9" i="1"/>
  <c r="B9" i="1"/>
  <c r="AB8" i="1"/>
  <c r="AA8" i="1"/>
  <c r="Z8" i="1"/>
  <c r="X8" i="1"/>
  <c r="W8" i="1"/>
  <c r="V8" i="1"/>
  <c r="R8" i="1"/>
  <c r="T8" i="1" s="1"/>
  <c r="Q8" i="1"/>
  <c r="P8" i="1"/>
  <c r="M8" i="1"/>
  <c r="L8" i="1"/>
  <c r="J8" i="1"/>
  <c r="H8" i="1"/>
  <c r="F8" i="1"/>
  <c r="D8" i="1"/>
  <c r="B8" i="1"/>
  <c r="AB7" i="1"/>
  <c r="AA7" i="1"/>
  <c r="Z7" i="1"/>
  <c r="X7" i="1"/>
  <c r="W7" i="1"/>
  <c r="V7" i="1"/>
  <c r="T7" i="1"/>
  <c r="R7" i="1"/>
  <c r="Q7" i="1"/>
  <c r="P7" i="1"/>
  <c r="M7" i="1"/>
  <c r="L7" i="1"/>
  <c r="J7" i="1"/>
  <c r="H7" i="1"/>
  <c r="F7" i="1"/>
  <c r="D7" i="1"/>
  <c r="B7" i="1"/>
  <c r="AB6" i="1"/>
  <c r="AA6" i="1"/>
  <c r="Z6" i="1"/>
  <c r="X6" i="1"/>
  <c r="W6" i="1"/>
  <c r="V6" i="1"/>
  <c r="R6" i="1"/>
  <c r="T6" i="1" s="1"/>
  <c r="Q6" i="1"/>
  <c r="P6" i="1"/>
  <c r="M6" i="1"/>
  <c r="L6" i="1"/>
  <c r="J6" i="1"/>
  <c r="H6" i="1"/>
  <c r="F6" i="1"/>
  <c r="D6" i="1"/>
  <c r="B6" i="1"/>
  <c r="AB5" i="1"/>
  <c r="AA5" i="1"/>
  <c r="Z5" i="1"/>
  <c r="X5" i="1"/>
  <c r="W5" i="1"/>
  <c r="V5" i="1"/>
  <c r="T5" i="1"/>
  <c r="R5" i="1"/>
  <c r="S5" i="1" s="1"/>
  <c r="Q5" i="1"/>
  <c r="P5" i="1"/>
  <c r="M5" i="1"/>
  <c r="L5" i="1"/>
  <c r="J5" i="1"/>
  <c r="H5" i="1"/>
  <c r="F5" i="1"/>
  <c r="D5" i="1"/>
  <c r="B5" i="1"/>
  <c r="AB4" i="1"/>
  <c r="AA4" i="1"/>
  <c r="Z4" i="1"/>
  <c r="X4" i="1"/>
  <c r="W4" i="1"/>
  <c r="V4" i="1"/>
  <c r="T4" i="1"/>
  <c r="R4" i="1"/>
  <c r="Q4" i="1"/>
  <c r="P4" i="1"/>
  <c r="M4" i="1"/>
  <c r="L4" i="1"/>
  <c r="J4" i="1"/>
  <c r="H4" i="1"/>
  <c r="F4" i="1"/>
  <c r="D4" i="1"/>
  <c r="B4" i="1"/>
  <c r="AB3" i="1"/>
  <c r="AA3" i="1"/>
  <c r="Z3" i="1"/>
  <c r="X3" i="1"/>
  <c r="Y17" i="1" s="1"/>
  <c r="W3" i="1"/>
  <c r="V3" i="1"/>
  <c r="R3" i="1"/>
  <c r="T3" i="1" s="1"/>
  <c r="Q3" i="1"/>
  <c r="P3" i="1"/>
  <c r="M3" i="1"/>
  <c r="L3" i="1"/>
  <c r="J3" i="1"/>
  <c r="H3" i="1"/>
  <c r="F3" i="1"/>
  <c r="G3" i="1" s="1"/>
  <c r="D3" i="1"/>
  <c r="E3" i="1" s="1"/>
  <c r="B3" i="1"/>
  <c r="AB2" i="1"/>
  <c r="AA2" i="1"/>
  <c r="Z2" i="1"/>
  <c r="X2" i="1"/>
  <c r="W2" i="1"/>
  <c r="V2" i="1"/>
  <c r="T2" i="1"/>
  <c r="R2" i="1"/>
  <c r="S2" i="1" s="1"/>
  <c r="Q2" i="1"/>
  <c r="P2" i="1"/>
  <c r="M2" i="1"/>
  <c r="L2" i="1"/>
  <c r="J2" i="1"/>
  <c r="K24" i="1" s="1"/>
  <c r="H2" i="1"/>
  <c r="I19" i="1" s="1"/>
  <c r="F2" i="1"/>
  <c r="G22" i="1" s="1"/>
  <c r="D2" i="1"/>
  <c r="E24" i="1" s="1"/>
  <c r="B2" i="1"/>
  <c r="C24" i="1" s="1"/>
  <c r="H34" i="3" l="1"/>
  <c r="H36" i="3"/>
  <c r="H37" i="3"/>
  <c r="H41" i="3"/>
  <c r="H45" i="3"/>
  <c r="H49" i="3"/>
  <c r="H53" i="3"/>
  <c r="H57" i="3"/>
  <c r="H58" i="3"/>
  <c r="H59" i="3"/>
  <c r="H65" i="3"/>
  <c r="H69" i="3"/>
  <c r="H71" i="3"/>
  <c r="H73" i="3"/>
  <c r="H33" i="3"/>
  <c r="H35" i="3"/>
  <c r="H40" i="3"/>
  <c r="H44" i="3"/>
  <c r="H48" i="3"/>
  <c r="H52" i="3"/>
  <c r="H56" i="3"/>
  <c r="H62" i="3"/>
  <c r="H64" i="3"/>
  <c r="H68" i="3"/>
  <c r="H72" i="3"/>
  <c r="H10" i="3"/>
  <c r="H11" i="3"/>
  <c r="H12" i="3"/>
  <c r="H16" i="3"/>
  <c r="H21" i="3"/>
  <c r="H27" i="3"/>
  <c r="H28" i="3"/>
  <c r="H32" i="3"/>
  <c r="H39" i="3"/>
  <c r="H43" i="3"/>
  <c r="H47" i="3"/>
  <c r="H51" i="3"/>
  <c r="H55" i="3"/>
  <c r="H61" i="3"/>
  <c r="H63" i="3"/>
  <c r="G7" i="2"/>
  <c r="G8" i="2"/>
  <c r="G5" i="2"/>
  <c r="G9" i="2"/>
  <c r="G3" i="2"/>
  <c r="G4" i="2"/>
  <c r="G2" i="2"/>
  <c r="G6" i="2"/>
  <c r="C5" i="1"/>
  <c r="K5" i="1"/>
  <c r="E6" i="1"/>
  <c r="Y6" i="1"/>
  <c r="Y7" i="1"/>
  <c r="C8" i="1"/>
  <c r="K8" i="1"/>
  <c r="E9" i="1"/>
  <c r="I9" i="1"/>
  <c r="I10" i="1"/>
  <c r="Y10" i="1"/>
  <c r="C11" i="1"/>
  <c r="K11" i="1"/>
  <c r="E12" i="1"/>
  <c r="I12" i="1"/>
  <c r="I13" i="1"/>
  <c r="G15" i="1"/>
  <c r="C16" i="1"/>
  <c r="G16" i="1"/>
  <c r="K16" i="1"/>
  <c r="E17" i="1"/>
  <c r="G18" i="1"/>
  <c r="C19" i="1"/>
  <c r="G19" i="1"/>
  <c r="K19" i="1"/>
  <c r="E20" i="1"/>
  <c r="Y20" i="1"/>
  <c r="Y21" i="1"/>
  <c r="Y22" i="1"/>
  <c r="C23" i="1"/>
  <c r="K23" i="1"/>
  <c r="I24" i="1"/>
  <c r="I25" i="1"/>
  <c r="G26" i="1"/>
  <c r="Y27" i="1"/>
  <c r="G28" i="1"/>
  <c r="E30" i="1"/>
  <c r="Y31" i="1"/>
  <c r="E31" i="1"/>
  <c r="E2" i="1"/>
  <c r="E29" i="1"/>
  <c r="E27" i="1"/>
  <c r="E5" i="1"/>
  <c r="C7" i="1"/>
  <c r="G7" i="1"/>
  <c r="K7" i="1"/>
  <c r="E8" i="1"/>
  <c r="Y8" i="1"/>
  <c r="Y9" i="1"/>
  <c r="C10" i="1"/>
  <c r="K10" i="1"/>
  <c r="E11" i="1"/>
  <c r="Y11" i="1"/>
  <c r="Y12" i="1"/>
  <c r="C13" i="1"/>
  <c r="K13" i="1"/>
  <c r="E14" i="1"/>
  <c r="I14" i="1"/>
  <c r="I15" i="1"/>
  <c r="G17" i="1"/>
  <c r="I18" i="1"/>
  <c r="G20" i="1"/>
  <c r="C21" i="1"/>
  <c r="G21" i="1"/>
  <c r="K21" i="1"/>
  <c r="C22" i="1"/>
  <c r="K22" i="1"/>
  <c r="E23" i="1"/>
  <c r="Y23" i="1"/>
  <c r="Y24" i="1"/>
  <c r="C25" i="1"/>
  <c r="K25" i="1"/>
  <c r="I26" i="1"/>
  <c r="K27" i="1"/>
  <c r="I28" i="1"/>
  <c r="G30" i="1"/>
  <c r="K4" i="1"/>
  <c r="G2" i="1"/>
  <c r="G29" i="1"/>
  <c r="G31" i="1"/>
  <c r="I3" i="1"/>
  <c r="G5" i="1"/>
  <c r="I6" i="1"/>
  <c r="G8" i="1"/>
  <c r="C9" i="1"/>
  <c r="G9" i="1"/>
  <c r="K9" i="1"/>
  <c r="E10" i="1"/>
  <c r="G11" i="1"/>
  <c r="C12" i="1"/>
  <c r="G12" i="1"/>
  <c r="K12" i="1"/>
  <c r="E13" i="1"/>
  <c r="Y13" i="1"/>
  <c r="Y14" i="1"/>
  <c r="C15" i="1"/>
  <c r="K15" i="1"/>
  <c r="E16" i="1"/>
  <c r="I16" i="1"/>
  <c r="I17" i="1"/>
  <c r="T17" i="1"/>
  <c r="C18" i="1"/>
  <c r="K18" i="1"/>
  <c r="E19" i="1"/>
  <c r="I20" i="1"/>
  <c r="G23" i="1"/>
  <c r="G24" i="1"/>
  <c r="E25" i="1"/>
  <c r="C26" i="1"/>
  <c r="K26" i="1"/>
  <c r="Y26" i="1"/>
  <c r="G27" i="1"/>
  <c r="C28" i="1"/>
  <c r="K28" i="1"/>
  <c r="Y28" i="1"/>
  <c r="I30" i="1"/>
  <c r="C2" i="1"/>
  <c r="C29" i="1"/>
  <c r="C31" i="1"/>
  <c r="K2" i="1"/>
  <c r="K29" i="1"/>
  <c r="K31" i="1"/>
  <c r="Y29" i="1"/>
  <c r="Y3" i="1"/>
  <c r="Y25" i="1"/>
  <c r="Y4" i="1"/>
  <c r="C4" i="1"/>
  <c r="G4" i="1"/>
  <c r="G6" i="1"/>
  <c r="I31" i="1"/>
  <c r="I2" i="1"/>
  <c r="I29" i="1"/>
  <c r="I27" i="1"/>
  <c r="Y2" i="1"/>
  <c r="C3" i="1"/>
  <c r="K3" i="1"/>
  <c r="E4" i="1"/>
  <c r="I4" i="1"/>
  <c r="I5" i="1"/>
  <c r="Y5" i="1"/>
  <c r="C6" i="1"/>
  <c r="K6" i="1"/>
  <c r="E7" i="1"/>
  <c r="I7" i="1"/>
  <c r="I8" i="1"/>
  <c r="G10" i="1"/>
  <c r="I11" i="1"/>
  <c r="G13" i="1"/>
  <c r="C14" i="1"/>
  <c r="G14" i="1"/>
  <c r="K14" i="1"/>
  <c r="E15" i="1"/>
  <c r="Y15" i="1"/>
  <c r="Y16" i="1"/>
  <c r="C17" i="1"/>
  <c r="K17" i="1"/>
  <c r="E18" i="1"/>
  <c r="Y18" i="1"/>
  <c r="Y19" i="1"/>
  <c r="C20" i="1"/>
  <c r="K20" i="1"/>
  <c r="E21" i="1"/>
  <c r="I21" i="1"/>
  <c r="E22" i="1"/>
  <c r="I22" i="1"/>
  <c r="I23" i="1"/>
  <c r="G25" i="1"/>
  <c r="S25" i="1"/>
  <c r="T25" i="1"/>
  <c r="E26" i="1"/>
  <c r="C27" i="1"/>
  <c r="E28" i="1"/>
  <c r="C30" i="1"/>
  <c r="K30" i="1"/>
  <c r="Y30" i="1"/>
  <c r="O6" i="1" l="1"/>
  <c r="N6" i="1"/>
  <c r="O13" i="1" l="1"/>
  <c r="N13" i="1"/>
  <c r="O12" i="1"/>
  <c r="N12" i="1"/>
  <c r="O31" i="1" l="1"/>
  <c r="N31" i="1"/>
  <c r="N14" i="1"/>
  <c r="O26" i="1" l="1"/>
  <c r="O19" i="1"/>
  <c r="N23" i="1"/>
  <c r="O20" i="1"/>
  <c r="N25" i="1"/>
  <c r="N28" i="1"/>
  <c r="O11" i="1"/>
  <c r="N27" i="1"/>
  <c r="N11" i="1"/>
  <c r="N26" i="1"/>
  <c r="O9" i="1"/>
  <c r="O14" i="1"/>
  <c r="O15" i="1"/>
  <c r="N19" i="1"/>
  <c r="O23" i="1"/>
  <c r="N20" i="1"/>
  <c r="O25" i="1"/>
  <c r="O27" i="1"/>
  <c r="O8" i="1"/>
  <c r="N15" i="1"/>
  <c r="N22" i="1"/>
  <c r="O28" i="1"/>
  <c r="N9" i="1"/>
  <c r="O10" i="1"/>
  <c r="O24" i="1"/>
  <c r="N17" i="1"/>
  <c r="N30" i="1"/>
  <c r="N18" i="1"/>
  <c r="O21" i="1"/>
  <c r="N29" i="1"/>
  <c r="O22" i="1"/>
  <c r="N8" i="1"/>
  <c r="N10" i="1"/>
  <c r="N24" i="1"/>
  <c r="O17" i="1"/>
  <c r="O30" i="1"/>
  <c r="O18" i="1"/>
  <c r="N21" i="1"/>
  <c r="O29" i="1"/>
  <c r="N4" i="1" l="1"/>
  <c r="O7" i="1"/>
  <c r="O3" i="1"/>
  <c r="N7" i="1"/>
  <c r="O5" i="1"/>
  <c r="N2" i="1"/>
  <c r="O2" i="1"/>
  <c r="N5" i="1"/>
  <c r="N3" i="1"/>
  <c r="O4" i="1"/>
  <c r="O16" i="1" l="1"/>
  <c r="N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tc={5921E21D-9019-5E45-B20C-04DE2347B5A7}</author>
    <author>tc={31144DD7-EF0B-174A-92DF-C0D54B9FAE23}</author>
    <author>tc={4FD98334-8896-C64D-B4E3-14B8E4D847B5}</author>
    <author>tc={7F88D13D-1847-F141-9842-4D8E4C36608C}</author>
    <author>tc={606097E3-7B7F-414D-9E13-C58425B048A6}</author>
    <author>tc={B21012C2-2743-7E4E-BE3E-87CD3E701EF3}</author>
    <author>tc={9188F89C-EAE7-2D4F-AB5C-89FA79F1F448}</author>
    <author>tc={35229364-D2F3-CB43-A7C5-E4DC4942D257}</author>
    <author>tc={B9C588C1-8E88-3548-BC6D-8495B1A368C1}</author>
    <author>tc={B8E96932-DEA0-D74D-9123-9AAA89FF7400}</author>
    <author>tc={C36A344A-D38F-CE47-BCD6-F95A8C204A94}</author>
    <author>tc={25C264E2-7809-664E-A141-1C2361E5BD62}</author>
    <author>tc={839CE5F7-062F-C54D-917A-84600FB0F5B4}</author>
    <author>tc={C64943DC-06B5-D047-94E0-F826BB641FE7}</author>
    <author>tc={A4E9DEEB-E8AF-F24C-AF8D-719C25F64452}</author>
    <author>tc={C71BF933-0D19-5749-90C6-C7C31B54C1BB}</author>
    <author>tc={4B23ECCD-06EB-334B-8D6E-2A31F7344C50}</author>
    <author>tc={BAF8A100-5994-C543-996B-A140CA5F83BD}</author>
    <author>tc={009D27FC-D8EF-4641-83F5-10565697C39E}</author>
    <author>tc={494C84DF-5474-4A4C-9572-2204D84024FD}</author>
    <author>tc={884B0623-2800-324A-8BD9-2E2485CCAAFC}</author>
    <author>tc={E91DB447-6A43-8448-A42A-B2C368387138}</author>
    <author>tc={1FBD8DAC-2318-8243-ABE4-815A0F0C0FE9}</author>
    <author>tc={CF8AD44B-61A1-6C4B-B6B6-086836CD37FD}</author>
    <author>tc={9BCEB4F6-B9CA-0745-BC32-B8E825EF50E5}</author>
    <author>tc={FD4FC2B2-5595-FC44-8065-EB31AEF9961B}</author>
    <author>tc={E98CE10B-0241-B344-B31B-5E7D28A242C2}</author>
    <author>tc={4CCD2359-63ED-9E48-B78D-3F4EBC5CEDB4}</author>
    <author>tc={803EFCEE-CB11-5A4C-AC30-7A05BEE3A522}</author>
    <author>tc={A44685EA-FF56-ED49-AFF3-AD9BB0947762}</author>
  </authors>
  <commentList>
    <comment ref="R2" authorId="0" shapeId="0" xr:uid="{5921E21D-9019-5E45-B20C-04DE2347B5A7}">
      <text>
        <t>[Threaded comment]
Your version of Excel allows you to read this threaded comment; however, any edits to it will get removed if the file is opened in a newer version of Excel. Learn more: https://go.microsoft.com/fwlink/?linkid=870924
Comment:
    8 players: Clint Capela / Dewayne Dedmon / DeAndre Hunter / Trae Young / Cam Reddish / John Collins / Kevin Huerter / Bruno Fernando
2020 1st (#6)
2020 MIA 2nd (#50)
Jeff Teague (Bird UFA)
DeAndre Bembry (Bird RFA if QO)
Skal Labissiere (Bird RFA if QO)
Damian Jones (Bird RFA if QO)
Treveon Graham (Early Bird UFA)
Brandon Goodwin (NG, Non Bird RFA if QO)
Charlie Brown Jr. (2W RFA)</t>
      </text>
    </comment>
    <comment ref="R3" authorId="1" shapeId="0" xr:uid="{31144DD7-EF0B-174A-92DF-C0D54B9FAE23}">
      <text>
        <t>[Threaded comment]
Your version of Excel allows you to read this threaded comment; however, any edits to it will get removed if the file is opened in a newer version of Excel. Learn more: https://go.microsoft.com/fwlink/?linkid=870924
Comment:
    13 players: Kemba Walker / Gordon Hayward (PO) / Jaylen Brown / Marcus Smart / Jayson Tatum / Enes Kanter (PO) / Daniel Theis (NG) / Romeo Langford / Vincent Poirier / Grant Williams / Robert Williams / Semi Ojeleye (TO) / Carsen Edwards
2020 MEM 1st (#14)
2020 1st (#26)
2020 MIL 1st (#30)
2020 BKN 2nd (#47)
Brad Wanamaker (EB RFA)
Javonte Green (NB RFA)
Tremont Waters (2W RFA)
Tacko Fall (2W RFA)</t>
      </text>
    </comment>
    <comment ref="R4" authorId="2" shapeId="0" xr:uid="{4FD98334-8896-C64D-B4E3-14B8E4D847B5}">
      <text>
        <t>[Threaded comment]
Your version of Excel allows you to read this threaded comment; however, any edits to it will get removed if the file is opened in a newer version of Excel. Learn more: https://go.microsoft.com/fwlink/?linkid=870924
Comment:
    13 players: Kevin Durant / Kyrie Irving / Caris LeVert / Taurean Prince / Spencer Dinwiddie / DeAndre Jordan / Garrett Temple (TO) / Jarrett Allen / Dzanan Musa / Timothe Luwawu-Cabarrot (NG) / Rodions Kurucs / Nic Claxton / Jeremiah Martin
2020 PHI 1st (#19)
2020 DEN 2nd (#55)
Joe Harris (Bird UFA)
Wilson Chandler (NB UFA)
Tyler Johnson
Justin Anderson
Donta Hall
Lance Thomas
Jamal Crawford
Chris Chiozza (2W RFA)</t>
      </text>
    </comment>
    <comment ref="R5" authorId="3" shapeId="0" xr:uid="{7F88D13D-1847-F141-9842-4D8E4C36608C}">
      <text>
        <t>[Threaded comment]
Your version of Excel allows you to read this threaded comment; however, any edits to it will get removed if the file is opened in a newer version of Excel. Learn more: https://go.microsoft.com/fwlink/?linkid=870924
Comment:
    11 players: Nic Batum (PO) / Terry Rozier / Cody Zeller / Malik Monk / PJ Washington / Miles Bridges / Devonte Graham (NG) / Cody Martin / Caleb Martin (NG) / Jalen McDaniels (NG) / Ray Spalding (2W)
2020 1st (#3)
2020 CLE 2nd (#32)
2020 BOS 2nd (#56)
Bismack Biyombo (Bird)
Willy Hernangomez (Bird)
Dwayne Bacon (Bird RFA if QO)
Kobi Simmons (2W RFA)</t>
      </text>
    </comment>
    <comment ref="R6" authorId="4" shapeId="0" xr:uid="{606097E3-7B7F-414D-9E13-C58425B048A6}">
      <text>
        <t>[Threaded comment]
Your version of Excel allows you to read this threaded comment; however, any edits to it will get removed if the file is opened in a newer version of Excel. Learn more: https://go.microsoft.com/fwlink/?linkid=870924
Comment:
    12 players: Otto Porter Jr (PO) / Zach LaVine / Thaddeus Young / Tomas Satoransky / Cristiano Felicio / Lauri Markkanen / Coby White / Wendell Carter Jr / Ryan Arcidiacano / Chandler Hutchinson / Luke Kornet / Daniel Gafford
2020 1st (#4)
2020 MEM 2nd (#44)
Kris Dunn (Bird RFA if QO)
Denzel Valentine (Bird RFA if QO)
Shaquille Harrison (EB RFA if QO)
Max Strus (2W RFA)
Adam Mokoka (2W RFA)</t>
      </text>
    </comment>
    <comment ref="R7" authorId="5" shapeId="0" xr:uid="{B21012C2-2743-7E4E-BE3E-87CD3E701EF3}">
      <text>
        <t>[Threaded comment]
Your version of Excel allows you to read this threaded comment; however, any edits to it will get removed if the file is opened in a newer version of Excel. Learn more: https://go.microsoft.com/fwlink/?linkid=870924
Comment:
    10 players: Kevin Love / Andre Drummond (PO) / Larry Nance Jr / Dante Exum / Cedi Osman / Darius Garland / Collin Sexton / Dylan Windler / Alfonzo McKinnie (NG) / Kevin Porter Jr
Matt Mooney
2020 1st (projected #2)
Tristan Thompson
Matthew Dellavedova
Ante Zizic
Dean Wade</t>
      </text>
    </comment>
    <comment ref="R8" authorId="6" shapeId="0" xr:uid="{9188F89C-EAE7-2D4F-AB5C-89FA79F1F448}">
      <text>
        <t>[Threaded comment]
Your version of Excel allows you to read this threaded comment; however, any edits to it will get removed if the file is opened in a newer version of Excel. Learn more: https://go.microsoft.com/fwlink/?linkid=870924
Comment:
    12 players: Kristaps Porzingis / Tim Hardaway Jr (PO) / Dwight Powell / Delon Wright / Maxi Kleber / Luka Doncic / Seth Curry / Justin Jackson / Dorian Finney-Smith / Boban Marjanovic / Willie Cauley-Stein (PO) / Jalen Brunson
2020 1st (#18)
2020 GSW 2nd (#31)
Courtney Lee (Bird)
JJ Barea (Bird)
Michael Kidd-Gilchrist (NB)
Trey Burke (None)
Josh Reaves (2W RFA)
Antonius Cleveland (2W RFA)</t>
      </text>
    </comment>
    <comment ref="R9" authorId="7" shapeId="0" xr:uid="{35229364-D2F3-CB43-A7C5-E4DC4942D257}">
      <text>
        <t>[Threaded comment]
Your version of Excel allows you to read this threaded comment; however, any edits to it will get removed if the file is opened in a newer version of Excel. Learn more: https://go.microsoft.com/fwlink/?linkid=870924
Comment:
    10 players: Nikola Jokic / Jamal Murray / Gary Harris / Will Barton / Michael Porter Jr. / P.J Dozier (PG) / Monte Morris (NG) / Keita Bates-Diop (NG) / Vladko Cancar / Bol Bol (2W)
2020 HOU 1st (#22)
Paul Millsap
Mason Plumlee
Jerami Grant (declining PO)
Torrey Craig
Noah Vonleh
Troy Daniels
Tyler Cook</t>
      </text>
    </comment>
    <comment ref="R10" authorId="8" shapeId="0" xr:uid="{B9C588C1-8E88-3548-BC6D-8495B1A368C1}">
      <text>
        <t>[Threaded comment]
Your version of Excel allows you to read this threaded comment; however, any edits to it will get removed if the file is opened in a newer version of Excel. Learn more: https://go.microsoft.com/fwlink/?linkid=870924
Comment:
    9 players: Blake Griffin / Tony Snell (PO) / Derrick Rose / Luke Kennard / Sekou Doumbouya / Justin Patton (NG) / Khyri Thomas (PG) / Bruce Brown (NG) / Svi Mykhailiuk (TO)
2020 1st (#7)
Brandon Knight (Bird)
John Henson (Bird)
Langston Galloway (Bird)
Thon Maker (Bird RFA if QO)
Christian Wood (Early Bird)
Jordan McRae (Early Bird)
Louis King (2W RFA)
Jordan Bone (2W RFA)</t>
      </text>
    </comment>
    <comment ref="R11" authorId="9" shapeId="0" xr:uid="{B8E96932-DEA0-D74D-9123-9AAA89FF7400}">
      <text>
        <t>[Threaded comment]
Your version of Excel allows you to read this threaded comment; however, any edits to it will get removed if the file is opened in a newer version of Excel. Learn more: https://go.microsoft.com/fwlink/?linkid=870924
Comment:
    13 players: Stephen Curry / Klay Thompson / Andrew Wiggins / Draymond Green / Kevon Looney / Jordan Poole / Marquese Chriss (PG) / Damion Lee (PG) / Eric Paschall / Alen Smailagic / Ky Bowman (NG) / Mychal Mulder (NG) / Juan Toscano-Anderson (NG)
2020 1st (#2)
2020 DAL 2nd (#48)
2020 UTA 2nd (#51)</t>
      </text>
    </comment>
    <comment ref="R12" authorId="10" shapeId="0" xr:uid="{C36A344A-D38F-CE47-BCD6-F95A8C204A94}">
      <text>
        <t>[Threaded comment]
Your version of Excel allows you to read this threaded comment; however, any edits to it will get removed if the file is opened in a newer version of Excel. Learn more: https://go.microsoft.com/fwlink/?linkid=870924
Comment:
    10 players: Russell Westbrook / James Harden / Eric Gordon / Robert Covington / P.J. Tucker / Danuel House Jr / Austin Rivers (PO) / Ben McLemore (NG) / David Nwaba (TO) / Chris Clemons (NG)
Bruno Caboclo (Early Bird)
Tyson Chandler (Non Bird)
Thabo Sefolosha (Non Bird)
DeMarre Carroll (Non Bird)
Jeff Green (Non Bird)
Luc Mbah a Moute (No Rights)
William Howard (2W RFA)
Michael Frazier (2W RFA)</t>
      </text>
    </comment>
    <comment ref="R13" authorId="11" shapeId="0" xr:uid="{25C264E2-7809-664E-A141-1C2361E5BD62}">
      <text>
        <t>[Threaded comment]
Your version of Excel allows you to read this threaded comment; however, any edits to it will get removed if the file is opened in a newer version of Excel. Learn more: https://go.microsoft.com/fwlink/?linkid=870924
Comment:
    12 players: Victor Oladipo / Malcolm Brogdon / Domantas Sabonis / Myles Turner / T.J. Warren / Jeremy Lamb / Doug McDermott / T.J. Leaf / T.J. McConnell (PG) / Goga Bitadze / Aaron Holiday / Edmond Sumner
2020 2nd (#54)
Justin Holiday (Non Bird)
JaKarr Sampson (Non Bird)
Alize Johnson (Early Bird RFA)
Naz Mitrou Long (2W RFA)
Brian Bowen II (2W RFA)</t>
      </text>
    </comment>
    <comment ref="R14" authorId="12" shapeId="0" xr:uid="{839CE5F7-062F-C54D-917A-84600FB0F5B4}">
      <text>
        <t>[Threaded comment]
Your version of Excel allows you to read this threaded comment; however, any edits to it will get removed if the file is opened in a newer version of Excel. Learn more: https://go.microsoft.com/fwlink/?linkid=870924
Comment:
    11 players: Paul George / Kawhi Leonard / Patrick Beverley / Lou Williams / Ivica Zubac / Rodney McGruder / JaMychal Green (PO) / Landry Shamet / Mfiondu Kabengele / Terance Mann / Amir Coffey (2W)
2020 2nd (#57)
Marcus Morris (Non Bird)
Montrezl Harrell (Bird)
Joakim Noah (NG)
Patrick Patterson (Non Bird)
Reggie Jackson (Non Bird)
Jonathan Motley (2W RFA)</t>
      </text>
    </comment>
    <comment ref="R15" authorId="13" shapeId="0" xr:uid="{C64943DC-06B5-D047-94E0-F826BB641FE7}">
      <text>
        <t>[Threaded comment]
Your version of Excel allows you to read this threaded comment; however, any edits to it will get removed if the file is opened in a newer version of Excel. Learn more: https://go.microsoft.com/fwlink/?linkid=870924
Comment:
    11 players: LeBron James / Danny Green / Kentavious Caldwell-Pope (PO) / Avery Bradley (PO) / JaVale McGee (PO) / Kyle Kuzma / Quinn Cook (PG) / Alex Caruso / Rajon Rondo (PO) / Talen Horton-Tucker / Devonte Cacok (2W)
2020 1st (#28)
Anthony Davis (declining PO)
Markieff Morris (Non Bird)
Jared Dudley (Non Bird)
Dwight Howard (Non Bird)
Dion Waiters (Non Bird)
J.R. Smith (No Rights)
Kostas Antetokounmpo (2W RFA)</t>
      </text>
    </comment>
    <comment ref="R16" authorId="14" shapeId="0" xr:uid="{A4E9DEEB-E8AF-F24C-AF8D-719C25F64452}">
      <text>
        <t>[Threaded comment]
Your version of Excel allows you to read this threaded comment; however, any edits to it will get removed if the file is opened in a newer version of Excel. Learn more: https://go.microsoft.com/fwlink/?linkid=870924
Comment:
    11 players: Gorgui Dieng / Jonas Valanciunas / Justise Winslow / Dillon Brooks / Kyle Anderson / Ja Morant / Tyus Jones / Jaren Jackson Jr / Marco Guduric / Brandon Clarke / Grayson Allen
2020 PHX 2nd (#40)
Josh Jackson
DeAnthony Melton (EB RFA)
Jontay Porter (TO)
Anthony Tolliver (Non Bird)
Yuta Watanabe (2W RFA)
John Konchar (2W RFA)</t>
      </text>
    </comment>
    <comment ref="R17" authorId="15" shapeId="0" xr:uid="{C71BF933-0D19-5749-90C6-C7C31B54C1BB}">
      <text>
        <t>[Threaded comment]
Your version of Excel allows you to read this threaded comment; however, any edits to it will get removed if the file is opened in a newer version of Excel. Learn more: https://go.microsoft.com/fwlink/?linkid=870924
Comment:
    9 players: Jimmy Butler / Andre Iguodala / Kelly Olynyk (PO) / Bam Adebayo / Tyler Herro / Duncan Robinson (NG) / Kendrick Nunn (NG) / KZ Okpala / Chris Silva
2020 1st (#20)
Goran Dragic (Bird)
Solomon Hill (Bird)
Meyers Leonard (Bird)
Jae Crowder (Bird)
Derrick Jones Jr (Bird)
Udonis Haslem (Bird)
Kyle Alexander (2W RFA)
Gabe Vincent (2W RFA)</t>
      </text>
    </comment>
    <comment ref="R18" authorId="16" shapeId="0" xr:uid="{4B23ECCD-06EB-334B-8D6E-2A31F7344C50}">
      <text>
        <t>[Threaded comment]
Your version of Excel allows you to read this threaded comment; however, any edits to it will get removed if the file is opened in a newer version of Excel. Learn more: https://go.microsoft.com/fwlink/?linkid=870924
Comment:
    10 players: Khris Middleton / Giannis Antetokounmpo / Eric Bledsoe / Brook Lopez / George Hill / Robin Lopez (PO) / D.J. Wilson / Donte Divincenzo / Wesley Matthews (PO) / Thanasis Antetokounmpo
2020 IND 1st (#24)
Ersan Ilyasova (NG)
Pat Connaughton (EB)
Sterling Bird (Bird RFA)
Kyle Korver (NB)
Marvin Williams (NB)
Cam Reynolds (2W RFA)
Frank Mason (2W RFA)</t>
      </text>
    </comment>
    <comment ref="R19" authorId="17" shapeId="0" xr:uid="{BAF8A100-5994-C543-996B-A140CA5F83BD}">
      <text>
        <t>[Threaded comment]
Your version of Excel allows you to read this threaded comment; however, any edits to it will get removed if the file is opened in a newer version of Excel. Learn more: https://go.microsoft.com/fwlink/?linkid=870924
Comment:
    11 players: Karl-Anthony Towns / D’Angelo Russell / James Johnson (PO) / Jarrett Culver / Jake Layman / Josh Okogie / Jacob Evans / Omari Spellman / Jarred Vanderbilt (NG) / Jalen Nowell (NG) / Naz Reid (NG)
2020 1st (#1)
2020 BKN 1st (#17)
2020 2nd (#33)
Evan Turner (Bird)
Juan Hernangomez (Bird RFA)
Malik Beasley (Bird RFA)
Kelan Martin (2W RFA)
Jordan McLaughlin (2W RFA)</t>
      </text>
    </comment>
    <comment ref="R20" authorId="18" shapeId="0" xr:uid="{009D27FC-D8EF-4641-83F5-10565697C39E}">
      <text>
        <t>[Threaded comment]
Your version of Excel allows you to read this threaded comment; however, any edits to it will get removed if the file is opened in a newer version of Excel. Learn more: https://go.microsoft.com/fwlink/?linkid=870924
Comment:
    8 players: Jrue Holiday / J.J. Redick / Lonzo Ball / Zion Williamson / Jaxson Hayes / Nicolo Melli / Josh Hart / Nickeil Alexander-Walker
2020 1st (#13)
2020 WSH 2nd (#39)
2020 2nd (#42)
2020 MIL 2nd (#60)
Derrick Favors (Bird)
Brandon Ingram (Bird RFA)
E’Twaun Moore (Bird)
Darius Miller (NG)
Frank Jackson (Bird RFA)
Kenrich Williams (EB RFA)
Jahlil Okafor (Early Bird)
Sindarius Thornwell (No rights)
Zylan Cheatham (2W RFA)
Josh Gray (2W RFA)</t>
      </text>
    </comment>
    <comment ref="R21" authorId="19" shapeId="0" xr:uid="{494C84DF-5474-4A4C-9572-2204D84024FD}">
      <text>
        <t>[Threaded comment]
Your version of Excel allows you to read this threaded comment; however, any edits to it will get removed if the file is opened in a newer version of Excel. Learn more: https://go.microsoft.com/fwlink/?linkid=870924
Comment:
    10 players: Julius Randle / R.J. Barrett / Frank Ntilikina / Dennis Smith Jr / Kevin Knox / Reggie Bullock (PG) / Theo Pinson (TO) / Mitchell Robinson (NG) / Ignas Brazdeikis / Kenny Wooten (2W)
2020 1st (#8)
2020 LAC 1st (#27)
2020 CHA 2nd (#38)
Bobby Portis (TO)
Taj Gibson (PG)
Wayne Ellington (PG)
Elfrid Payton (PG)
Maurice Harkless (Bird)
Damyean Dotson (Bird RFA)
Jared Harper (2W RFA)</t>
      </text>
    </comment>
    <comment ref="R22" authorId="20" shapeId="0" xr:uid="{884B0623-2800-324A-8BD9-2E2485CCAAFC}">
      <text>
        <t>[Threaded comment]
Your version of Excel allows you to read this threaded comment; however, any edits to it will get removed if the file is opened in a newer version of Excel. Learn more: https://go.microsoft.com/fwlink/?linkid=870924
Comment:
    11 players: Chris Paul / Steven Adams / Dennis Schroder / Shai Gilgeous-Alexander / Terrance Ferguson / Darius Bazley / Mike Muscala (PO) / Abdel Nader (TO) / Hamidou Diallo (TO) / Luguentz Dort / Isaiah Roby
2020 DEN 1st (projected #25)
2020 2nd (projected #51)
Deonte Burton (TO)
Danilo Gallinari (Bird)
Andre Roberson (Bird)
Nerlens Noel (Bird)
Kevin Hervey (2W RFA)
Devon Hall (2W RFA)</t>
      </text>
    </comment>
    <comment ref="R23" authorId="21" shapeId="0" xr:uid="{E91DB447-6A43-8448-A42A-B2C368387138}">
      <text>
        <t>[Threaded comment]
Your version of Excel allows you to read this threaded comment; however, any edits to it will get removed if the file is opened in a newer version of Excel. Learn more: https://go.microsoft.com/fwlink/?linkid=870924
Comment:
    10 players: Nikola Vucevic / Aaron Gordon / Evan Fournier (PO) / Terrence Ross / Markelle Fultz / Al-Farouq Aminu / Jonathan Isaac / Mo Bamba / Khem Birch / James Ennis III (PO)
2020 1st (#15)
2020 2nd (#45)
2019 1st (#16 - Chuma Okeke)
DJ Augustin (Bird)
Wes Iwundu (Bird RFA)
Michael Carter-Williams (EB)
Melvin Frazier Jr. (TO)
Gary Clark (NB RFA)
B.J. Johnson (2W RFA)
Vic Law (2W RFA)</t>
      </text>
    </comment>
    <comment ref="R24" authorId="22" shapeId="0" xr:uid="{1FBD8DAC-2318-8243-ABE4-815A0F0C0FE9}">
      <text>
        <t>[Threaded comment]
Your version of Excel allows you to read this threaded comment; however, any edits to it will get removed if the file is opened in a newer version of Excel. Learn more: https://go.microsoft.com/fwlink/?linkid=870924
Comment:
    12 players: Tobias Harris / Joel Embiid / Al Horford / Ben Simmons / Josh Richardson / Mike Scott / Zhaire Smith / Matisse Thybulle / Furkan Korkmaz (NG) / Shake Milton / Norvel Pelle (NG) / Mariel Shayok (2W)
2020 OKC 1st (#21)
2020 ATL 2nd (#34)
2020 NYK 2nd (#36)
2020 2nd (#49)
2020 LAL 2nd (#58)
Glenn Robinson III (Non Bird)
Alec Burks (Non Bird)
Kyle O’Quinn (Non Bird)
Raul Neto (Non Bird)
Ryan Broekhoff (No Rights)</t>
      </text>
    </comment>
    <comment ref="R25" authorId="23" shapeId="0" xr:uid="{CF8AD44B-61A1-6C4B-B6B6-086836CD37FD}">
      <text>
        <t>[Threaded comment]
Your version of Excel allows you to read this threaded comment; however, any edits to it will get removed if the file is opened in a newer version of Excel. Learn more: https://go.microsoft.com/fwlink/?linkid=870924
Comment:
    9 players: Devin Booker / Ricky Rubio / Kelly Oubre Jr / DeAndre Ayton / Mikal Bridges / Cam Johnson / Ty Jerome / Cam Payne (NG) / Jalen Leque
2020 1st (#10)
Cameron Payne (NG)
Dario Saric (Bird RFA)
Aron Baynes (Bird UFA)
Jevon Carter (EB RFA)
Tariq Owens (2W RFA)</t>
      </text>
    </comment>
    <comment ref="R26" authorId="24" shapeId="0" xr:uid="{9BCEB4F6-B9CA-0745-BC32-B8E825EF50E5}">
      <text>
        <t>[Threaded comment]
Your version of Excel allows you to read this threaded comment; however, any edits to it will get removed if the file is opened in a newer version of Excel. Learn more: https://go.microsoft.com/fwlink/?linkid=870924
Comment:
    9 players: Damian Lillard / C.J. McCollum / Jusuf Nurkic / Rodney Hood (PO) / Zach Collins / Anfernee Simons / Nassir Little / Mario Hezonja (PO) / Gary Trent Jr.
2020 1st (#16)
2020 2nd (#46)
Trevor Ariza (PG)
Hassan Whiteside (Bird)
Caleb Swanigan (Bird)
Wenyen Gabriel (EB RFA)
Carmelo Anthony (NB)
Jaylen Adams (No Rights)
Jaylen Hoard (2W RFA)
Moses Brown (2W RFA)</t>
      </text>
    </comment>
    <comment ref="R27" authorId="25" shapeId="0" xr:uid="{FD4FC2B2-5595-FC44-8065-EB31AEF9961B}">
      <text>
        <t>[Threaded comment]
Your version of Excel allows you to read this threaded comment; however, any edits to it will get removed if the file is opened in a newer version of Excel. Learn more: https://go.microsoft.com/fwlink/?linkid=870924
Comment:
    8 players: Buddy Hield / Harrison Barnes / Cory Joseph / Marvin Bagley / De’Aaron Fox / Jabari Parker (PO) / Richaun Holmes / Justin James
2020 1st (projected #12)
2020 DET 2nd (projected #35)
2020 2nd (projected #42)
2020 MIA 2nd (projected #53)
Nemanja Bjelica (NG)
Kent Bazemore
Bogdan Bogdanovic (RFA)
Alex Len
Yogi Ferrell
Harry Giles
Cory Brewer
Daquan Jeffries</t>
      </text>
    </comment>
    <comment ref="R28" authorId="26" shapeId="0" xr:uid="{E98CE10B-0241-B344-B31B-5E7D28A242C2}">
      <text>
        <t>[Threaded comment]
Your version of Excel allows you to read this threaded comment; however, any edits to it will get removed if the file is opened in a newer version of Excel. Learn more: https://go.microsoft.com/fwlink/?linkid=870924
Comment:
    9 players: DeMar DeRozan (PO) / LaMarcus Aldridge / Rudy Gay / Dejounte Murray / Patty Mills / Derrick White / Lonnie Walker / Luka Samanic / Keldon Johnson
2020 1st (projected #11)
2020 2nd (projected #41)
Trey Lyles (PG)
Tyler Zeller (NG)
Chimezie Metu (NG)
Jakob Poeltl (RFA)
Marco Belinelli (UFA, Early Bird)
Bryn Forbes (UFA, Bird)
Drew Eubanks
Quindary Weatherspoon</t>
      </text>
    </comment>
    <comment ref="R29" authorId="27" shapeId="0" xr:uid="{4CCD2359-63ED-9E48-B78D-3F4EBC5CEDB4}">
      <text>
        <t>[Threaded comment]
Your version of Excel allows you to read this threaded comment; however, any edits to it will get removed if the file is opened in a newer version of Excel. Learn more: https://go.microsoft.com/fwlink/?linkid=870924
Comment:
    9 players: Kyle Lowry / Pascal Siakam / Norman Powell / Patrick McCaw / O.G. Anunoby / Stanley Johnson (PO) / Matt Thomas (PG) / Terence Davis III (NG) / Dewan Hernandez (NG)
2020 1st (#29)
2020 2nd (#59)
Marc Gasol (Bird)
Serge Ibaka (Bird)
Fred VanVleet (Bird)
Rondae Hollis-Jefferson (NB)
Chris Boucher (EB RFA)
Malcolm Miller (Bird RFA)
O’Shae Brissett (2W RFA)
Paul Watson (2W RFA)</t>
      </text>
    </comment>
    <comment ref="R30" authorId="28" shapeId="0" xr:uid="{803EFCEE-CB11-5A4C-AC30-7A05BEE3A522}">
      <text>
        <t>[Threaded comment]
Your version of Excel allows you to read this threaded comment; however, any edits to it will get removed if the file is opened in a newer version of Excel. Learn more: https://go.microsoft.com/fwlink/?linkid=870924
Comment:
    12 players: Mike Conley / Rudy Gobert / Bojan Bogdanovic / Joe Ingles / Royce O’Neale / Ed Davis / Donovan Mitchell / Tony Bradley / Georges Niang (NG) / Rayjon Tucker (PG) / Miye Oni (NG) / Juwan Morgan (NG)
2020 1st (#23)
Jordan Clarkson (Bird)
Emmanuel Mudiay (Non Bird)
Nigel Williams-Goss (NG)
Justin Wright-Foreman (2W RFA)
Jarrell Brantley (2W RFA)</t>
      </text>
    </comment>
    <comment ref="R31" authorId="29" shapeId="0" xr:uid="{A44685EA-FF56-ED49-AFF3-AD9BB0947762}">
      <text>
        <t>[Threaded comment]
Your version of Excel allows you to read this threaded comment; however, any edits to it will get removed if the file is opened in a newer version of Excel. Learn more: https://go.microsoft.com/fwlink/?linkid=870924
Comment:
    11 players: John Wall / Bradley Beal / Thomas Bryant / Ish Smith / Rui Hachimura / Jerome Robinson / Troy Brown Jr / Mo Wagner / Isaac Bonga (NG) / Admiral Schofield / Anzejs Pasecniks (NG)
2020 1st (#9)
2020 CHI 2nd (#37)
Ian Mahinmi (Bird)
Davis Bertans (Bird)
Shabazz Napier
Gary Payton II
Garrison Matthews
Jonathan Williams
Jerian Grant
Jared Uthoff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tc={E13CF384-C336-4B4D-A253-B71CF0B65C03}</author>
    <author>tc={032EF1AE-E52C-8B47-B836-85CA8DB04EEC}</author>
    <author>tc={34CE61FE-D6B5-4647-96A9-D7A8A8D6D099}</author>
    <author>tc={9D1CA21E-2712-4E49-B48B-01243457F098}</author>
    <author>tc={42FFD1EB-C474-8C43-80FB-AEE808BBAD3F}</author>
    <author>tc={8DC92149-BF95-364D-8C26-E7E9885C1DD4}</author>
    <author>tc={6142682A-BC3C-3D4C-9077-D199939D4CEB}</author>
    <author>tc={3027C7A4-1B5B-134F-B544-711FC2A0AA03}</author>
    <author>tc={25518009-9811-754F-8C9D-CF63D3F9CD80}</author>
    <author>tc={8B5CA550-3BD3-9A47-9390-48144D38D377}</author>
    <author>tc={7B6C6555-45E0-9341-8A8F-AD1681106916}</author>
    <author>tc={26361EB3-77E4-EF4A-9AF5-C66FA249672C}</author>
    <author>tc={D8BA2BFB-E922-B94E-997C-7F17C51C4AF8}</author>
    <author>tc={E5E0F0CB-B9A5-1E40-8773-7BA0FAC29EC3}</author>
    <author>tc={4787DFB7-057A-2B49-8067-BFCD5A8A6F92}</author>
    <author>tc={CE4228A0-C77A-E247-AB38-EAECB86A3F9F}</author>
    <author>tc={C4E51F0A-C4B4-0A4D-9D1C-15F1F12A12CF}</author>
    <author>tc={141B143A-8271-2C43-BE62-2F5066E7D5E8}</author>
    <author>tc={FF288AFF-CEAA-B44B-84AF-EF464FFDF62B}</author>
    <author>tc={C320DEB8-53CF-6741-BB21-D12C8B8E8D04}</author>
    <author>tc={C510A9AB-594A-D940-9461-82DE28FA6648}</author>
    <author>tc={5D855AA3-60B9-0A42-88D6-58DCA6599B83}</author>
    <author>tc={5CCD0583-827B-7841-BD4C-6B932B5E2C0A}</author>
    <author>tc={792913BD-F897-CC45-AFAC-C7F92FA3CB6E}</author>
    <author>tc={889415EF-60F3-5343-8371-ED4DEEFEB082}</author>
    <author>tc={363E0282-8702-6E47-A36E-A865A585576A}</author>
    <author>tc={092E2145-4FF9-D644-8240-85B919C400AD}</author>
    <author>tc={1AC7A8CE-78EA-2C49-AC55-3F7383DB8387}</author>
    <author>tc={8C8A6EC1-D5B5-BE45-9CC0-F043459328D1}</author>
    <author>tc={AA15AB1B-B31C-1843-A8B2-09B594DBE76B}</author>
    <author>tc={CF7B36A6-EB45-4C47-B6CF-65DA0263D456}</author>
    <author>tc={2EE5A99E-6257-9741-8B38-B4D5BA4E7C9C}</author>
    <author>tc={2FC8E349-4CA2-E940-A533-8F214F3D5362}</author>
    <author>tc={27564828-4E87-6241-AE47-6ED68D60B30F}</author>
    <author>tc={B0C1250C-D29F-AE4F-8597-45AAC67BEB4B}</author>
    <author>tc={58AD7E36-C4B4-F24A-B15F-84DE65DA5989}</author>
    <author>tc={376FC2B9-5F40-4241-9DDF-3048E499EA89}</author>
    <author>tc={48DB2A0C-7A2B-B34F-83A0-4428CEEE5BDD}</author>
    <author>tc={4DB9D347-3A70-794E-9440-55EC2A4E5CE5}</author>
    <author>tc={FE5E6E4E-21D7-6645-A29C-9B89779CEC05}</author>
    <author>tc={682F5BAC-4C88-5641-B32C-3838788C4E7B}</author>
    <author>tc={69053A66-E58A-B14E-9630-895CDB292072}</author>
    <author>tc={9A4A6CFC-FDB5-A142-ADDC-A21ECF08FC2C}</author>
    <author>tc={7354CBA2-5382-A045-A655-0D37E3522812}</author>
    <author>tc={10E62A83-C4DB-E740-A848-6810B693A60D}</author>
    <author>tc={76D3F0DF-4579-1C42-B364-FDECD8B175EA}</author>
    <author>tc={99628C6D-742D-9946-A62B-9305E2D79171}</author>
    <author>tc={3CCB1811-61D5-8048-8802-116901749E2B}</author>
    <author>tc={51F9F430-4F97-D443-8AF6-98DB0E6EF2F1}</author>
    <author>tc={68EC5590-C8C5-A24B-94C7-A86354FDAB74}</author>
    <author>tc={93974182-88CA-9848-A595-BBC8317F7109}</author>
    <author>tc={B9A06425-3DCB-064E-94F7-5602AF1DE246}</author>
    <author>tc={D8C9A4FE-D5AA-8244-9724-197EB0F2E3FD}</author>
    <author>tc={5AA325ED-4B84-8342-9B7C-DEC2A4C9A889}</author>
    <author>tc={13F23B4B-748F-934D-9264-D5A7A4A9565C}</author>
    <author>tc={0804DEC6-301A-FF49-968A-DEF16EE13296}</author>
    <author>tc={499B570F-9226-4A4D-87C7-4B733A960D73}</author>
    <author>tc={847E1E80-BC3F-C940-90B9-39F37777FB59}</author>
    <author>tc={5513F6C2-6377-BD40-B60E-4E07F7398027}</author>
    <author>tc={C21BBCD9-2D53-D649-B784-B698E5A411E9}</author>
    <author>tc={8417F50D-A40E-BF47-A3F4-8798D4FF4F39}</author>
    <author>tc={4D253F22-A64A-CC4E-94A4-C31A0D14C774}</author>
    <author>tc={53104304-2940-ED47-BB70-A0D32B3F0F98}</author>
    <author>tc={271A9477-9945-5045-9A1E-8D34EE285BEE}</author>
    <author>tc={F0DDCA7B-13AF-AD47-996C-214F5D6BD0AA}</author>
    <author>tc={63E17993-A37A-8C49-B202-BD5CFE8B1B77}</author>
    <author>tc={B818FB83-29C6-DE49-BD24-801485E198A7}</author>
    <author>tc={ECC6F177-0BB4-494D-B1C1-5AD3E9AA0701}</author>
    <author>tc={8EAB3335-79A6-1843-87E6-0293B9E37456}</author>
    <author>tc={E41C0D3F-C756-EF4B-9DEF-4F9A228ECBB5}</author>
    <author>tc={C352C695-DD7A-C24D-A4A0-F29D5BF5DE77}</author>
    <author>tc={90B3A625-0920-FE44-BCD1-CDBE496CD395}</author>
    <author>tc={9C42D14F-BC2A-E148-B527-2F60A13F9C72}</author>
    <author>tc={1842DA1B-E847-B74F-B5A7-FA3D35AE4EB8}</author>
    <author>tc={057905E3-5817-0049-BC74-5D26716E325C}</author>
    <author>tc={58E5DA08-7416-7243-B731-289A4AA26380}</author>
    <author>tc={D11865FA-1AAA-8C47-BE36-15775FFB41E7}</author>
    <author>tc={5ED6CD17-20A4-0E45-A969-FE66318FAFAC}</author>
    <author>tc={4F92D4ED-3D8E-DE4E-9EF0-DFBBAF4649D4}</author>
    <author>tc={75ADD977-2F26-9441-AFCD-A8C52148D4A2}</author>
    <author>tc={1FA34D10-C8BF-EF4A-9ACC-D8693C2FDF61}</author>
    <author>tc={BED38E81-7DD9-A043-92C9-785D5175FBC2}</author>
    <author>tc={13BD9EFE-285E-5E42-85AD-05228FC7CB9F}</author>
    <author>tc={33DC107A-9495-C941-83D1-B9077FC0E222}</author>
    <author>tc={C0AB5BAA-E079-CA4D-92CA-B7EF5559F1DA}</author>
    <author>tc={4A6D2AE3-8112-CB4F-B2B8-B2B7FBE311FB}</author>
    <author>tc={69F1B42A-4530-4A40-96E5-230627FD742B}</author>
    <author>tc={FEFE059E-CC73-4349-9143-3A318DFFF1FD}</author>
    <author>tc={D299CB3C-C0B8-764A-B08A-B7A56F5E03B7}</author>
    <author>tc={AF9B0590-9F82-354C-BE3D-70FF62237F0E}</author>
  </authors>
  <commentList>
    <comment ref="C1" authorId="0" shapeId="0" xr:uid="{E13CF384-C336-4B4D-A253-B71CF0B65C03}">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032EF1AE-E52C-8B47-B836-85CA8DB04EEC}">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 authorId="2" shapeId="0" xr:uid="{34CE61FE-D6B5-4647-96A9-D7A8A8D6D099}">
      <text>
        <t>[Threaded comment]
Your version of Excel allows you to read this threaded comment; however, any edits to it will get removed if the file is opened in a newer version of Excel. Learn more: https://go.microsoft.com/fwlink/?linkid=870924
Comment:
    Bird</t>
      </text>
    </comment>
    <comment ref="P3" authorId="3" shapeId="0" xr:uid="{9D1CA21E-2712-4E49-B48B-01243457F098}">
      <text>
        <t>[Threaded comment]
Your version of Excel allows you to read this threaded comment; however, any edits to it will get removed if the file is opened in a newer version of Excel. Learn more: https://go.microsoft.com/fwlink/?linkid=870924
Comment:
    $3,752,338 QO
NEW: 10/17/20 deadline
Bird</t>
      </text>
    </comment>
    <comment ref="P4" authorId="4" shapeId="0" xr:uid="{42FFD1EB-C474-8C43-80FB-AEE808BBAD3F}">
      <text>
        <t>[Threaded comment]
Your version of Excel allows you to read this threaded comment; however, any edits to it will get removed if the file is opened in a newer version of Excel. Learn more: https://go.microsoft.com/fwlink/?linkid=870924
Comment:
    $3,484,882 QO
NEW: 10/17/20 deadline
Bird</t>
      </text>
    </comment>
    <comment ref="P5" authorId="5" shapeId="0" xr:uid="{8DC92149-BF95-364D-8C26-E7E9885C1DD4}">
      <text>
        <t>[Threaded comment]
Your version of Excel allows you to read this threaded comment; however, any edits to it will get removed if the file is opened in a newer version of Excel. Learn more: https://go.microsoft.com/fwlink/?linkid=870924
Comment:
    $3,457,586 QO
NEW: 10/17/20 deadline
Bird</t>
      </text>
    </comment>
    <comment ref="P6" authorId="6" shapeId="0" xr:uid="{6142682A-BC3C-3D4C-9077-D199939D4CEB}">
      <text>
        <t>[Threaded comment]
Your version of Excel allows you to read this threaded comment; however, any edits to it will get removed if the file is opened in a newer version of Excel. Learn more: https://go.microsoft.com/fwlink/?linkid=870924
Comment:
    OLD: fully NG, fully gt on 8/1/20
Non Bird RFA if waived</t>
      </text>
    </comment>
    <comment ref="Q6" authorId="7" shapeId="0" xr:uid="{3027C7A4-1B5B-134F-B544-711FC2A0AA03}">
      <text>
        <t>[Threaded comment]
Your version of Excel allows you to read this threaded comment; however, any edits to it will get removed if the file is opened in a newer version of Excel. Learn more: https://go.microsoft.com/fwlink/?linkid=870924
Comment:
    $2,126,991 QO
Early Bird</t>
      </text>
    </comment>
    <comment ref="P7" authorId="8" shapeId="0" xr:uid="{25518009-9811-754F-8C9D-CF63D3F9CD80}">
      <text>
        <t>[Threaded comment]
Your version of Excel allows you to read this threaded comment; however, any edits to it will get removed if the file is opened in a newer version of Excel. Learn more: https://go.microsoft.com/fwlink/?linkid=870924
Comment:
    Early Bird</t>
      </text>
    </comment>
    <comment ref="P8" authorId="9" shapeId="0" xr:uid="{8B5CA550-3BD3-9A47-9390-48144D38D377}">
      <text>
        <t>[Threaded comment]
Your version of Excel allows you to read this threaded comment; however, any edits to it will get removed if the file is opened in a newer version of Excel. Learn more: https://go.microsoft.com/fwlink/?linkid=870924
Comment:
    2W QO
Non Bird</t>
      </text>
    </comment>
    <comment ref="P9" authorId="10" shapeId="0" xr:uid="{7B6C6555-45E0-9341-8A8F-AD1681106916}">
      <text>
        <t>[Threaded comment]
Your version of Excel allows you to read this threaded comment; however, any edits to it will get removed if the file is opened in a newer version of Excel. Learn more: https://go.microsoft.com/fwlink/?linkid=870924
Comment:
    NEW: 10/17/20 deadline
$40,250,000 cap hold
Bird</t>
      </text>
    </comment>
    <comment ref="Q9" authorId="11" shapeId="0" xr:uid="{26361EB3-77E4-EF4A-9AF5-C66FA249672C}">
      <text>
        <t>[Threaded comment]
Your version of Excel allows you to read this threaded comment; however, any edits to it will get removed if the file is opened in a newer version of Excel. Learn more: https://go.microsoft.com/fwlink/?linkid=870924
Comment:
    Bird</t>
      </text>
    </comment>
    <comment ref="P10" authorId="12" shapeId="0" xr:uid="{D8BA2BFB-E922-B94E-997C-7F17C51C4AF8}">
      <text>
        <t>[Threaded comment]
Your version of Excel allows you to read this threaded comment; however, any edits to it will get removed if the file is opened in a newer version of Excel. Learn more: https://go.microsoft.com/fwlink/?linkid=870924
Comment:
    NEW: 10/17/20 deadline
$5,720,400 cap hold
Non Bird</t>
      </text>
    </comment>
    <comment ref="Q10" authorId="13" shapeId="0" xr:uid="{E5E0F0CB-B9A5-1E40-8773-7BA0FAC29EC3}">
      <text>
        <t>[Threaded comment]
Your version of Excel allows you to read this threaded comment; however, any edits to it will get removed if the file is opened in a newer version of Excel. Learn more: https://go.microsoft.com/fwlink/?linkid=870924
Comment:
    Early Bird</t>
      </text>
    </comment>
    <comment ref="P11" authorId="14" shapeId="0" xr:uid="{4787DFB7-057A-2B49-8067-BFCD5A8A6F92}">
      <text>
        <t>[Threaded comment]
Your version of Excel allows you to read this threaded comment; however, any edits to it will get removed if the file is opened in a newer version of Excel. Learn more: https://go.microsoft.com/fwlink/?linkid=870924
Comment:
    NEW: fully NG, fully gt on 10/20/20
If waived, Bird RFA
$9,500,000 cap hold
$6,250,000 QO</t>
      </text>
    </comment>
    <comment ref="Q11" authorId="15" shapeId="0" xr:uid="{CE4228A0-C77A-E247-AB38-EAECB86A3F9F}">
      <text>
        <t>[Threaded comment]
Your version of Excel allows you to read this threaded comment; however, any edits to it will get removed if the file is opened in a newer version of Excel. Learn more: https://go.microsoft.com/fwlink/?linkid=870924
Comment:
    Bird</t>
      </text>
    </comment>
    <comment ref="P12" authorId="16" shapeId="0" xr:uid="{C4E51F0A-C4B4-0A4D-9D1C-15F1F12A12CF}">
      <text>
        <t>[Threaded comment]
Your version of Excel allows you to read this threaded comment; however, any edits to it will get removed if the file is opened in a newer version of Excel. Learn more: https://go.microsoft.com/fwlink/?linkid=870924
Comment:
    $1,907,576 QO
NEW: 10/17/20 deadline
Early Bird RFA</t>
      </text>
    </comment>
    <comment ref="P13" authorId="17" shapeId="0" xr:uid="{141B143A-8271-2C43-BE62-2F5066E7D5E8}">
      <text>
        <t>[Threaded comment]
Your version of Excel allows you to read this threaded comment; however, any edits to it will get removed if the file is opened in a newer version of Excel. Learn more: https://go.microsoft.com/fwlink/?linkid=870924
Comment:
    NEW: 10/17/20 deadline
If declined, Bird RFA
$2,023,150 QO</t>
      </text>
    </comment>
    <comment ref="Q13" authorId="18" shapeId="0" xr:uid="{FF288AFF-CEAA-B44B-84AF-EF464FFDF62B}">
      <text>
        <t>[Threaded comment]
Your version of Excel allows you to read this threaded comment; however, any edits to it will get removed if the file is opened in a newer version of Excel. Learn more: https://go.microsoft.com/fwlink/?linkid=870924
Comment:
    Bird</t>
      </text>
    </comment>
    <comment ref="P14" authorId="19" shapeId="0" xr:uid="{C320DEB8-53CF-6741-BB21-D12C8B8E8D04}">
      <text>
        <t xml:space="preserve">[Threaded comment]
Your version of Excel allows you to read this threaded comment; however, any edits to it will get removed if the file is opened in a newer version of Excel. Learn more: https://go.microsoft.com/fwlink/?linkid=870924
Comment:
    fully NG, fully gt on 1/10/21 (subject to change)
If waived, Non Bird RFA
$1,645,697 QO
</t>
      </text>
    </comment>
    <comment ref="Q14" authorId="20" shapeId="0" xr:uid="{C510A9AB-594A-D940-9461-82DE28FA6648}">
      <text>
        <t>[Threaded comment]
Your version of Excel allows you to read this threaded comment; however, any edits to it will get removed if the file is opened in a newer version of Excel. Learn more: https://go.microsoft.com/fwlink/?linkid=870924
Comment:
    $2,056,061 QO
Early Bird RFA</t>
      </text>
    </comment>
    <comment ref="P15" authorId="21" shapeId="0" xr:uid="{5D855AA3-60B9-0A42-88D6-58DCA6599B83}">
      <text>
        <t>[Threaded comment]
Your version of Excel allows you to read this threaded comment; however, any edits to it will get removed if the file is opened in a newer version of Excel. Learn more: https://go.microsoft.com/fwlink/?linkid=870924
Comment:
    2W QO
Non Bird</t>
      </text>
    </comment>
    <comment ref="P16" authorId="22" shapeId="0" xr:uid="{5CCD0583-827B-7841-BD4C-6B932B5E2C0A}">
      <text>
        <t>[Threaded comment]
Your version of Excel allows you to read this threaded comment; however, any edits to it will get removed if the file is opened in a newer version of Excel. Learn more: https://go.microsoft.com/fwlink/?linkid=870924
Comment:
    2W QO
Non Bird</t>
      </text>
    </comment>
    <comment ref="P17" authorId="23" shapeId="0" xr:uid="{792913BD-F897-CC45-AFAC-C7F92FA3CB6E}">
      <text>
        <t>[Threaded comment]
Your version of Excel allows you to read this threaded comment; however, any edits to it will get removed if the file is opened in a newer version of Excel. Learn more: https://go.microsoft.com/fwlink/?linkid=870924
Comment:
    Bird</t>
      </text>
    </comment>
    <comment ref="P18" authorId="24" shapeId="0" xr:uid="{889415EF-60F3-5343-8371-ED4DEEFEB082}">
      <text>
        <t xml:space="preserve">[Threaded comment]
Your version of Excel allows you to read this threaded comment; however, any edits to it will get removed if the file is opened in a newer version of Excel. Learn more: https://go.microsoft.com/fwlink/?linkid=870924
Comment:
    NEW: 10/17/20 deadline
If declined, Non Bird UFA
$5,720,400 cap hold
</t>
      </text>
    </comment>
    <comment ref="Q18" authorId="25" shapeId="0" xr:uid="{363E0282-8702-6E47-A36E-A865A585576A}">
      <text>
        <t>[Threaded comment]
Your version of Excel allows you to read this threaded comment; however, any edits to it will get removed if the file is opened in a newer version of Excel. Learn more: https://go.microsoft.com/fwlink/?linkid=870924
Comment:
    Early Bird</t>
      </text>
    </comment>
    <comment ref="P19" authorId="26" shapeId="0" xr:uid="{092E2145-4FF9-D644-8240-85B919C400AD}">
      <text>
        <t>[Threaded comment]
Your version of Excel allows you to read this threaded comment; however, any edits to it will get removed if the file is opened in a newer version of Excel. Learn more: https://go.microsoft.com/fwlink/?linkid=870924
Comment:
    OLD: fully NG, $150,000 gt on 8/1/20, fully gt on 1/10/21
If waived, Non Bird UFA</t>
      </text>
    </comment>
    <comment ref="Q19" authorId="27" shapeId="0" xr:uid="{1AC7A8CE-78EA-2C49-AC55-3F7383DB8387}">
      <text>
        <t>[Threaded comment]
Your version of Excel allows you to read this threaded comment; however, any edits to it will get removed if the file is opened in a newer version of Excel. Learn more: https://go.microsoft.com/fwlink/?linkid=870924
Comment:
    Early Bird</t>
      </text>
    </comment>
    <comment ref="P20" authorId="28" shapeId="0" xr:uid="{8C8A6EC1-D5B5-BE45-9CC0-F043459328D1}">
      <text>
        <t>[Threaded comment]
Your version of Excel allows you to read this threaded comment; however, any edits to it will get removed if the file is opened in a newer version of Excel. Learn more: https://go.microsoft.com/fwlink/?linkid=870924
Comment:
    Non Bird</t>
      </text>
    </comment>
    <comment ref="P21" authorId="29" shapeId="0" xr:uid="{AA15AB1B-B31C-1843-A8B2-09B594DBE76B}">
      <text>
        <t>[Threaded comment]
Your version of Excel allows you to read this threaded comment; however, any edits to it will get removed if the file is opened in a newer version of Excel. Learn more: https://go.microsoft.com/fwlink/?linkid=870924
Comment:
    Non Bird</t>
      </text>
    </comment>
    <comment ref="Y21" authorId="30" shapeId="0" xr:uid="{CF7B36A6-EB45-4C47-B6CF-65DA0263D456}">
      <text>
        <t>[Threaded comment]
Your version of Excel allows you to read this threaded comment; however, any edits to it will get removed if the file is opened in a newer version of Excel. Learn more: https://go.microsoft.com/fwlink/?linkid=870924
Comment:
    all w/ PHX</t>
      </text>
    </comment>
    <comment ref="P22" authorId="31" shapeId="0" xr:uid="{2EE5A99E-6257-9741-8B38-B4D5BA4E7C9C}">
      <text>
        <t>[Threaded comment]
Your version of Excel allows you to read this threaded comment; however, any edits to it will get removed if the file is opened in a newer version of Excel. Learn more: https://go.microsoft.com/fwlink/?linkid=870924
Comment:
    2W RFA
Non Bird</t>
      </text>
    </comment>
    <comment ref="P27" authorId="32" shapeId="0" xr:uid="{2FC8E349-4CA2-E940-A533-8F214F3D5362}">
      <text>
        <t>[Threaded comment]
Your version of Excel allows you to read this threaded comment; however, any edits to it will get removed if the file is opened in a newer version of Excel. Learn more: https://go.microsoft.com/fwlink/?linkid=870924
Comment:
    NEW: 10/17/20 deadline
$38,347,826 cap hold
Bird</t>
      </text>
    </comment>
    <comment ref="Q27" authorId="33" shapeId="0" xr:uid="{27564828-4E87-6241-AE47-6ED68D60B30F}">
      <text>
        <t>[Threaded comment]
Your version of Excel allows you to read this threaded comment; however, any edits to it will get removed if the file is opened in a newer version of Excel. Learn more: https://go.microsoft.com/fwlink/?linkid=870924
Comment:
    Bird</t>
      </text>
    </comment>
    <comment ref="P28" authorId="34" shapeId="0" xr:uid="{B0C1250C-D29F-AE4F-8597-45AAC67BEB4B}">
      <text>
        <t>[Threaded comment]
Your version of Excel allows you to read this threaded comment; however, any edits to it will get removed if the file is opened in a newer version of Excel. Learn more: https://go.microsoft.com/fwlink/?linkid=870924
Comment:
    Bird</t>
      </text>
    </comment>
    <comment ref="P29" authorId="35" shapeId="0" xr:uid="{58AD7E36-C4B4-F24A-B15F-84DE65DA5989}">
      <text>
        <t>[Threaded comment]
Your version of Excel allows you to read this threaded comment; however, any edits to it will get removed if the file is opened in a newer version of Excel. Learn more: https://go.microsoft.com/fwlink/?linkid=870924
Comment:
    Bird</t>
      </text>
    </comment>
    <comment ref="P30" authorId="36" shapeId="0" xr:uid="{376FC2B9-5F40-4241-9DDF-3048E499EA89}">
      <text>
        <t>[Threaded comment]
Your version of Excel allows you to read this threaded comment; however, any edits to it will get removed if the file is opened in a newer version of Excel. Learn more: https://go.microsoft.com/fwlink/?linkid=870924
Comment:
    NEW: 10/17/20 deadline
Bird
$2,023,150 QO</t>
      </text>
    </comment>
    <comment ref="P31" authorId="37" shapeId="0" xr:uid="{48DB2A0C-7A2B-B34F-83A0-4428CEEE5BDD}">
      <text>
        <t>[Threaded comment]
Your version of Excel allows you to read this threaded comment; however, any edits to it will get removed if the file is opened in a newer version of Excel. Learn more: https://go.microsoft.com/fwlink/?linkid=870924
Comment:
    NEW: fully NG, fully gt on 10/24/20
If waived, Early Bird RFA</t>
      </text>
    </comment>
    <comment ref="Q31" authorId="38" shapeId="0" xr:uid="{4DB9D347-3A70-794E-9440-55EC2A4E5CE5}">
      <text>
        <t>[Threaded comment]
Your version of Excel allows you to read this threaded comment; however, any edits to it will get removed if the file is opened in a newer version of Excel. Learn more: https://go.microsoft.com/fwlink/?linkid=870924
Comment:
    $2,023,150 QO
Bird</t>
      </text>
    </comment>
    <comment ref="P32" authorId="39" shapeId="0" xr:uid="{FE5E6E4E-21D7-6645-A29C-9B89779CEC05}">
      <text>
        <t>[Threaded comment]
Your version of Excel allows you to read this threaded comment; however, any edits to it will get removed if the file is opened in a newer version of Excel. Learn more: https://go.microsoft.com/fwlink/?linkid=870924
Comment:
    OLD: fully NG, fully gt on 7/15/20
If waived, Non Bird RFA</t>
      </text>
    </comment>
    <comment ref="Q32" authorId="40" shapeId="0" xr:uid="{682F5BAC-4C88-5641-B32C-3838788C4E7B}">
      <text>
        <t>[Threaded comment]
Your version of Excel allows you to read this threaded comment; however, any edits to it will get removed if the file is opened in a newer version of Excel. Learn more: https://go.microsoft.com/fwlink/?linkid=870924
Comment:
    OLD: fully NG, fully gt on 7/15/21
If waived, Early Bird RFA</t>
      </text>
    </comment>
    <comment ref="R32" authorId="41" shapeId="0" xr:uid="{69053A66-E58A-B14E-9630-895CDB292072}">
      <text>
        <t>[Threaded comment]
Your version of Excel allows you to read this threaded comment; however, any edits to it will get removed if the file is opened in a newer version of Excel. Learn more: https://go.microsoft.com/fwlink/?linkid=870924
Comment:
    $2,228,276 QO
Bird</t>
      </text>
    </comment>
    <comment ref="P33" authorId="42" shapeId="0" xr:uid="{9A4A6CFC-FDB5-A142-ADDC-A21ECF08FC2C}">
      <text>
        <t>[Threaded comment]
Your version of Excel allows you to read this threaded comment; however, any edits to it will get removed if the file is opened in a newer version of Excel. Learn more: https://go.microsoft.com/fwlink/?linkid=870924
Comment:
    OLD: fully NG, $100,000 gt on 8/1/20, fully gt on 1/10/21
If waived, Non Bird RFA</t>
      </text>
    </comment>
    <comment ref="Q33" authorId="43" shapeId="0" xr:uid="{7354CBA2-5382-A045-A655-0D37E3522812}">
      <text>
        <t>[Threaded comment]
Your version of Excel allows you to read this threaded comment; however, any edits to it will get removed if the file is opened in a newer version of Excel. Learn more: https://go.microsoft.com/fwlink/?linkid=870924
Comment:
    OLD: fully NG, fully gt on 8/1/20
If waived, Early Bird RFA</t>
      </text>
    </comment>
    <comment ref="R33" authorId="44" shapeId="0" xr:uid="{10E62A83-C4DB-E740-A848-6810B693A60D}">
      <text>
        <t>[Threaded comment]
Your version of Excel allows you to read this threaded comment; however, any edits to it will get removed if the file is opened in a newer version of Excel. Learn more: https://go.microsoft.com/fwlink/?linkid=870924
Comment:
    OLD: 6/29/22 deadline
fully NG, fully gt on 8/1/22
If waived, Bird RFA</t>
      </text>
    </comment>
    <comment ref="S33" authorId="45" shapeId="0" xr:uid="{76D3F0DF-4579-1C42-B364-FDECD8B175EA}">
      <text>
        <t>[Threaded comment]
Your version of Excel allows you to read this threaded comment; however, any edits to it will get removed if the file is opened in a newer version of Excel. Learn more: https://go.microsoft.com/fwlink/?linkid=870924
Comment:
    Bird</t>
      </text>
    </comment>
    <comment ref="P34" authorId="46" shapeId="0" xr:uid="{99628C6D-742D-9946-A62B-9305E2D79171}">
      <text>
        <t>[Threaded comment]
Your version of Excel allows you to read this threaded comment; however, any edits to it will get removed if the file is opened in a newer version of Excel. Learn more: https://go.microsoft.com/fwlink/?linkid=870924
Comment:
    2W QO
Non Bird</t>
      </text>
    </comment>
    <comment ref="P35" authorId="47" shapeId="0" xr:uid="{3CCB1811-61D5-8048-8802-116901749E2B}">
      <text>
        <t>[Threaded comment]
Your version of Excel allows you to read this threaded comment; however, any edits to it will get removed if the file is opened in a newer version of Excel. Learn more: https://go.microsoft.com/fwlink/?linkid=870924
Comment:
    NEW: 10/17/20 deadline
$34,500,000 cap hold
Bird</t>
      </text>
    </comment>
    <comment ref="Q35" authorId="48" shapeId="0" xr:uid="{51F9F430-4F97-D443-8AF6-98DB0E6EF2F1}">
      <text>
        <t>[Threaded comment]
Your version of Excel allows you to read this threaded comment; however, any edits to it will get removed if the file is opened in a newer version of Excel. Learn more: https://go.microsoft.com/fwlink/?linkid=870924
Comment:
    Bird</t>
      </text>
    </comment>
    <comment ref="P36" authorId="49" shapeId="0" xr:uid="{68EC5590-C8C5-A24B-94C7-A86354FDAB74}">
      <text>
        <t>[Threaded comment]
Your version of Excel allows you to read this threaded comment; however, any edits to it will get removed if the file is opened in a newer version of Excel. Learn more: https://go.microsoft.com/fwlink/?linkid=870924
Comment:
    $7,091,457 QO
NEW: 10/17/20 deadline
Bird</t>
      </text>
    </comment>
    <comment ref="P37" authorId="50" shapeId="0" xr:uid="{93974182-88CA-9848-A595-BBC8317F7109}">
      <text>
        <t>[Threaded comment]
Your version of Excel allows you to read this threaded comment; however, any edits to it will get removed if the file is opened in a newer version of Excel. Learn more: https://go.microsoft.com/fwlink/?linkid=870924
Comment:
    $4,698,198 QO</t>
      </text>
    </comment>
    <comment ref="P38" authorId="51" shapeId="0" xr:uid="{B9A06425-3DCB-064E-94F7-5602AF1DE246}">
      <text>
        <t>[Threaded comment]
Your version of Excel allows you to read this threaded comment; however, any edits to it will get removed if the file is opened in a newer version of Excel. Learn more: https://go.microsoft.com/fwlink/?linkid=870924
Comment:
    $2,025,705 QO
NEW: 10/17/20 deadline
Early Bird</t>
      </text>
    </comment>
    <comment ref="P39" authorId="52" shapeId="0" xr:uid="{D8C9A4FE-D5AA-8244-9724-197EB0F2E3FD}">
      <text>
        <t>[Threaded comment]
Your version of Excel allows you to read this threaded comment; however, any edits to it will get removed if the file is opened in a newer version of Excel. Learn more: https://go.microsoft.com/fwlink/?linkid=870924
Comment:
    2W QO
Non Bird</t>
      </text>
    </comment>
    <comment ref="P40" authorId="53" shapeId="0" xr:uid="{5AA325ED-4B84-8342-9B7C-DEC2A4C9A889}">
      <text>
        <t>[Threaded comment]
Your version of Excel allows you to read this threaded comment; however, any edits to it will get removed if the file is opened in a newer version of Excel. Learn more: https://go.microsoft.com/fwlink/?linkid=870924
Comment:
    2W QO
Non Bird</t>
      </text>
    </comment>
    <comment ref="P41" authorId="54" shapeId="0" xr:uid="{13F23B4B-748F-934D-9264-D5A7A4A9565C}">
      <text>
        <t>[Threaded comment]
Your version of Excel allows you to read this threaded comment; however, any edits to it will get removed if the file is opened in a newer version of Excel. Learn more: https://go.microsoft.com/fwlink/?linkid=870924
Comment:
    OLD: $800,000 gt, fully gt on 7/15/20
If waived, Non Bird UFA</t>
      </text>
    </comment>
    <comment ref="Q41" authorId="55" shapeId="0" xr:uid="{0804DEC6-301A-FF49-968A-DEF16EE13296}">
      <text>
        <t>[Threaded comment]
Your version of Excel allows you to read this threaded comment; however, any edits to it will get removed if the file is opened in a newer version of Excel. Learn more: https://go.microsoft.com/fwlink/?linkid=870924
Comment:
    Early Bird</t>
      </text>
    </comment>
    <comment ref="P42" authorId="56" shapeId="0" xr:uid="{499B570F-9226-4A4D-87C7-4B733A960D73}">
      <text>
        <t>[Threaded comment]
Your version of Excel allows you to read this threaded comment; however, any edits to it will get removed if the file is opened in a newer version of Excel. Learn more: https://go.microsoft.com/fwlink/?linkid=870924
Comment:
    OLD: $600,000 gt, fully gt on 1/10/21
If waived, Early Bird UFA</t>
      </text>
    </comment>
    <comment ref="Q42" authorId="57" shapeId="0" xr:uid="{847E1E80-BC3F-C940-90B9-39F37777FB59}">
      <text>
        <t>[Threaded comment]
Your version of Excel allows you to read this threaded comment; however, any edits to it will get removed if the file is opened in a newer version of Excel. Learn more: https://go.microsoft.com/fwlink/?linkid=870924
Comment:
    fully NG, fully gt on 1/10/22
If waived, Bird UFA</t>
      </text>
    </comment>
    <comment ref="R42" authorId="58" shapeId="0" xr:uid="{5513F6C2-6377-BD40-B60E-4E07F7398027}">
      <text>
        <t>[Threaded comment]
Your version of Excel allows you to read this threaded comment; however, any edits to it will get removed if the file is opened in a newer version of Excel. Learn more: https://go.microsoft.com/fwlink/?linkid=870924
Comment:
    Bird</t>
      </text>
    </comment>
    <comment ref="P43" authorId="59" shapeId="0" xr:uid="{C21BBCD9-2D53-D649-B784-B698E5A411E9}">
      <text>
        <t>[Threaded comment]
Your version of Excel allows you to read this threaded comment; however, any edits to it will get removed if the file is opened in a newer version of Excel. Learn more: https://go.microsoft.com/fwlink/?linkid=870924
Comment:
    OLD: fully NG, fully gt on 1/10/21</t>
      </text>
    </comment>
    <comment ref="Q43" authorId="60" shapeId="0" xr:uid="{8417F50D-A40E-BF47-A3F4-8798D4FF4F39}">
      <text>
        <t>[Threaded comment]
Your version of Excel allows you to read this threaded comment; however, any edits to it will get removed if the file is opened in a newer version of Excel. Learn more: https://go.microsoft.com/fwlink/?linkid=870924
Comment:
    fully NG, $200,000 gt on 7/15/21, fully gt on 1/10/22</t>
      </text>
    </comment>
    <comment ref="R43" authorId="61" shapeId="0" xr:uid="{4D253F22-A64A-CC4E-94A4-C31A0D14C774}">
      <text>
        <t>[Threaded comment]
Your version of Excel allows you to read this threaded comment; however, any edits to it will get removed if the file is opened in a newer version of Excel. Learn more: https://go.microsoft.com/fwlink/?linkid=870924
Comment:
    $2,228,276 QO
6/29/22 deadline
Bird</t>
      </text>
    </comment>
    <comment ref="P44" authorId="62" shapeId="0" xr:uid="{53104304-2940-ED47-BB70-A0D32B3F0F98}">
      <text>
        <t>[Threaded comment]
Your version of Excel allows you to read this threaded comment; however, any edits to it will get removed if the file is opened in a newer version of Excel. Learn more: https://go.microsoft.com/fwlink/?linkid=870924
Comment:
    OLD: fully NG, fully gt on 1/10/21</t>
      </text>
    </comment>
    <comment ref="Q44" authorId="63" shapeId="0" xr:uid="{271A9477-9945-5045-9A1E-8D34EE285BEE}">
      <text>
        <t>[Threaded comment]
Your version of Excel allows you to read this threaded comment; however, any edits to it will get removed if the file is opened in a newer version of Excel. Learn more: https://go.microsoft.com/fwlink/?linkid=870924
Comment:
    fully NG, $200,000 gt on 7/15/21, fully gt on 1/10/22</t>
      </text>
    </comment>
    <comment ref="R44" authorId="64" shapeId="0" xr:uid="{F0DDCA7B-13AF-AD47-996C-214F5D6BD0AA}">
      <text>
        <t>[Threaded comment]
Your version of Excel allows you to read this threaded comment; however, any edits to it will get removed if the file is opened in a newer version of Excel. Learn more: https://go.microsoft.com/fwlink/?linkid=870924
Comment:
    $2,228,276 QO
6/29/22 deadline
Bird</t>
      </text>
    </comment>
    <comment ref="P45" authorId="65" shapeId="0" xr:uid="{63E17993-A37A-8C49-B202-BD5CFE8B1B77}">
      <text>
        <t>[Threaded comment]
Your version of Excel allows you to read this threaded comment; however, any edits to it will get removed if the file is opened in a newer version of Excel. Learn more: https://go.microsoft.com/fwlink/?linkid=870924
Comment:
    OLD: fully NG, $200,000 gt if on opening night roster, fully gt on 1/10/21</t>
      </text>
    </comment>
    <comment ref="Q45" authorId="66" shapeId="0" xr:uid="{B818FB83-29C6-DE49-BD24-801485E198A7}">
      <text>
        <t>[Threaded comment]
Your version of Excel allows you to read this threaded comment; however, any edits to it will get removed if the file is opened in a newer version of Excel. Learn more: https://go.microsoft.com/fwlink/?linkid=870924
Comment:
    fully NG, fully gt on 1/10/22</t>
      </text>
    </comment>
    <comment ref="R45" authorId="67" shapeId="0" xr:uid="{ECC6F177-0BB4-494D-B1C1-5AD3E9AA0701}">
      <text>
        <t>[Threaded comment]
Your version of Excel allows you to read this threaded comment; however, any edits to it will get removed if the file is opened in a newer version of Excel. Learn more: https://go.microsoft.com/fwlink/?linkid=870924
Comment:
    $2,228,276 QO
6/29/22 deadline
Bird</t>
      </text>
    </comment>
    <comment ref="P46" authorId="68" shapeId="0" xr:uid="{8EAB3335-79A6-1843-87E6-0293B9E37456}">
      <text>
        <t>[Threaded comment]
Your version of Excel allows you to read this threaded comment; however, any edits to it will get removed if the file is opened in a newer version of Excel. Learn more: https://go.microsoft.com/fwlink/?linkid=870924
Comment:
    Bird</t>
      </text>
    </comment>
    <comment ref="P47" authorId="69" shapeId="0" xr:uid="{E41C0D3F-C756-EF4B-9DEF-4F9A228ECBB5}">
      <text>
        <t>[Threaded comment]
Your version of Excel allows you to read this threaded comment; however, any edits to it will get removed if the file is opened in a newer version of Excel. Learn more: https://go.microsoft.com/fwlink/?linkid=870924
Comment:
    Bird</t>
      </text>
    </comment>
    <comment ref="P48" authorId="70" shapeId="0" xr:uid="{C352C695-DD7A-C24D-A4A0-F29D5BF5DE77}">
      <text>
        <t>[Threaded comment]
Your version of Excel allows you to read this threaded comment; however, any edits to it will get removed if the file is opened in a newer version of Excel. Learn more: https://go.microsoft.com/fwlink/?linkid=870924
Comment:
    10/17/20 deadline
$1,707,576 cap hold
Non Bird</t>
      </text>
    </comment>
    <comment ref="Q48" authorId="71" shapeId="0" xr:uid="{90B3A625-0920-FE44-BCD1-CDBE496CD395}">
      <text>
        <t>[Threaded comment]
Your version of Excel allows you to read this threaded comment; however, any edits to it will get removed if the file is opened in a newer version of Excel. Learn more: https://go.microsoft.com/fwlink/?linkid=870924
Comment:
    Early Bird</t>
      </text>
    </comment>
    <comment ref="P49" authorId="72" shapeId="0" xr:uid="{9C42D14F-BC2A-E148-B527-2F60A13F9C72}">
      <text>
        <t>[Threaded comment]
Your version of Excel allows you to read this threaded comment; however, any edits to it will get removed if the file is opened in a newer version of Excel. Learn more: https://go.microsoft.com/fwlink/?linkid=870924
Comment:
    10/17/20 deadline
If waived, Bird RFA</t>
      </text>
    </comment>
    <comment ref="Q49" authorId="73" shapeId="0" xr:uid="{1842DA1B-E847-B74F-B5A7-FA3D35AE4EB8}">
      <text>
        <t>[Threaded comment]
Your version of Excel allows you to read this threaded comment; however, any edits to it will get removed if the file is opened in a newer version of Excel. Learn more: https://go.microsoft.com/fwlink/?linkid=870924
Comment:
    Bird</t>
      </text>
    </comment>
    <comment ref="P50" authorId="74" shapeId="0" xr:uid="{057905E3-5817-0049-BC74-5D26716E325C}">
      <text>
        <t>[Threaded comment]
Your version of Excel allows you to read this threaded comment; however, any edits to it will get removed if the file is opened in a newer version of Excel. Learn more: https://go.microsoft.com/fwlink/?linkid=870924
Comment:
    10/17/20 deadline
If waived, Early Bird RFA</t>
      </text>
    </comment>
    <comment ref="Q50" authorId="75" shapeId="0" xr:uid="{58E5DA08-7416-7243-B731-289A4AA26380}">
      <text>
        <t>[Threaded comment]
Your version of Excel allows you to read this threaded comment; however, any edits to it will get removed if the file is opened in a newer version of Excel. Learn more: https://go.microsoft.com/fwlink/?linkid=870924
Comment:
    $2,122,822 QO
6/29/21 deadline
Bird</t>
      </text>
    </comment>
    <comment ref="P51" authorId="76" shapeId="0" xr:uid="{D11865FA-1AAA-8C47-BE36-15775FFB41E7}">
      <text>
        <t>[Threaded comment]
Your version of Excel allows you to read this threaded comment; however, any edits to it will get removed if the file is opened in a newer version of Excel. Learn more: https://go.microsoft.com/fwlink/?linkid=870924
Comment:
    10/15/20 deadline
If kept, $1,174,336 gt
OLD: fully gt on 8/1/20
If waived, Early Bird RFA</t>
      </text>
    </comment>
    <comment ref="Q51" authorId="77" shapeId="0" xr:uid="{5ED6CD17-20A4-0E45-A969-FE66318FAFAC}">
      <text>
        <t>[Threaded comment]
Your version of Excel allows you to read this threaded comment; however, any edits to it will get removed if the file is opened in a newer version of Excel. Learn more: https://go.microsoft.com/fwlink/?linkid=870924
Comment:
    $2,122,822 QO
6/29/21 deadline
Bird</t>
      </text>
    </comment>
    <comment ref="P52" authorId="78" shapeId="0" xr:uid="{4F92D4ED-3D8E-DE4E-9EF0-DFBBAF4649D4}">
      <text>
        <t>[Threaded comment]
Your version of Excel allows you to read this threaded comment; however, any edits to it will get removed if the file is opened in a newer version of Excel. Learn more: https://go.microsoft.com/fwlink/?linkid=870924
Comment:
    Early Bird</t>
      </text>
    </comment>
    <comment ref="P55" authorId="79" shapeId="0" xr:uid="{75ADD977-2F26-9441-AFCD-A8C52148D4A2}">
      <text>
        <t>[Threaded comment]
Your version of Excel allows you to read this threaded comment; however, any edits to it will get removed if the file is opened in a newer version of Excel. Learn more: https://go.microsoft.com/fwlink/?linkid=870924
Comment:
    Bird</t>
      </text>
    </comment>
    <comment ref="P56" authorId="80" shapeId="0" xr:uid="{1FA34D10-C8BF-EF4A-9ACC-D8693C2FDF61}">
      <text>
        <t>[Threaded comment]
Your version of Excel allows you to read this threaded comment; however, any edits to it will get removed if the file is opened in a newer version of Excel. Learn more: https://go.microsoft.com/fwlink/?linkid=870924
Comment:
    $10,661,733 QO
10/17/20 deadline
Bird</t>
      </text>
    </comment>
    <comment ref="P57" authorId="81" shapeId="0" xr:uid="{BED38E81-7DD9-A043-92C9-785D5175FBC2}">
      <text>
        <t>[Threaded comment]
Your version of Excel allows you to read this threaded comment; however, any edits to it will get removed if the file is opened in a newer version of Excel. Learn more: https://go.microsoft.com/fwlink/?linkid=870924
Comment:
    fully NG, fully gt on 10/17/20
Early Bird
$8,872,500 cap hold</t>
      </text>
    </comment>
    <comment ref="Q57" authorId="82" shapeId="0" xr:uid="{13BD9EFE-285E-5E42-85AD-05228FC7CB9F}">
      <text>
        <t>[Threaded comment]
Your version of Excel allows you to read this threaded comment; however, any edits to it will get removed if the file is opened in a newer version of Excel. Learn more: https://go.microsoft.com/fwlink/?linkid=870924
Comment:
    Bird</t>
      </text>
    </comment>
    <comment ref="P58" authorId="83" shapeId="0" xr:uid="{33DC107A-9495-C941-83D1-B9077FC0E222}">
      <text>
        <t>[Threaded comment]
Your version of Excel allows you to read this threaded comment; however, any edits to it will get removed if the file is opened in a newer version of Excel. Learn more: https://go.microsoft.com/fwlink/?linkid=870924
Comment:
    10/15/20 deadline
Non Bird
$7,800,000 cap hold</t>
      </text>
    </comment>
    <comment ref="Q58" authorId="84" shapeId="0" xr:uid="{C0AB5BAA-E079-CA4D-92CA-B7EF5559F1DA}">
      <text>
        <t>[Threaded comment]
Your version of Excel allows you to read this threaded comment; however, any edits to it will get removed if the file is opened in a newer version of Excel. Learn more: https://go.microsoft.com/fwlink/?linkid=870924
Comment:
    Early Bird</t>
      </text>
    </comment>
    <comment ref="P59" authorId="85" shapeId="0" xr:uid="{4A6D2AE3-8112-CB4F-B2B8-B2B7FBE311FB}">
      <text>
        <t>[Threaded comment]
Your version of Excel allows you to read this threaded comment; however, any edits to it will get removed if the file is opened in a newer version of Excel. Learn more: https://go.microsoft.com/fwlink/?linkid=870924
Comment:
    Early Bird</t>
      </text>
    </comment>
    <comment ref="P60" authorId="86" shapeId="0" xr:uid="{69F1B42A-4530-4A40-96E5-230627FD742B}">
      <text>
        <t>[Threaded comment]
Your version of Excel allows you to read this threaded comment; however, any edits to it will get removed if the file is opened in a newer version of Excel. Learn more: https://go.microsoft.com/fwlink/?linkid=870924
Comment:
    Early Bird</t>
      </text>
    </comment>
    <comment ref="P61" authorId="87" shapeId="0" xr:uid="{FEFE059E-CC73-4349-9143-3A318DFFF1FD}">
      <text>
        <t>[Threaded comment]
Your version of Excel allows you to read this threaded comment; however, any edits to it will get removed if the file is opened in a newer version of Excel. Learn more: https://go.microsoft.com/fwlink/?linkid=870924
Comment:
    CANNOT PAY MORE THAN THIS AMOUNT</t>
      </text>
    </comment>
    <comment ref="P62" authorId="88" shapeId="0" xr:uid="{D299CB3C-C0B8-764A-B08A-B7A56F5E03B7}">
      <text>
        <t>[Threaded comment]
Your version of Excel allows you to read this threaded comment; however, any edits to it will get removed if the file is opened in a newer version of Excel. Learn more: https://go.microsoft.com/fwlink/?linkid=870924
Comment:
    Non Bird</t>
      </text>
    </comment>
    <comment ref="P63" authorId="89" shapeId="0" xr:uid="{AF9B0590-9F82-354C-BE3D-70FF62237F0E}">
      <text>
        <t>[Threaded comment]
Your version of Excel allows you to read this threaded comment; however, any edits to it will get removed if the file is opened in a newer version of Excel. Learn more: https://go.microsoft.com/fwlink/?linkid=870924
Comment:
    2W qualifying offer
Non Bird</t>
      </text>
    </comment>
  </commentList>
</comments>
</file>

<file path=xl/sharedStrings.xml><?xml version="1.0" encoding="utf-8"?>
<sst xmlns="http://schemas.openxmlformats.org/spreadsheetml/2006/main" count="651" uniqueCount="448">
  <si>
    <t>TEAM</t>
  </si>
  <si>
    <t>1920WINPCT</t>
  </si>
  <si>
    <t>WINPCTRANK</t>
  </si>
  <si>
    <t>1920ORTG</t>
  </si>
  <si>
    <t>ORTGRANK</t>
  </si>
  <si>
    <t>1920DRTG</t>
  </si>
  <si>
    <t>DRTGRANK</t>
  </si>
  <si>
    <t>1920NRTG</t>
  </si>
  <si>
    <t>NRTGRANK</t>
  </si>
  <si>
    <t>1920PACE</t>
  </si>
  <si>
    <t>PACERANK</t>
  </si>
  <si>
    <t>GTCONTRACTS</t>
  </si>
  <si>
    <t>POandNGs</t>
  </si>
  <si>
    <t>AVGAGE</t>
  </si>
  <si>
    <t>MEDAGE</t>
  </si>
  <si>
    <t>AVGEXP</t>
  </si>
  <si>
    <t>MEDEXP</t>
  </si>
  <si>
    <t>2021PROJSALARY</t>
  </si>
  <si>
    <t>2021PROJCAPSPACE</t>
  </si>
  <si>
    <t>2021PROJTAXSPACE</t>
  </si>
  <si>
    <t>2021PROJEXCEPTIONS</t>
  </si>
  <si>
    <t>10YRWIN</t>
  </si>
  <si>
    <t>10YRLOSS</t>
  </si>
  <si>
    <t>10YRWINPCT</t>
  </si>
  <si>
    <t>PLAYOFFPCT</t>
  </si>
  <si>
    <t>PLAYOFFWINPCT</t>
  </si>
  <si>
    <t>PLAYOFFSERIESWINPCT</t>
  </si>
  <si>
    <t>ATL</t>
  </si>
  <si>
    <t>Room ($4.77M)</t>
  </si>
  <si>
    <t>BOS</t>
  </si>
  <si>
    <t>Tax MLE ($5.72M)</t>
  </si>
  <si>
    <t>BKN</t>
  </si>
  <si>
    <t>CHA</t>
  </si>
  <si>
    <t>CHI</t>
  </si>
  <si>
    <t>Full MLE ($9.26M), BAE ($3.62M)</t>
  </si>
  <si>
    <t>CLE</t>
  </si>
  <si>
    <t>Full MLE ($9.26M), Jordan Clarkson TPE ($3.84M), BAE ($3.62M)</t>
  </si>
  <si>
    <t>DAL</t>
  </si>
  <si>
    <t>Full MLE ($9.26M)</t>
  </si>
  <si>
    <t>DEN</t>
  </si>
  <si>
    <t>Full MLE ($9.26M), BAE ($3.62M), Hernangomez TPE ($3.32M), one TPE &lt; $2M</t>
  </si>
  <si>
    <t>DET</t>
  </si>
  <si>
    <t>GSW</t>
  </si>
  <si>
    <t>Iguodala TPE ($17.19M), Tax MLE ($5.72M), Cauley-Stein TPE ($2.18M), eight TPEs &lt; $2M</t>
  </si>
  <si>
    <t>HOU</t>
  </si>
  <si>
    <t>Tax MLE ($5.71M), Capela TPE ($3.60M), Nene TPE ($2.46M), two TPEs &lt; $2M</t>
  </si>
  <si>
    <t>IND</t>
  </si>
  <si>
    <t>LAC</t>
  </si>
  <si>
    <t>[Full MLE ($9.26M) + BAE ($3.62M)] or [Tax MLE ($5.72M)] , Robinson TPE ($3.57M), one TPE &lt; $2M</t>
  </si>
  <si>
    <t>LAL</t>
  </si>
  <si>
    <t>MEM</t>
  </si>
  <si>
    <t>Full MLE ($9.26M), Wright TPE ($4.74M), Iguodala TPE ($4.19M), Korver TPE ($3.44M), Miles TPE ($3.13M), three TPEs &lt; $2M</t>
  </si>
  <si>
    <t>MIA</t>
  </si>
  <si>
    <t>[Room ($4.77M)] or [Full MLE ($9.26M) + BAE ($3.62M) + Johnson TPE ($7.53M)]</t>
  </si>
  <si>
    <t>MIL</t>
  </si>
  <si>
    <t>[Full MLE ($9.26M) + BAE ($3.62M)] or [Tax MLE ($5.72M)]</t>
  </si>
  <si>
    <t>MIN</t>
  </si>
  <si>
    <t>Full MLE ($9.26M), BAE ($3.62M), three TPEs &lt; $2M</t>
  </si>
  <si>
    <t>NOP</t>
  </si>
  <si>
    <t>[Room ($4.77M)] or [Full MLE ($9.26M) + BAE ($3.62M)]</t>
  </si>
  <si>
    <t>NYK</t>
  </si>
  <si>
    <t>OKC</t>
  </si>
  <si>
    <t>Full MLE ($9.26M), BAE ($3.62M), George TPE ($10.39M), Grant TPE ($9.35M)</t>
  </si>
  <si>
    <t>ORL</t>
  </si>
  <si>
    <t>PHI</t>
  </si>
  <si>
    <t>Tax MLE ($5.72M), one TPE &lt; $2M</t>
  </si>
  <si>
    <t>PHX</t>
  </si>
  <si>
    <t>POR</t>
  </si>
  <si>
    <t>Full MLE ($9.26M), Bazemore TPE ($7.07M), BAE ($3.62M), Labissiere TPE ($2.34M), one TPE &lt; $2M</t>
  </si>
  <si>
    <t>SAC</t>
  </si>
  <si>
    <t>Full MLE ($9.26M), BAE ($3.62M), Dedmon TPE ($2.67M)</t>
  </si>
  <si>
    <t>SAS</t>
  </si>
  <si>
    <t>TOR</t>
  </si>
  <si>
    <t>UTA</t>
  </si>
  <si>
    <t>WSH</t>
  </si>
  <si>
    <t>Cap</t>
  </si>
  <si>
    <t>Tax</t>
  </si>
  <si>
    <t>Apron</t>
  </si>
  <si>
    <t>NAME</t>
  </si>
  <si>
    <t>POSITION</t>
  </si>
  <si>
    <t>HEIGHT</t>
  </si>
  <si>
    <t>WINGSPAN</t>
  </si>
  <si>
    <t>WEIGHT</t>
  </si>
  <si>
    <t>DOB</t>
  </si>
  <si>
    <t>AGE</t>
  </si>
  <si>
    <t>BEFORE_NBA</t>
  </si>
  <si>
    <t>HOMETOWN</t>
  </si>
  <si>
    <t>Ringer "Shades Of"</t>
  </si>
  <si>
    <t>ESPN Film Breakdown</t>
  </si>
  <si>
    <t>Ringer</t>
  </si>
  <si>
    <t>Bleacher Report</t>
  </si>
  <si>
    <t>Anthony Edwards</t>
  </si>
  <si>
    <t>Georgia</t>
  </si>
  <si>
    <t>Atlanta, GA</t>
  </si>
  <si>
    <t>Victor Oladipo, Eric Gordon, Dion Waiters</t>
  </si>
  <si>
    <t>https://www.youtube.com/watch?v=iPa8o9mkhMo</t>
  </si>
  <si>
    <t>1 (GSW)</t>
  </si>
  <si>
    <t>LaMelo Ball</t>
  </si>
  <si>
    <t>Iilawara Hawks (Australia)</t>
  </si>
  <si>
    <t>Chino Hills, CA</t>
  </si>
  <si>
    <t>Jason Williams, Lonzo Ball, Shaun Livingston</t>
  </si>
  <si>
    <t>https://www.youtube.com/watch?v=vKmuRF--jQI</t>
  </si>
  <si>
    <t>2 (CLE)</t>
  </si>
  <si>
    <t>Obi Toppin</t>
  </si>
  <si>
    <t>Dayton</t>
  </si>
  <si>
    <t>Brooklyn, NY</t>
  </si>
  <si>
    <t>Amar'e Stoudemire (on offense), Jahlil Okafor (on defense)</t>
  </si>
  <si>
    <t>https://www.youtube.com/watch?v=yxpzVO39yCc</t>
  </si>
  <si>
    <t>7 (CHI)</t>
  </si>
  <si>
    <t>4 (ATL)</t>
  </si>
  <si>
    <t>James Wiseman</t>
  </si>
  <si>
    <t>Memphis</t>
  </si>
  <si>
    <t>Nashville, TN</t>
  </si>
  <si>
    <t>David Robinson, mild-mannered Rasheed Wallace, Damian Jones</t>
  </si>
  <si>
    <t>https://www.youtube.com/watch?v=d8N5Nat7Aj4</t>
  </si>
  <si>
    <t>3 (MIN)</t>
  </si>
  <si>
    <t>5 (DET)</t>
  </si>
  <si>
    <t>Onyeka Okongwu</t>
  </si>
  <si>
    <t>USC</t>
  </si>
  <si>
    <t>Chino, CA</t>
  </si>
  <si>
    <t>Bam Adebayo, young Antonio McDyess, Taj Gibson</t>
  </si>
  <si>
    <t>https://www.youtube.com/watch?v=z6H0f___-bc</t>
  </si>
  <si>
    <t>9 (WSH)</t>
  </si>
  <si>
    <t>Deni Avdija</t>
  </si>
  <si>
    <t>Maccabi Tel Aviv (Israel)</t>
  </si>
  <si>
    <t>Beit Zera, Israel</t>
  </si>
  <si>
    <t>Danilo Gallinari, Nic Batum, Dario Saric</t>
  </si>
  <si>
    <t>8 (CHA)</t>
  </si>
  <si>
    <t>Killian Hayes</t>
  </si>
  <si>
    <t>Ulm (Germany)</t>
  </si>
  <si>
    <t>Cholet, France</t>
  </si>
  <si>
    <t>D'Angelo Russell, Manu Ginobili</t>
  </si>
  <si>
    <t>11 (SAS)</t>
  </si>
  <si>
    <t>6 (NYK)</t>
  </si>
  <si>
    <t>Isaac Okoro</t>
  </si>
  <si>
    <t>Auburn</t>
  </si>
  <si>
    <t>Gerald Wallace, Justise Winslow</t>
  </si>
  <si>
    <t>Tyrese Haliburton</t>
  </si>
  <si>
    <t>Iowa State</t>
  </si>
  <si>
    <t>Oshkosh, WI</t>
  </si>
  <si>
    <t>Shai Gilgeous-Alexander, Sam Cassell</t>
  </si>
  <si>
    <t>10 (PHX)</t>
  </si>
  <si>
    <t>Tyrese Maxey</t>
  </si>
  <si>
    <t>Devin Vassell</t>
  </si>
  <si>
    <t>RJ Hampton</t>
  </si>
  <si>
    <t>Aaron Hesmith</t>
  </si>
  <si>
    <t>Cole Anthony</t>
  </si>
  <si>
    <t>Patrick Williams</t>
  </si>
  <si>
    <t>Kira Lewis Jr.</t>
  </si>
  <si>
    <t>Theo Maledon</t>
  </si>
  <si>
    <t>Saddiq Bey</t>
  </si>
  <si>
    <t>Leandro Bolmaro</t>
  </si>
  <si>
    <t>Jaden McDaniels</t>
  </si>
  <si>
    <t>Robert Woodard</t>
  </si>
  <si>
    <t>Tyrell Terry</t>
  </si>
  <si>
    <t>Nico Mannion</t>
  </si>
  <si>
    <t>Precious Achiuwa</t>
  </si>
  <si>
    <t>Jahmi'us Ramsey</t>
  </si>
  <si>
    <t>Aleksej Pokusevski</t>
  </si>
  <si>
    <t>Tyler Bey</t>
  </si>
  <si>
    <t>Isaiah Stewart</t>
  </si>
  <si>
    <t>Josh Green</t>
  </si>
  <si>
    <t>Jalen Smith</t>
  </si>
  <si>
    <t>Devon Dotson</t>
  </si>
  <si>
    <t>Paul Reed</t>
  </si>
  <si>
    <t>Tre Jones</t>
  </si>
  <si>
    <t>Desmond Bane</t>
  </si>
  <si>
    <t>Cassius Winston</t>
  </si>
  <si>
    <t>Payton Pritchard</t>
  </si>
  <si>
    <t>Malachi Flynn</t>
  </si>
  <si>
    <t>#</t>
  </si>
  <si>
    <t>EXPERIENCE</t>
  </si>
  <si>
    <t>DRAFT_YEAR</t>
  </si>
  <si>
    <t>PICK</t>
  </si>
  <si>
    <t>ACQUIRED</t>
  </si>
  <si>
    <t>SIGNED_USING</t>
  </si>
  <si>
    <t>PREV. TEAM</t>
  </si>
  <si>
    <t>CONTRACT_DETAILS</t>
  </si>
  <si>
    <t>POSITION_BREAKDOWN</t>
  </si>
  <si>
    <t>POS_NUM</t>
  </si>
  <si>
    <t>GP</t>
  </si>
  <si>
    <t>WINPCT</t>
  </si>
  <si>
    <t>ORTG</t>
  </si>
  <si>
    <t>DRTG</t>
  </si>
  <si>
    <t>NETRTG</t>
  </si>
  <si>
    <t>MPG</t>
  </si>
  <si>
    <t>PER</t>
  </si>
  <si>
    <t>TSPCT</t>
  </si>
  <si>
    <t>USGPCT</t>
  </si>
  <si>
    <t>OWS</t>
  </si>
  <si>
    <t>DWS</t>
  </si>
  <si>
    <t>WS_48</t>
  </si>
  <si>
    <t>OBPM</t>
  </si>
  <si>
    <t>DBPM</t>
  </si>
  <si>
    <t>VORP</t>
  </si>
  <si>
    <t>PIE</t>
  </si>
  <si>
    <t>00</t>
  </si>
  <si>
    <t>Jeff Teague</t>
  </si>
  <si>
    <t>Combo</t>
  </si>
  <si>
    <t>Wake Forest</t>
  </si>
  <si>
    <t>Traded from MIN on 1/16/20</t>
  </si>
  <si>
    <r>
      <t xml:space="preserve">39% PG, </t>
    </r>
    <r>
      <rPr>
        <u/>
        <sz val="12"/>
        <color theme="1"/>
        <rFont val="Calibri"/>
        <family val="2"/>
      </rPr>
      <t>60% SG</t>
    </r>
    <r>
      <rPr>
        <sz val="12"/>
        <color theme="1"/>
        <rFont val="Calibri"/>
        <family val="2"/>
      </rPr>
      <t>, 1% SF</t>
    </r>
  </si>
  <si>
    <t>DeAndre' Bembry</t>
  </si>
  <si>
    <t>Saint Joseph's</t>
  </si>
  <si>
    <t>2016 Draft (#21 pick)</t>
  </si>
  <si>
    <r>
      <t xml:space="preserve">12% PG, </t>
    </r>
    <r>
      <rPr>
        <u/>
        <sz val="12"/>
        <color theme="1"/>
        <rFont val="Calibri"/>
        <family val="2"/>
      </rPr>
      <t>80% SG,</t>
    </r>
    <r>
      <rPr>
        <sz val="12"/>
        <color theme="1"/>
        <rFont val="Calibri"/>
        <family val="2"/>
      </rPr>
      <t xml:space="preserve"> 8% SF</t>
    </r>
  </si>
  <si>
    <t>Skal Labissiere</t>
  </si>
  <si>
    <t>Big</t>
  </si>
  <si>
    <t>Kentucky</t>
  </si>
  <si>
    <t>Traded from POR on 2/6/20</t>
  </si>
  <si>
    <r>
      <t>8% PF,</t>
    </r>
    <r>
      <rPr>
        <u/>
        <sz val="12"/>
        <color theme="1"/>
        <rFont val="Calibri"/>
        <family val="2"/>
      </rPr>
      <t xml:space="preserve"> 92% C</t>
    </r>
  </si>
  <si>
    <t>Damian Jones</t>
  </si>
  <si>
    <t xml:space="preserve">Vanderbilt </t>
  </si>
  <si>
    <t>Traded from GSW on 7/8/19</t>
  </si>
  <si>
    <r>
      <t>1% PF,</t>
    </r>
    <r>
      <rPr>
        <u/>
        <sz val="12"/>
        <color theme="1"/>
        <rFont val="Calibri"/>
        <family val="2"/>
      </rPr>
      <t xml:space="preserve"> 99% C</t>
    </r>
  </si>
  <si>
    <t>Brandon Goodwin</t>
  </si>
  <si>
    <t>FGC</t>
  </si>
  <si>
    <t>Signed on 8/6/19 (two way)</t>
  </si>
  <si>
    <t>100% PG</t>
  </si>
  <si>
    <t>Treveon Graham</t>
  </si>
  <si>
    <t>Forward</t>
  </si>
  <si>
    <t>VCU</t>
  </si>
  <si>
    <r>
      <t>2% PG,</t>
    </r>
    <r>
      <rPr>
        <u/>
        <sz val="12"/>
        <color theme="1"/>
        <rFont val="Calibri"/>
        <family val="2"/>
      </rPr>
      <t xml:space="preserve"> 61% SG</t>
    </r>
    <r>
      <rPr>
        <sz val="12"/>
        <color theme="1"/>
        <rFont val="Calibri"/>
        <family val="2"/>
      </rPr>
      <t>, 32% SF, 5% PF</t>
    </r>
  </si>
  <si>
    <t>Charlie Brown Jr.</t>
  </si>
  <si>
    <t>Wing</t>
  </si>
  <si>
    <t xml:space="preserve">Saint Joseph's </t>
  </si>
  <si>
    <t>Signed on 7/1/19 (two way)</t>
  </si>
  <si>
    <r>
      <t xml:space="preserve">10% PG, </t>
    </r>
    <r>
      <rPr>
        <u/>
        <sz val="12"/>
        <color theme="1"/>
        <rFont val="Calibri"/>
        <family val="2"/>
      </rPr>
      <t>57% SG</t>
    </r>
    <r>
      <rPr>
        <sz val="12"/>
        <color theme="1"/>
        <rFont val="Calibri"/>
        <family val="2"/>
      </rPr>
      <t>, 33% SF</t>
    </r>
  </si>
  <si>
    <t>Gordon Hayward</t>
  </si>
  <si>
    <t>Butler</t>
  </si>
  <si>
    <t>Signed on 7/14/17</t>
  </si>
  <si>
    <t>15% trade kicker</t>
  </si>
  <si>
    <r>
      <t xml:space="preserve">6% SG, </t>
    </r>
    <r>
      <rPr>
        <u/>
        <sz val="12"/>
        <color theme="1"/>
        <rFont val="Calibri"/>
        <family val="2"/>
      </rPr>
      <t>77% SF</t>
    </r>
    <r>
      <rPr>
        <sz val="12"/>
        <color theme="1"/>
        <rFont val="Calibri"/>
        <family val="2"/>
      </rPr>
      <t>, 17% PF</t>
    </r>
  </si>
  <si>
    <t>Enes Kanter</t>
  </si>
  <si>
    <t>Signed on 7/17/19</t>
  </si>
  <si>
    <t>100% C</t>
  </si>
  <si>
    <t>Daniel Theis</t>
  </si>
  <si>
    <t>Brose Bamberg (Germany)</t>
  </si>
  <si>
    <t>Signed on 7/20/17</t>
  </si>
  <si>
    <t>Brad Wanamaker</t>
  </si>
  <si>
    <t>Fenerbahce (Turkey)</t>
  </si>
  <si>
    <t>Signed on 7/2/18</t>
  </si>
  <si>
    <r>
      <rPr>
        <u/>
        <sz val="12"/>
        <color theme="1"/>
        <rFont val="Calibri"/>
        <family val="2"/>
      </rPr>
      <t>79% PG</t>
    </r>
    <r>
      <rPr>
        <sz val="12"/>
        <color theme="1"/>
        <rFont val="Calibri"/>
        <family val="2"/>
      </rPr>
      <t>, 21% SG</t>
    </r>
  </si>
  <si>
    <t>Semi Ojeleye</t>
  </si>
  <si>
    <t>SMU</t>
  </si>
  <si>
    <t>2017 Draft (#37 pick)</t>
  </si>
  <si>
    <r>
      <t xml:space="preserve">1% SG, </t>
    </r>
    <r>
      <rPr>
        <u/>
        <sz val="12"/>
        <color theme="1"/>
        <rFont val="Calibri"/>
        <family val="2"/>
      </rPr>
      <t>53% SF</t>
    </r>
    <r>
      <rPr>
        <sz val="12"/>
        <color theme="1"/>
        <rFont val="Calibri"/>
        <family val="2"/>
      </rPr>
      <t>, 45% PF, 1% C</t>
    </r>
  </si>
  <si>
    <t>Javonte Green</t>
  </si>
  <si>
    <t>Signed on 7/25/19</t>
  </si>
  <si>
    <r>
      <t xml:space="preserve">2% PG, 45% SG, </t>
    </r>
    <r>
      <rPr>
        <u/>
        <sz val="12"/>
        <color theme="1"/>
        <rFont val="Calibri"/>
        <family val="2"/>
      </rPr>
      <t>51% SF</t>
    </r>
    <r>
      <rPr>
        <sz val="12"/>
        <color theme="1"/>
        <rFont val="Calibri"/>
        <family val="2"/>
      </rPr>
      <t>, 3% PF</t>
    </r>
  </si>
  <si>
    <t>Tremont Waters</t>
  </si>
  <si>
    <t>Point</t>
  </si>
  <si>
    <t>LSU</t>
  </si>
  <si>
    <t>2019 Draft (#51 pick)</t>
  </si>
  <si>
    <t>Tacko Fall</t>
  </si>
  <si>
    <t>UCF</t>
  </si>
  <si>
    <t>Joe Harris</t>
  </si>
  <si>
    <t>Virginia</t>
  </si>
  <si>
    <t>Signed on 7/19/16</t>
  </si>
  <si>
    <r>
      <t>11% SG,</t>
    </r>
    <r>
      <rPr>
        <u/>
        <sz val="12"/>
        <color theme="1"/>
        <rFont val="Calibri"/>
        <family val="2"/>
      </rPr>
      <t xml:space="preserve"> 82% SF</t>
    </r>
    <r>
      <rPr>
        <sz val="12"/>
        <color theme="1"/>
        <rFont val="Calibri"/>
        <family val="2"/>
      </rPr>
      <t>, 7% PF</t>
    </r>
  </si>
  <si>
    <t>Garrett Temple</t>
  </si>
  <si>
    <t>Signed on 7/8/19</t>
  </si>
  <si>
    <r>
      <rPr>
        <u/>
        <sz val="12"/>
        <color theme="1"/>
        <rFont val="Calibri"/>
        <family val="2"/>
      </rPr>
      <t>86% PG</t>
    </r>
    <r>
      <rPr>
        <sz val="12"/>
        <color theme="1"/>
        <rFont val="Calibri"/>
        <family val="2"/>
      </rPr>
      <t>, 14% SG</t>
    </r>
  </si>
  <si>
    <t>Timothe Luwawu-Cabarrot</t>
  </si>
  <si>
    <t>Mega Leks (Serbia)</t>
  </si>
  <si>
    <t>Signed on 2/7/20</t>
  </si>
  <si>
    <r>
      <t xml:space="preserve">1% PG, 46% SG, </t>
    </r>
    <r>
      <rPr>
        <u/>
        <sz val="12"/>
        <color theme="1"/>
        <rFont val="Calibri"/>
        <family val="2"/>
      </rPr>
      <t>52% SF</t>
    </r>
    <r>
      <rPr>
        <sz val="12"/>
        <color theme="1"/>
        <rFont val="Calibri"/>
        <family val="2"/>
      </rPr>
      <t>, 1% PF</t>
    </r>
  </si>
  <si>
    <t>Wilson Chandler</t>
  </si>
  <si>
    <t>DePaul</t>
  </si>
  <si>
    <r>
      <t xml:space="preserve">1% SG, 21% SF, </t>
    </r>
    <r>
      <rPr>
        <u/>
        <sz val="12"/>
        <color theme="1"/>
        <rFont val="Calibri"/>
        <family val="2"/>
      </rPr>
      <t>75% PF</t>
    </r>
    <r>
      <rPr>
        <sz val="12"/>
        <color theme="1"/>
        <rFont val="Calibri"/>
        <family val="2"/>
      </rPr>
      <t>, 3% C</t>
    </r>
  </si>
  <si>
    <t>Tyler Johnson</t>
  </si>
  <si>
    <t>Fresno State</t>
  </si>
  <si>
    <t>Signed on 6/24/20</t>
  </si>
  <si>
    <r>
      <t xml:space="preserve">37% PG, </t>
    </r>
    <r>
      <rPr>
        <u/>
        <sz val="12"/>
        <color theme="1"/>
        <rFont val="Calibri"/>
        <family val="2"/>
      </rPr>
      <t>58% SG</t>
    </r>
    <r>
      <rPr>
        <sz val="12"/>
        <color theme="1"/>
        <rFont val="Calibri"/>
        <family val="2"/>
      </rPr>
      <t>, 5% SF</t>
    </r>
  </si>
  <si>
    <t>Chris Chiozza</t>
  </si>
  <si>
    <t>Florida</t>
  </si>
  <si>
    <t>Signed on 1/4/20</t>
  </si>
  <si>
    <t>Justin Anderson</t>
  </si>
  <si>
    <t>Signed on 7/18/20</t>
  </si>
  <si>
    <r>
      <t xml:space="preserve">35% SG, </t>
    </r>
    <r>
      <rPr>
        <u/>
        <sz val="12"/>
        <color theme="1"/>
        <rFont val="Calibri"/>
        <family val="2"/>
      </rPr>
      <t>65% SF</t>
    </r>
  </si>
  <si>
    <t>Donta Hall</t>
  </si>
  <si>
    <t>Alabama</t>
  </si>
  <si>
    <t>Signed on 7/10/20</t>
  </si>
  <si>
    <t>Lance Thomas</t>
  </si>
  <si>
    <t>Duke</t>
  </si>
  <si>
    <t>Signed on 7/14/20</t>
  </si>
  <si>
    <t>Jamal Crawford</t>
  </si>
  <si>
    <t>Michigan</t>
  </si>
  <si>
    <t>Signed on 7/9/20</t>
  </si>
  <si>
    <t>Nicolas Batum</t>
  </si>
  <si>
    <t>Le Mans (France)</t>
  </si>
  <si>
    <t>Traded from POR on 6/24/15</t>
  </si>
  <si>
    <r>
      <rPr>
        <u/>
        <sz val="12"/>
        <color theme="1"/>
        <rFont val="Calibri (Body)"/>
      </rPr>
      <t>67% SF</t>
    </r>
    <r>
      <rPr>
        <sz val="12"/>
        <color theme="1"/>
        <rFont val="Calibri"/>
        <family val="2"/>
        <scheme val="minor"/>
      </rPr>
      <t>, 32% PF</t>
    </r>
  </si>
  <si>
    <t>Bismack Biyombo</t>
  </si>
  <si>
    <t>Fuenlabrada (Spain)</t>
  </si>
  <si>
    <t>Traded from ORL on 7/7/18</t>
  </si>
  <si>
    <r>
      <t xml:space="preserve">3% PF, </t>
    </r>
    <r>
      <rPr>
        <u/>
        <sz val="12"/>
        <color theme="1"/>
        <rFont val="Calibri (Body)"/>
      </rPr>
      <t>97% C</t>
    </r>
  </si>
  <si>
    <t>Willy Hernangomez</t>
  </si>
  <si>
    <t>Sevilla (Spain)</t>
  </si>
  <si>
    <t>Traded from NYK on 2/7/18</t>
  </si>
  <si>
    <t>Dwayne Bacon</t>
  </si>
  <si>
    <t>Florida State</t>
  </si>
  <si>
    <t>2017 Draft (#40 pick)</t>
  </si>
  <si>
    <r>
      <t xml:space="preserve">3% PG, 43% SG, </t>
    </r>
    <r>
      <rPr>
        <u/>
        <sz val="12"/>
        <color theme="1"/>
        <rFont val="Calibri (Body)"/>
      </rPr>
      <t>55% SF</t>
    </r>
  </si>
  <si>
    <t>Devonte' Graham</t>
  </si>
  <si>
    <t>Kansas</t>
  </si>
  <si>
    <t>2018 Draft (#34 pick)</t>
  </si>
  <si>
    <t>Caleb Martin</t>
  </si>
  <si>
    <t>Nevada</t>
  </si>
  <si>
    <t>Signed on 7/31/19</t>
  </si>
  <si>
    <r>
      <t xml:space="preserve">5% PG, </t>
    </r>
    <r>
      <rPr>
        <u/>
        <sz val="12"/>
        <color theme="1"/>
        <rFont val="Calibri (Body)"/>
      </rPr>
      <t>73% SG</t>
    </r>
    <r>
      <rPr>
        <sz val="12"/>
        <color theme="1"/>
        <rFont val="Calibri"/>
        <family val="2"/>
        <scheme val="minor"/>
      </rPr>
      <t>, 23% SF</t>
    </r>
  </si>
  <si>
    <t>Jalen McDaniels</t>
  </si>
  <si>
    <t>San Diego State</t>
  </si>
  <si>
    <t>2019 Draft (#52 pick)</t>
  </si>
  <si>
    <r>
      <rPr>
        <u/>
        <sz val="12"/>
        <color theme="1"/>
        <rFont val="Calibri (Body)"/>
      </rPr>
      <t>81% PF</t>
    </r>
    <r>
      <rPr>
        <sz val="12"/>
        <color theme="1"/>
        <rFont val="Calibri"/>
        <family val="2"/>
        <scheme val="minor"/>
      </rPr>
      <t>, 19% C</t>
    </r>
  </si>
  <si>
    <t>Kobi Simmons</t>
  </si>
  <si>
    <t>Arizona</t>
  </si>
  <si>
    <t>Signed on 9/16/19</t>
  </si>
  <si>
    <t>Otto Porter Jr.</t>
  </si>
  <si>
    <t>Georgetown</t>
  </si>
  <si>
    <t>Traded from WSH on 2/6/19</t>
  </si>
  <si>
    <t>50% advance in salary by 10/1</t>
  </si>
  <si>
    <r>
      <rPr>
        <u/>
        <sz val="12"/>
        <color theme="1"/>
        <rFont val="Calibri (Body)"/>
      </rPr>
      <t>90% SF</t>
    </r>
    <r>
      <rPr>
        <sz val="12"/>
        <color theme="1"/>
        <rFont val="Calibri"/>
        <family val="2"/>
        <scheme val="minor"/>
      </rPr>
      <t>, 10% PF</t>
    </r>
  </si>
  <si>
    <t>Kris Dunn</t>
  </si>
  <si>
    <t>Providence</t>
  </si>
  <si>
    <t>Traded from MIN on 6/22/17</t>
  </si>
  <si>
    <r>
      <rPr>
        <u/>
        <sz val="12"/>
        <color theme="1"/>
        <rFont val="Calibri (Body)"/>
      </rPr>
      <t>81% PG</t>
    </r>
    <r>
      <rPr>
        <sz val="12"/>
        <color theme="1"/>
        <rFont val="Calibri"/>
        <family val="2"/>
        <scheme val="minor"/>
      </rPr>
      <t>, 19% SG</t>
    </r>
  </si>
  <si>
    <t>Denzel Valentine</t>
  </si>
  <si>
    <t>Michigan State</t>
  </si>
  <si>
    <t>2016 Draft (#14 pick)</t>
  </si>
  <si>
    <r>
      <t xml:space="preserve">22% SG, </t>
    </r>
    <r>
      <rPr>
        <u/>
        <sz val="12"/>
        <color theme="1"/>
        <rFont val="Calibri (Body)"/>
      </rPr>
      <t>76% SF</t>
    </r>
    <r>
      <rPr>
        <sz val="12"/>
        <color theme="1"/>
        <rFont val="Calibri"/>
        <family val="2"/>
        <scheme val="minor"/>
      </rPr>
      <t>, 3% PF</t>
    </r>
  </si>
  <si>
    <t>Shaquille Harrison</t>
  </si>
  <si>
    <t>Tulsa</t>
  </si>
  <si>
    <t>Signed on 10/21/18</t>
  </si>
  <si>
    <r>
      <t xml:space="preserve">11% SG, </t>
    </r>
    <r>
      <rPr>
        <u/>
        <sz val="12"/>
        <color theme="1"/>
        <rFont val="Calibri (Body)"/>
      </rPr>
      <t>69% SF</t>
    </r>
    <r>
      <rPr>
        <sz val="12"/>
        <color theme="1"/>
        <rFont val="Calibri"/>
        <family val="2"/>
        <scheme val="minor"/>
      </rPr>
      <t>, 20% PF</t>
    </r>
  </si>
  <si>
    <t>Adam Mokoka</t>
  </si>
  <si>
    <t>Mega Basket (Serbia)</t>
  </si>
  <si>
    <t>Signed on 7/2/19</t>
  </si>
  <si>
    <r>
      <t xml:space="preserve">27% SG, </t>
    </r>
    <r>
      <rPr>
        <u/>
        <sz val="12"/>
        <color theme="1"/>
        <rFont val="Calibri (Body)"/>
      </rPr>
      <t>71% SF</t>
    </r>
    <r>
      <rPr>
        <sz val="12"/>
        <color theme="1"/>
        <rFont val="Calibri"/>
        <family val="2"/>
        <scheme val="minor"/>
      </rPr>
      <t>, 2% PF</t>
    </r>
  </si>
  <si>
    <t>Max Strus</t>
  </si>
  <si>
    <t>Signed on 10/22/19</t>
  </si>
  <si>
    <t>100% SG</t>
  </si>
  <si>
    <t>Marquese Chriss</t>
  </si>
  <si>
    <t>Washington State</t>
  </si>
  <si>
    <t>Signed on 9/30/19</t>
  </si>
  <si>
    <t>Damion Lee</t>
  </si>
  <si>
    <t>Louisville</t>
  </si>
  <si>
    <t>Signed on 7/14/18</t>
  </si>
  <si>
    <r>
      <t xml:space="preserve">11% PG, </t>
    </r>
    <r>
      <rPr>
        <u/>
        <sz val="12"/>
        <color theme="1"/>
        <rFont val="Calibri (Body)"/>
      </rPr>
      <t>70% SG</t>
    </r>
    <r>
      <rPr>
        <sz val="12"/>
        <color theme="1"/>
        <rFont val="Calibri"/>
        <family val="2"/>
        <scheme val="minor"/>
      </rPr>
      <t>, 18% SF</t>
    </r>
  </si>
  <si>
    <t>Ky Bowman</t>
  </si>
  <si>
    <t>Boston College</t>
  </si>
  <si>
    <t>Juan Toscano-Anderson</t>
  </si>
  <si>
    <t>Monterrey Royal Force (Mexico)</t>
  </si>
  <si>
    <r>
      <t>1% SG,</t>
    </r>
    <r>
      <rPr>
        <u/>
        <sz val="12"/>
        <color theme="1"/>
        <rFont val="Calibri (Body)"/>
      </rPr>
      <t xml:space="preserve"> 59% SF</t>
    </r>
    <r>
      <rPr>
        <sz val="12"/>
        <color theme="1"/>
        <rFont val="Calibri"/>
        <family val="2"/>
        <scheme val="minor"/>
      </rPr>
      <t>, 39% PF</t>
    </r>
  </si>
  <si>
    <t>Mychal Mulder</t>
  </si>
  <si>
    <t>Signed on 3/10/20</t>
  </si>
  <si>
    <r>
      <rPr>
        <u/>
        <sz val="12"/>
        <color theme="1"/>
        <rFont val="Calibri (Body)"/>
      </rPr>
      <t>87% PG</t>
    </r>
    <r>
      <rPr>
        <sz val="12"/>
        <color theme="1"/>
        <rFont val="Calibri"/>
        <family val="2"/>
        <scheme val="minor"/>
      </rPr>
      <t>, 9% SG, 3% SF</t>
    </r>
  </si>
  <si>
    <t>Danilo Gallinari</t>
  </si>
  <si>
    <t>Olimpia Milano (Italy)</t>
  </si>
  <si>
    <t>Traded from LAC on 7/10/19</t>
  </si>
  <si>
    <r>
      <rPr>
        <u/>
        <sz val="12"/>
        <color theme="1"/>
        <rFont val="Calibri (Body)"/>
      </rPr>
      <t>98% PF</t>
    </r>
    <r>
      <rPr>
        <sz val="12"/>
        <color theme="1"/>
        <rFont val="Calibri"/>
        <family val="2"/>
        <scheme val="minor"/>
      </rPr>
      <t>, 2% C</t>
    </r>
  </si>
  <si>
    <t>Andre Roberson</t>
  </si>
  <si>
    <t>Colorado</t>
  </si>
  <si>
    <t>2013 Draft (#26 pick)</t>
  </si>
  <si>
    <r>
      <rPr>
        <u/>
        <sz val="12"/>
        <color theme="1"/>
        <rFont val="Calibri (Body)"/>
      </rPr>
      <t>83% SG</t>
    </r>
    <r>
      <rPr>
        <sz val="12"/>
        <color theme="1"/>
        <rFont val="Calibri"/>
        <family val="2"/>
        <scheme val="minor"/>
      </rPr>
      <t>, 17% SF</t>
    </r>
  </si>
  <si>
    <t>Mike Muscala</t>
  </si>
  <si>
    <t>Obradoiro CAB (Spain)</t>
  </si>
  <si>
    <t>Signed on 7/10/19</t>
  </si>
  <si>
    <r>
      <t xml:space="preserve">8% PF, </t>
    </r>
    <r>
      <rPr>
        <u/>
        <sz val="12"/>
        <color theme="1"/>
        <rFont val="Calibri (Body)"/>
      </rPr>
      <t>92% C</t>
    </r>
  </si>
  <si>
    <t>Abdel Nader</t>
  </si>
  <si>
    <t>Traded from BOS on 7/23/18</t>
  </si>
  <si>
    <r>
      <t xml:space="preserve">2% SG, </t>
    </r>
    <r>
      <rPr>
        <u/>
        <sz val="12"/>
        <color theme="1"/>
        <rFont val="Calibri (Body)"/>
      </rPr>
      <t>58% SF</t>
    </r>
    <r>
      <rPr>
        <sz val="12"/>
        <color theme="1"/>
        <rFont val="Calibri"/>
        <family val="2"/>
        <scheme val="minor"/>
      </rPr>
      <t>, 40% PF</t>
    </r>
  </si>
  <si>
    <t>Hamidou Diallo</t>
  </si>
  <si>
    <t>2018 Draft (#45 pick)</t>
  </si>
  <si>
    <r>
      <t xml:space="preserve">15% SG, </t>
    </r>
    <r>
      <rPr>
        <u/>
        <sz val="12"/>
        <color theme="1"/>
        <rFont val="Calibri (Body)"/>
      </rPr>
      <t>76% SF</t>
    </r>
    <r>
      <rPr>
        <sz val="12"/>
        <color theme="1"/>
        <rFont val="Calibri"/>
        <family val="2"/>
        <scheme val="minor"/>
      </rPr>
      <t>, 8% PF</t>
    </r>
  </si>
  <si>
    <t>Deonte Burton</t>
  </si>
  <si>
    <t>Wonju DB Promy (South Korea)</t>
  </si>
  <si>
    <t>Signed on 7/7/18</t>
  </si>
  <si>
    <r>
      <t xml:space="preserve">12% PG, 37% SG, </t>
    </r>
    <r>
      <rPr>
        <u/>
        <sz val="12"/>
        <color theme="1"/>
        <rFont val="Calibri (Body)"/>
      </rPr>
      <t>45% SF</t>
    </r>
    <r>
      <rPr>
        <sz val="12"/>
        <color theme="1"/>
        <rFont val="Calibri"/>
        <family val="2"/>
        <scheme val="minor"/>
      </rPr>
      <t>, 7% PF</t>
    </r>
  </si>
  <si>
    <t>Nerlens Noel</t>
  </si>
  <si>
    <t>Signed on 7/6/18</t>
  </si>
  <si>
    <t>1% PF, 99% C</t>
  </si>
  <si>
    <t>Kevin Hervey</t>
  </si>
  <si>
    <t>UT-Arlington</t>
  </si>
  <si>
    <t>Signed on 12/12/19</t>
  </si>
  <si>
    <r>
      <t xml:space="preserve">49% PF, </t>
    </r>
    <r>
      <rPr>
        <u/>
        <sz val="12"/>
        <color theme="1"/>
        <rFont val="Calibri (Body)"/>
      </rPr>
      <t>51% C</t>
    </r>
  </si>
  <si>
    <t>Devon Hall</t>
  </si>
  <si>
    <t>Cairns Taipans (Australia)</t>
  </si>
  <si>
    <t>2018 Draft (#53 pick)</t>
  </si>
  <si>
    <t>Kent Bazemore</t>
  </si>
  <si>
    <t>Old Dominion</t>
  </si>
  <si>
    <t>Traded from POR on 1/21/20</t>
  </si>
  <si>
    <r>
      <rPr>
        <u/>
        <sz val="12"/>
        <color theme="1"/>
        <rFont val="Calibri"/>
        <family val="2"/>
      </rPr>
      <t>88% SG</t>
    </r>
    <r>
      <rPr>
        <sz val="12"/>
        <color theme="1"/>
        <rFont val="Calibri"/>
        <family val="2"/>
      </rPr>
      <t>, 12% SF</t>
    </r>
  </si>
  <si>
    <t>Bogdan Bogdanovic</t>
  </si>
  <si>
    <t>Signed on 7/13/17</t>
  </si>
  <si>
    <r>
      <t xml:space="preserve">40% SG, </t>
    </r>
    <r>
      <rPr>
        <u/>
        <sz val="12"/>
        <color theme="1"/>
        <rFont val="Calibri"/>
        <family val="2"/>
      </rPr>
      <t>55% SF</t>
    </r>
    <r>
      <rPr>
        <sz val="12"/>
        <color theme="1"/>
        <rFont val="Calibri"/>
        <family val="2"/>
      </rPr>
      <t>, 5% PF</t>
    </r>
  </si>
  <si>
    <t>Nemanja Bjelica</t>
  </si>
  <si>
    <t>Signed from MIN on 7/21/18</t>
  </si>
  <si>
    <r>
      <rPr>
        <u/>
        <sz val="12"/>
        <color theme="1"/>
        <rFont val="Calibri"/>
        <family val="2"/>
      </rPr>
      <t>83% PF</t>
    </r>
    <r>
      <rPr>
        <sz val="12"/>
        <color theme="1"/>
        <rFont val="Calibri"/>
        <family val="2"/>
      </rPr>
      <t>, 17% C</t>
    </r>
  </si>
  <si>
    <t>Jabari Parker</t>
  </si>
  <si>
    <t>Traded from ATL on 2/6/20</t>
  </si>
  <si>
    <r>
      <rPr>
        <u/>
        <sz val="12"/>
        <color theme="1"/>
        <rFont val="Calibri"/>
        <family val="2"/>
      </rPr>
      <t>89% PF</t>
    </r>
    <r>
      <rPr>
        <sz val="12"/>
        <color theme="1"/>
        <rFont val="Calibri"/>
        <family val="2"/>
      </rPr>
      <t>, 11% C</t>
    </r>
  </si>
  <si>
    <t>Alex Len</t>
  </si>
  <si>
    <t>Maryland</t>
  </si>
  <si>
    <t>Yogi Ferrell</t>
  </si>
  <si>
    <t>Indiana</t>
  </si>
  <si>
    <t>Signed from DAL on 7/20/18</t>
  </si>
  <si>
    <t>Harry Giles</t>
  </si>
  <si>
    <t>2017 Draft (#20 pick)</t>
  </si>
  <si>
    <r>
      <t xml:space="preserve">1% PF, </t>
    </r>
    <r>
      <rPr>
        <u/>
        <sz val="12"/>
        <color theme="1"/>
        <rFont val="Calibri"/>
        <family val="2"/>
      </rPr>
      <t>99% C</t>
    </r>
  </si>
  <si>
    <t>Corey Brewer</t>
  </si>
  <si>
    <t>Signed on 6/23/20</t>
  </si>
  <si>
    <t>DaQuan Jeffries</t>
  </si>
  <si>
    <t>Claimed off waivers on 10/21/19</t>
  </si>
  <si>
    <t>Ian Mahinmi</t>
  </si>
  <si>
    <t>Elan Bearnais (France)</t>
  </si>
  <si>
    <t>Signed on 7/7/16</t>
  </si>
  <si>
    <t>Davis Bertans</t>
  </si>
  <si>
    <t>Baskonia (Spain)</t>
  </si>
  <si>
    <t>Traded from SAS on 7/6/19</t>
  </si>
  <si>
    <r>
      <rPr>
        <u/>
        <sz val="12"/>
        <color theme="1"/>
        <rFont val="Calibri"/>
        <family val="2"/>
      </rPr>
      <t>84% PF</t>
    </r>
    <r>
      <rPr>
        <sz val="12"/>
        <color theme="1"/>
        <rFont val="Calibri"/>
        <family val="2"/>
      </rPr>
      <t>, 16% C</t>
    </r>
  </si>
  <si>
    <t>Shabazz Napier</t>
  </si>
  <si>
    <t>UConn</t>
  </si>
  <si>
    <t>Traded from DEN on 2/6/20</t>
  </si>
  <si>
    <t>Gary Payton II</t>
  </si>
  <si>
    <t>Oregon State</t>
  </si>
  <si>
    <t>Signed on 12/23/19</t>
  </si>
  <si>
    <r>
      <t xml:space="preserve">14% PG, </t>
    </r>
    <r>
      <rPr>
        <u/>
        <sz val="12"/>
        <color theme="1"/>
        <rFont val="Calibri"/>
        <family val="2"/>
      </rPr>
      <t>86% SG</t>
    </r>
    <r>
      <rPr>
        <sz val="12"/>
        <color theme="1"/>
        <rFont val="Calibri"/>
        <family val="2"/>
      </rPr>
      <t>, 1% SF</t>
    </r>
  </si>
  <si>
    <t>Garrison Mathews</t>
  </si>
  <si>
    <t>Lipscomb</t>
  </si>
  <si>
    <t>Signed on 7/3/19</t>
  </si>
  <si>
    <r>
      <t xml:space="preserve">6% PG, 43% SG, </t>
    </r>
    <r>
      <rPr>
        <u/>
        <sz val="12"/>
        <color theme="1"/>
        <rFont val="Calibri"/>
        <family val="2"/>
      </rPr>
      <t>48% SF</t>
    </r>
    <r>
      <rPr>
        <sz val="12"/>
        <color theme="1"/>
        <rFont val="Calibri"/>
        <family val="2"/>
      </rPr>
      <t>, 3% PF</t>
    </r>
  </si>
  <si>
    <t>Johnathan Williams</t>
  </si>
  <si>
    <t>Gonzaga</t>
  </si>
  <si>
    <t>Signed on 12/26/19</t>
  </si>
  <si>
    <t>Jerian Grant</t>
  </si>
  <si>
    <t>Notre Dame</t>
  </si>
  <si>
    <t>Signed on 7/1/20</t>
  </si>
  <si>
    <t>Jared Uthoff</t>
  </si>
  <si>
    <t>Iowa</t>
  </si>
  <si>
    <t>Signed on 7/17/20</t>
  </si>
  <si>
    <t>Isaac Bonga</t>
  </si>
  <si>
    <t>Skyliners Frankfurt (Germany)</t>
  </si>
  <si>
    <t>Traded from LAL on 7/6/19</t>
  </si>
  <si>
    <r>
      <t xml:space="preserve">1% SG, </t>
    </r>
    <r>
      <rPr>
        <u/>
        <sz val="12"/>
        <color theme="1"/>
        <rFont val="Calibri"/>
        <family val="2"/>
      </rPr>
      <t>69% SF</t>
    </r>
    <r>
      <rPr>
        <sz val="12"/>
        <color theme="1"/>
        <rFont val="Calibri"/>
        <family val="2"/>
      </rPr>
      <t>, 29% PF, 1% C</t>
    </r>
  </si>
  <si>
    <t>Anzejs Pasecniks</t>
  </si>
  <si>
    <t>CB Gran Canaria (Spain)</t>
  </si>
  <si>
    <t>Signed on 10/16/19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</si>
</sst>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164" formatCode="#,##0.000_);[Red]\(#,##0.000\)"/>
    <numFmt numFmtId="165" formatCode="0.0"/>
    <numFmt numFmtId="166" formatCode="&quot;$&quot;#,##0"/>
    <numFmt numFmtId="167" formatCode="0.000"/>
    <numFmt numFmtId="168" formatCode="[&lt;100]#\'\ #\'\';#\'\ ##\&quot;"/>
    <numFmt numFmtId="169" formatCode="0\ &quot;lbs.&quot;"/>
    <numFmt numFmtId="170" formatCode="&quot;$&quot;#,##0.0_);[Red]\(&quot;$&quot;#,##0.0\)"/>
  </numFmts>
  <fonts count="19" x14ac:knownFonts="1">
    <font>
      <sz val="12"/>
      <color theme="1"/>
      <name val="Calibri"/>
      <family val="2"/>
      <scheme val="minor"/>
    </font>
    <font>
      <sz val="12"/>
      <color theme="1"/>
      <name val="Calibri"/>
      <family val="2"/>
      <scheme val="minor"/>
    </font>
    <font>
      <b/>
      <sz val="12"/>
      <color theme="1"/>
      <name val="Calibri"/>
      <family val="2"/>
      <scheme val="minor"/>
    </font>
    <font>
      <b/>
      <sz val="12"/>
      <color theme="1"/>
      <name val="Calibri"/>
      <family val="2"/>
    </font>
    <font>
      <sz val="12"/>
      <color theme="1"/>
      <name val="Calibri"/>
      <family val="2"/>
    </font>
    <font>
      <sz val="12"/>
      <color rgb="FFFF0000"/>
      <name val="Calibri"/>
      <family val="2"/>
    </font>
    <font>
      <sz val="12"/>
      <color theme="1"/>
      <name val="Calibri (Body)"/>
    </font>
    <font>
      <sz val="10"/>
      <color rgb="FF000000"/>
      <name val="Tahoma"/>
      <family val="2"/>
    </font>
    <font>
      <u/>
      <sz val="12"/>
      <color theme="10"/>
      <name val="Calibri"/>
      <family val="2"/>
      <scheme val="minor"/>
    </font>
    <font>
      <b/>
      <sz val="12"/>
      <color rgb="FF000000"/>
      <name val="Calibri (Body)"/>
    </font>
    <font>
      <sz val="12"/>
      <color rgb="FF000000"/>
      <name val="Calibri (Body)"/>
    </font>
    <font>
      <sz val="12"/>
      <name val="Calibri"/>
      <family val="2"/>
    </font>
    <font>
      <u/>
      <sz val="12"/>
      <color theme="1"/>
      <name val="Calibri"/>
      <family val="2"/>
    </font>
    <font>
      <sz val="12"/>
      <color rgb="FF000000"/>
      <name val="Calibri"/>
      <family val="2"/>
    </font>
    <font>
      <sz val="10"/>
      <color theme="1"/>
      <name val="Calibri"/>
      <family val="2"/>
    </font>
    <font>
      <u/>
      <sz val="12"/>
      <color theme="1"/>
      <name val="Calibri (Body)"/>
    </font>
    <font>
      <sz val="13"/>
      <color rgb="FF009900"/>
      <name val="Arial"/>
      <family val="2"/>
    </font>
    <font>
      <u/>
      <sz val="12"/>
      <color theme="1"/>
      <name val="Calibri"/>
      <family val="2"/>
      <scheme val="minor"/>
    </font>
    <font>
      <i/>
      <sz val="12"/>
      <color theme="1"/>
      <name val="Calibri"/>
      <family val="2"/>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7030A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69">
    <xf numFmtId="0" fontId="0" fillId="0" borderId="0" xfId="0"/>
    <xf numFmtId="0" fontId="3" fillId="0" borderId="0" xfId="0" applyFont="1" applyAlignment="1">
      <alignment horizontal="left"/>
    </xf>
    <xf numFmtId="0" fontId="2" fillId="0" borderId="0" xfId="0" applyFont="1"/>
    <xf numFmtId="0" fontId="4" fillId="0" borderId="0" xfId="0" applyFont="1" applyAlignment="1">
      <alignment horizontal="left"/>
    </xf>
    <xf numFmtId="164" fontId="4" fillId="0" borderId="0" xfId="0" applyNumberFormat="1" applyFont="1" applyAlignment="1">
      <alignment horizontal="left"/>
    </xf>
    <xf numFmtId="38" fontId="4" fillId="0" borderId="0" xfId="0" applyNumberFormat="1" applyFont="1" applyAlignment="1">
      <alignment horizontal="left"/>
    </xf>
    <xf numFmtId="165" fontId="4" fillId="0" borderId="0" xfId="0" applyNumberFormat="1" applyFont="1" applyAlignment="1">
      <alignment horizontal="left"/>
    </xf>
    <xf numFmtId="1" fontId="4" fillId="0" borderId="0" xfId="0" applyNumberFormat="1" applyFont="1" applyAlignment="1">
      <alignment horizontal="left"/>
    </xf>
    <xf numFmtId="2" fontId="4" fillId="0" borderId="0" xfId="0" applyNumberFormat="1" applyFont="1" applyAlignment="1">
      <alignment horizontal="left"/>
    </xf>
    <xf numFmtId="6" fontId="4" fillId="0" borderId="0" xfId="0" applyNumberFormat="1" applyFont="1" applyAlignment="1">
      <alignment horizontal="left"/>
    </xf>
    <xf numFmtId="166" fontId="4" fillId="0" borderId="0" xfId="0" applyNumberFormat="1" applyFont="1" applyAlignment="1">
      <alignment horizontal="left"/>
    </xf>
    <xf numFmtId="167" fontId="4" fillId="0" borderId="0" xfId="0" applyNumberFormat="1" applyFont="1" applyAlignment="1">
      <alignment horizontal="left"/>
    </xf>
    <xf numFmtId="6" fontId="0" fillId="0" borderId="0" xfId="0" applyNumberFormat="1" applyAlignment="1">
      <alignment horizontal="left"/>
    </xf>
    <xf numFmtId="166" fontId="5" fillId="0" borderId="0" xfId="0" applyNumberFormat="1" applyFont="1" applyAlignment="1">
      <alignment horizontal="left"/>
    </xf>
    <xf numFmtId="167" fontId="3" fillId="0" borderId="0" xfId="0" applyNumberFormat="1" applyFont="1" applyAlignment="1">
      <alignment horizontal="left"/>
    </xf>
    <xf numFmtId="40"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2" fontId="0" fillId="0" borderId="0" xfId="0" applyNumberFormat="1" applyAlignment="1">
      <alignment horizontal="left"/>
    </xf>
    <xf numFmtId="167" fontId="0" fillId="0" borderId="0" xfId="0" applyNumberFormat="1" applyAlignment="1">
      <alignment horizontal="left"/>
    </xf>
    <xf numFmtId="166" fontId="6" fillId="0" borderId="0" xfId="0" applyNumberFormat="1" applyFont="1" applyAlignment="1">
      <alignment horizontal="left"/>
    </xf>
    <xf numFmtId="165" fontId="6" fillId="0" borderId="0" xfId="0" applyNumberFormat="1" applyFont="1" applyAlignment="1">
      <alignment horizontal="left"/>
    </xf>
    <xf numFmtId="1" fontId="0" fillId="0" borderId="0" xfId="0" applyNumberFormat="1" applyAlignment="1">
      <alignment horizontal="left"/>
    </xf>
    <xf numFmtId="2" fontId="6" fillId="0" borderId="0" xfId="0" applyNumberFormat="1" applyFont="1" applyAlignment="1">
      <alignment horizontal="left"/>
    </xf>
    <xf numFmtId="1" fontId="6" fillId="0" borderId="0" xfId="0" applyNumberFormat="1" applyFont="1" applyAlignment="1">
      <alignment horizontal="left"/>
    </xf>
    <xf numFmtId="1" fontId="4" fillId="0" borderId="0" xfId="1" applyNumberFormat="1" applyFont="1" applyAlignment="1">
      <alignment horizontal="left"/>
    </xf>
    <xf numFmtId="0" fontId="9" fillId="0" borderId="0" xfId="0" applyFont="1" applyAlignment="1">
      <alignment horizontal="left"/>
    </xf>
    <xf numFmtId="0" fontId="2" fillId="0" borderId="0" xfId="0" applyFont="1" applyAlignment="1">
      <alignment horizontal="left"/>
    </xf>
    <xf numFmtId="168" fontId="0" fillId="0" borderId="0" xfId="0" applyNumberFormat="1" applyAlignment="1">
      <alignment horizontal="left"/>
    </xf>
    <xf numFmtId="169" fontId="0" fillId="0" borderId="0" xfId="0" applyNumberFormat="1" applyAlignment="1">
      <alignment horizontal="left"/>
    </xf>
    <xf numFmtId="14" fontId="0" fillId="0" borderId="0" xfId="0" applyNumberFormat="1" applyAlignment="1">
      <alignment horizontal="left"/>
    </xf>
    <xf numFmtId="0" fontId="8" fillId="0" borderId="0" xfId="2" applyAlignment="1">
      <alignment horizontal="left"/>
    </xf>
    <xf numFmtId="0" fontId="8" fillId="0" borderId="0" xfId="2"/>
    <xf numFmtId="0" fontId="10" fillId="0" borderId="0" xfId="0" applyFont="1" applyAlignment="1">
      <alignment horizontal="left"/>
    </xf>
    <xf numFmtId="168" fontId="4" fillId="0" borderId="0" xfId="0" applyNumberFormat="1" applyFont="1" applyAlignment="1">
      <alignment horizontal="left"/>
    </xf>
    <xf numFmtId="169" fontId="4" fillId="0" borderId="0" xfId="0" applyNumberFormat="1" applyFont="1" applyAlignment="1">
      <alignment horizontal="left"/>
    </xf>
    <xf numFmtId="14" fontId="4" fillId="0" borderId="0" xfId="0" applyNumberFormat="1" applyFont="1" applyAlignment="1">
      <alignment horizontal="left"/>
    </xf>
    <xf numFmtId="1" fontId="11" fillId="0" borderId="0" xfId="0" applyNumberFormat="1" applyFont="1" applyAlignment="1">
      <alignment horizontal="left"/>
    </xf>
    <xf numFmtId="6" fontId="11" fillId="2" borderId="0" xfId="0" applyNumberFormat="1" applyFont="1" applyFill="1" applyAlignment="1">
      <alignment horizontal="left"/>
    </xf>
    <xf numFmtId="6" fontId="11" fillId="3" borderId="0" xfId="0" applyNumberFormat="1" applyFont="1" applyFill="1" applyAlignment="1">
      <alignment horizontal="left"/>
    </xf>
    <xf numFmtId="6" fontId="11" fillId="4" borderId="0" xfId="0" applyNumberFormat="1" applyFont="1" applyFill="1" applyAlignment="1">
      <alignment horizontal="left"/>
    </xf>
    <xf numFmtId="0" fontId="12" fillId="0" borderId="0" xfId="0" applyFont="1" applyAlignment="1">
      <alignment horizontal="left"/>
    </xf>
    <xf numFmtId="166" fontId="4" fillId="3" borderId="0" xfId="0" applyNumberFormat="1" applyFont="1" applyFill="1" applyAlignment="1">
      <alignment horizontal="left"/>
    </xf>
    <xf numFmtId="0" fontId="13" fillId="0" borderId="0" xfId="0" applyFont="1" applyAlignment="1">
      <alignment horizontal="left"/>
    </xf>
    <xf numFmtId="6" fontId="11" fillId="5" borderId="0" xfId="0" applyNumberFormat="1" applyFont="1" applyFill="1" applyAlignment="1">
      <alignment horizontal="left"/>
    </xf>
    <xf numFmtId="166" fontId="11" fillId="3" borderId="0" xfId="0" applyNumberFormat="1" applyFont="1" applyFill="1" applyAlignment="1">
      <alignment horizontal="left"/>
    </xf>
    <xf numFmtId="8" fontId="4" fillId="0" borderId="0" xfId="0" applyNumberFormat="1" applyFont="1" applyAlignment="1">
      <alignment horizontal="left"/>
    </xf>
    <xf numFmtId="6" fontId="11" fillId="6" borderId="0" xfId="0" applyNumberFormat="1" applyFont="1" applyFill="1" applyAlignment="1">
      <alignment horizontal="left"/>
    </xf>
    <xf numFmtId="166" fontId="11" fillId="2" borderId="0" xfId="0" applyNumberFormat="1" applyFont="1" applyFill="1" applyAlignment="1">
      <alignment horizontal="left"/>
    </xf>
    <xf numFmtId="6" fontId="4" fillId="2" borderId="0" xfId="0" applyNumberFormat="1" applyFont="1" applyFill="1" applyAlignment="1">
      <alignment horizontal="left"/>
    </xf>
    <xf numFmtId="0" fontId="14" fillId="0" borderId="0" xfId="0" applyFont="1" applyAlignment="1">
      <alignment horizontal="left"/>
    </xf>
    <xf numFmtId="6" fontId="4" fillId="6" borderId="0" xfId="0" applyNumberFormat="1" applyFont="1" applyFill="1" applyAlignment="1">
      <alignment horizontal="left"/>
    </xf>
    <xf numFmtId="6" fontId="4" fillId="4" borderId="0" xfId="0" applyNumberFormat="1" applyFont="1" applyFill="1" applyAlignment="1">
      <alignment horizontal="left"/>
    </xf>
    <xf numFmtId="166" fontId="4" fillId="2" borderId="0" xfId="0" applyNumberFormat="1" applyFont="1" applyFill="1" applyAlignment="1">
      <alignment horizontal="left"/>
    </xf>
    <xf numFmtId="6" fontId="14" fillId="0" borderId="0" xfId="0" applyNumberFormat="1" applyFont="1" applyAlignment="1">
      <alignment horizontal="left"/>
    </xf>
    <xf numFmtId="1" fontId="14" fillId="0" borderId="0" xfId="0" applyNumberFormat="1" applyFont="1" applyAlignment="1">
      <alignment horizontal="left"/>
    </xf>
    <xf numFmtId="170" fontId="4" fillId="0" borderId="0" xfId="0" applyNumberFormat="1" applyFont="1" applyAlignment="1">
      <alignment horizontal="left"/>
    </xf>
    <xf numFmtId="6" fontId="4" fillId="5" borderId="0" xfId="0" applyNumberFormat="1" applyFont="1" applyFill="1" applyAlignment="1">
      <alignment horizontal="left"/>
    </xf>
    <xf numFmtId="165" fontId="0" fillId="0" borderId="0" xfId="0" applyNumberFormat="1" applyAlignment="1">
      <alignment horizontal="left"/>
    </xf>
    <xf numFmtId="0" fontId="15" fillId="0" borderId="0" xfId="0" applyFont="1" applyAlignment="1">
      <alignment horizontal="left"/>
    </xf>
    <xf numFmtId="6" fontId="4" fillId="3" borderId="0" xfId="0" applyNumberFormat="1" applyFont="1" applyFill="1" applyAlignment="1">
      <alignment horizontal="left"/>
    </xf>
    <xf numFmtId="166" fontId="4" fillId="5" borderId="0" xfId="0" applyNumberFormat="1" applyFont="1" applyFill="1" applyAlignment="1">
      <alignment horizontal="left"/>
    </xf>
    <xf numFmtId="49" fontId="0" fillId="0" borderId="0" xfId="0" applyNumberFormat="1" applyAlignment="1">
      <alignment horizontal="left"/>
    </xf>
    <xf numFmtId="6" fontId="16" fillId="0" borderId="0" xfId="0" applyNumberFormat="1" applyFont="1" applyAlignment="1">
      <alignment horizontal="left"/>
    </xf>
    <xf numFmtId="8" fontId="14" fillId="0" borderId="0" xfId="0" applyNumberFormat="1" applyFont="1" applyAlignment="1">
      <alignment horizontal="left"/>
    </xf>
    <xf numFmtId="0" fontId="17" fillId="0" borderId="0" xfId="0" applyFont="1" applyAlignment="1">
      <alignment horizontal="left"/>
    </xf>
    <xf numFmtId="166" fontId="11" fillId="0" borderId="0" xfId="0" applyNumberFormat="1" applyFont="1" applyAlignment="1">
      <alignment horizontal="left"/>
    </xf>
    <xf numFmtId="0" fontId="18" fillId="0" borderId="0" xfId="0" applyFont="1" applyAlignment="1">
      <alignment horizontal="left"/>
    </xf>
    <xf numFmtId="0" fontId="4" fillId="3" borderId="0" xfId="0" applyFont="1" applyFill="1" applyAlignment="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ov-50/finalproject/gov50finalproject/raw_data/nbacapshe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Overview"/>
      <sheetName val="Draft Prospects"/>
      <sheetName val="2020 FA Class"/>
      <sheetName val="ATL"/>
      <sheetName val="BOS"/>
      <sheetName val="BKN"/>
      <sheetName val="CHA"/>
      <sheetName val="CHI"/>
      <sheetName val="CLE"/>
      <sheetName val="DAL"/>
      <sheetName val="DEN"/>
      <sheetName val="DET"/>
      <sheetName val="GSW"/>
      <sheetName val="HOU"/>
      <sheetName val="IND"/>
      <sheetName val="LAC"/>
      <sheetName val="LAL"/>
      <sheetName val="MEM"/>
      <sheetName val="MIA"/>
      <sheetName val="MIL"/>
      <sheetName val="MIN"/>
      <sheetName val="NOP"/>
      <sheetName val="NYK"/>
      <sheetName val="OKC"/>
      <sheetName val="ORL"/>
      <sheetName val="PHI"/>
      <sheetName val="PHX"/>
      <sheetName val="POR"/>
      <sheetName val="SAC"/>
      <sheetName val="SAS"/>
      <sheetName val="TOR"/>
      <sheetName val="UTA"/>
      <sheetName val="WSH"/>
    </sheetNames>
    <sheetDataSet>
      <sheetData sheetId="0"/>
      <sheetData sheetId="1"/>
      <sheetData sheetId="2"/>
      <sheetData sheetId="3">
        <row r="22">
          <cell r="H22">
            <v>23.966666666666665</v>
          </cell>
          <cell r="J22">
            <v>3.7777777777777777</v>
          </cell>
        </row>
        <row r="23">
          <cell r="H23">
            <v>22.8</v>
          </cell>
          <cell r="J23">
            <v>3</v>
          </cell>
        </row>
        <row r="24">
          <cell r="P24">
            <v>62115976</v>
          </cell>
        </row>
        <row r="25">
          <cell r="C25">
            <v>8</v>
          </cell>
        </row>
        <row r="26">
          <cell r="C26">
            <v>1</v>
          </cell>
        </row>
        <row r="33">
          <cell r="C33">
            <v>0.29850746268656714</v>
          </cell>
        </row>
        <row r="34">
          <cell r="C34">
            <v>107</v>
          </cell>
        </row>
        <row r="35">
          <cell r="C35">
            <v>114.4</v>
          </cell>
        </row>
        <row r="36">
          <cell r="C36">
            <v>-7.4000000000000057</v>
          </cell>
        </row>
        <row r="37">
          <cell r="C37">
            <v>103.28</v>
          </cell>
        </row>
        <row r="64">
          <cell r="C64">
            <v>390</v>
          </cell>
          <cell r="D64">
            <v>399</v>
          </cell>
          <cell r="E64">
            <v>0.49429657794676807</v>
          </cell>
        </row>
      </sheetData>
      <sheetData sheetId="4">
        <row r="26">
          <cell r="H26">
            <v>25.671428571428574</v>
          </cell>
          <cell r="J26">
            <v>4.8571428571428568</v>
          </cell>
        </row>
        <row r="27">
          <cell r="H27">
            <v>26.200000000000003</v>
          </cell>
          <cell r="J27">
            <v>4</v>
          </cell>
        </row>
        <row r="29">
          <cell r="C29">
            <v>9</v>
          </cell>
        </row>
        <row r="30">
          <cell r="C30">
            <v>4</v>
          </cell>
        </row>
        <row r="31">
          <cell r="P31">
            <v>148262797</v>
          </cell>
        </row>
        <row r="37">
          <cell r="C37">
            <v>0.66666666666666663</v>
          </cell>
        </row>
        <row r="38">
          <cell r="C38">
            <v>112.8</v>
          </cell>
        </row>
        <row r="39">
          <cell r="C39">
            <v>106.5</v>
          </cell>
        </row>
        <row r="40">
          <cell r="C40">
            <v>6.2999999999999972</v>
          </cell>
        </row>
        <row r="41">
          <cell r="C41">
            <v>99.92</v>
          </cell>
        </row>
        <row r="60">
          <cell r="C60">
            <v>454</v>
          </cell>
          <cell r="D60">
            <v>339</v>
          </cell>
          <cell r="E60">
            <v>0.57250945775535944</v>
          </cell>
        </row>
      </sheetData>
      <sheetData sheetId="5">
        <row r="28">
          <cell r="H28">
            <v>26.53846153846154</v>
          </cell>
          <cell r="J28">
            <v>6.4615384615384617</v>
          </cell>
        </row>
        <row r="29">
          <cell r="H29">
            <v>26.1</v>
          </cell>
          <cell r="J29">
            <v>5</v>
          </cell>
        </row>
        <row r="31">
          <cell r="C31">
            <v>10</v>
          </cell>
          <cell r="P31">
            <v>142701588</v>
          </cell>
        </row>
        <row r="32">
          <cell r="C32">
            <v>3</v>
          </cell>
        </row>
        <row r="39">
          <cell r="C39">
            <v>0.4861111111111111</v>
          </cell>
        </row>
        <row r="40">
          <cell r="C40">
            <v>108.7</v>
          </cell>
        </row>
        <row r="41">
          <cell r="C41">
            <v>109.2</v>
          </cell>
        </row>
        <row r="42">
          <cell r="C42">
            <v>-0.5</v>
          </cell>
        </row>
        <row r="43">
          <cell r="C43">
            <v>101.7</v>
          </cell>
        </row>
        <row r="68">
          <cell r="C68">
            <v>323</v>
          </cell>
          <cell r="D68">
            <v>471</v>
          </cell>
          <cell r="E68">
            <v>0.40680100755667509</v>
          </cell>
        </row>
      </sheetData>
      <sheetData sheetId="6">
        <row r="23">
          <cell r="H23">
            <v>25.2</v>
          </cell>
          <cell r="J23">
            <v>4.5</v>
          </cell>
        </row>
        <row r="24">
          <cell r="H24">
            <v>25</v>
          </cell>
          <cell r="J24">
            <v>3</v>
          </cell>
        </row>
        <row r="26">
          <cell r="C26">
            <v>7</v>
          </cell>
        </row>
        <row r="27">
          <cell r="C27">
            <v>4</v>
          </cell>
          <cell r="P27">
            <v>88807535</v>
          </cell>
        </row>
        <row r="34">
          <cell r="C34">
            <v>0.35384615384615387</v>
          </cell>
        </row>
        <row r="35">
          <cell r="C35">
            <v>105.9</v>
          </cell>
        </row>
        <row r="36">
          <cell r="C36">
            <v>112.8</v>
          </cell>
        </row>
        <row r="37">
          <cell r="C37">
            <v>-7</v>
          </cell>
        </row>
        <row r="38">
          <cell r="C38">
            <v>96.24</v>
          </cell>
        </row>
        <row r="59">
          <cell r="C59">
            <v>320</v>
          </cell>
          <cell r="D59">
            <v>467</v>
          </cell>
          <cell r="E59">
            <v>0.40660736975857686</v>
          </cell>
        </row>
      </sheetData>
      <sheetData sheetId="7">
        <row r="24">
          <cell r="H24">
            <v>25.499999999999996</v>
          </cell>
          <cell r="J24">
            <v>5.166666666666667</v>
          </cell>
        </row>
        <row r="25">
          <cell r="H25">
            <v>25.4</v>
          </cell>
          <cell r="J25">
            <v>4</v>
          </cell>
        </row>
        <row r="27">
          <cell r="C27">
            <v>11</v>
          </cell>
          <cell r="P27">
            <v>113096068</v>
          </cell>
        </row>
        <row r="28">
          <cell r="C28">
            <v>1</v>
          </cell>
        </row>
        <row r="35">
          <cell r="C35">
            <v>0.33846153846153848</v>
          </cell>
        </row>
        <row r="36">
          <cell r="C36">
            <v>105.8</v>
          </cell>
        </row>
        <row r="37">
          <cell r="C37">
            <v>108.9</v>
          </cell>
        </row>
        <row r="38">
          <cell r="C38">
            <v>-3.1000000000000085</v>
          </cell>
        </row>
        <row r="39">
          <cell r="C39">
            <v>100.46</v>
          </cell>
        </row>
        <row r="59">
          <cell r="C59">
            <v>409</v>
          </cell>
          <cell r="D59">
            <v>378</v>
          </cell>
          <cell r="E59">
            <v>0.51969504447268111</v>
          </cell>
        </row>
      </sheetData>
      <sheetData sheetId="8">
        <row r="22">
          <cell r="H22">
            <v>25.238461538461536</v>
          </cell>
          <cell r="J22">
            <v>4.615384615384615</v>
          </cell>
        </row>
        <row r="23">
          <cell r="H23">
            <v>25.5</v>
          </cell>
          <cell r="J23">
            <v>4</v>
          </cell>
        </row>
        <row r="25">
          <cell r="C25">
            <v>8</v>
          </cell>
          <cell r="P25">
            <v>118628882</v>
          </cell>
        </row>
        <row r="26">
          <cell r="C26">
            <v>5</v>
          </cell>
        </row>
        <row r="33">
          <cell r="C33">
            <v>0.29230769230769232</v>
          </cell>
        </row>
        <row r="34">
          <cell r="C34">
            <v>106.9</v>
          </cell>
        </row>
        <row r="35">
          <cell r="C35">
            <v>114.8</v>
          </cell>
        </row>
        <row r="36">
          <cell r="C36">
            <v>-7.8999999999999915</v>
          </cell>
        </row>
        <row r="37">
          <cell r="C37">
            <v>99.17</v>
          </cell>
        </row>
        <row r="62">
          <cell r="C62">
            <v>346</v>
          </cell>
          <cell r="D62">
            <v>441</v>
          </cell>
          <cell r="E62">
            <v>0.43964421855146124</v>
          </cell>
        </row>
      </sheetData>
      <sheetData sheetId="9">
        <row r="25">
          <cell r="H25">
            <v>27.333333333333339</v>
          </cell>
          <cell r="J25">
            <v>5.5</v>
          </cell>
        </row>
        <row r="26">
          <cell r="H26">
            <v>27.9</v>
          </cell>
          <cell r="J26">
            <v>6</v>
          </cell>
        </row>
        <row r="28">
          <cell r="C28">
            <v>10</v>
          </cell>
          <cell r="P28">
            <v>112128362</v>
          </cell>
        </row>
        <row r="29">
          <cell r="C29">
            <v>2</v>
          </cell>
        </row>
        <row r="36">
          <cell r="C36">
            <v>0.57333333333333336</v>
          </cell>
        </row>
        <row r="37">
          <cell r="C37">
            <v>115.9</v>
          </cell>
        </row>
        <row r="38">
          <cell r="C38">
            <v>111.2</v>
          </cell>
        </row>
        <row r="39">
          <cell r="C39">
            <v>4.8</v>
          </cell>
        </row>
        <row r="40">
          <cell r="C40">
            <v>99.89</v>
          </cell>
        </row>
        <row r="60">
          <cell r="C60">
            <v>408</v>
          </cell>
          <cell r="D60">
            <v>389</v>
          </cell>
          <cell r="E60">
            <v>0.51191969887076538</v>
          </cell>
        </row>
      </sheetData>
      <sheetData sheetId="10">
        <row r="23">
          <cell r="H23">
            <v>24.754545454545454</v>
          </cell>
          <cell r="J23">
            <v>4.7272727272727275</v>
          </cell>
        </row>
        <row r="24">
          <cell r="H24">
            <v>25</v>
          </cell>
          <cell r="J24">
            <v>4.5</v>
          </cell>
        </row>
        <row r="26">
          <cell r="C26">
            <v>7</v>
          </cell>
        </row>
        <row r="27">
          <cell r="C27">
            <v>4</v>
          </cell>
        </row>
        <row r="28">
          <cell r="P28">
            <v>102659923</v>
          </cell>
        </row>
        <row r="34">
          <cell r="C34">
            <v>0.63013698630136983</v>
          </cell>
        </row>
        <row r="35">
          <cell r="C35">
            <v>112.6</v>
          </cell>
        </row>
        <row r="36">
          <cell r="C36">
            <v>110.4</v>
          </cell>
        </row>
        <row r="37">
          <cell r="C37">
            <v>2.1999999999999886</v>
          </cell>
        </row>
        <row r="38">
          <cell r="C38">
            <v>97.64</v>
          </cell>
        </row>
        <row r="58">
          <cell r="C58">
            <v>430</v>
          </cell>
          <cell r="D58">
            <v>363</v>
          </cell>
          <cell r="E58">
            <v>0.54224464060529631</v>
          </cell>
        </row>
      </sheetData>
      <sheetData sheetId="11">
        <row r="23">
          <cell r="H23">
            <v>25.744444444444447</v>
          </cell>
          <cell r="J23">
            <v>5.7777777777777777</v>
          </cell>
        </row>
        <row r="24">
          <cell r="H24">
            <v>24.3</v>
          </cell>
          <cell r="J24">
            <v>4</v>
          </cell>
        </row>
        <row r="26">
          <cell r="C26">
            <v>4</v>
          </cell>
        </row>
        <row r="27">
          <cell r="C27">
            <v>5</v>
          </cell>
          <cell r="P27">
            <v>77457218</v>
          </cell>
        </row>
        <row r="34">
          <cell r="C34">
            <v>0.30303030303030304</v>
          </cell>
        </row>
        <row r="35">
          <cell r="C35">
            <v>108.8</v>
          </cell>
        </row>
        <row r="36">
          <cell r="C36">
            <v>112.3</v>
          </cell>
        </row>
        <row r="37">
          <cell r="C37">
            <v>-3.5</v>
          </cell>
        </row>
        <row r="38">
          <cell r="C38">
            <v>97.86</v>
          </cell>
        </row>
        <row r="61">
          <cell r="C61">
            <v>326</v>
          </cell>
          <cell r="D61">
            <v>462</v>
          </cell>
          <cell r="E61">
            <v>0.4137055837563452</v>
          </cell>
        </row>
      </sheetData>
      <sheetData sheetId="12">
        <row r="19">
          <cell r="H19">
            <v>26.000000000000004</v>
          </cell>
          <cell r="J19">
            <v>5</v>
          </cell>
        </row>
        <row r="20">
          <cell r="H20">
            <v>25.6</v>
          </cell>
          <cell r="J20">
            <v>4</v>
          </cell>
        </row>
        <row r="22">
          <cell r="C22">
            <v>8</v>
          </cell>
          <cell r="P22">
            <v>157615108</v>
          </cell>
        </row>
        <row r="23">
          <cell r="C23">
            <v>5</v>
          </cell>
        </row>
        <row r="30">
          <cell r="C30">
            <v>0.23076923076923078</v>
          </cell>
        </row>
        <row r="31">
          <cell r="C31">
            <v>104.4</v>
          </cell>
        </row>
        <row r="32">
          <cell r="C32">
            <v>113</v>
          </cell>
        </row>
        <row r="33">
          <cell r="C33">
            <v>-8.5999999999999943</v>
          </cell>
        </row>
        <row r="34">
          <cell r="C34">
            <v>101.04</v>
          </cell>
        </row>
        <row r="61">
          <cell r="C61">
            <v>494</v>
          </cell>
          <cell r="D61">
            <v>293</v>
          </cell>
          <cell r="E61">
            <v>0.62770012706480305</v>
          </cell>
        </row>
      </sheetData>
      <sheetData sheetId="13">
        <row r="23">
          <cell r="H23">
            <v>29.409999999999997</v>
          </cell>
          <cell r="J23">
            <v>8.5</v>
          </cell>
        </row>
        <row r="24">
          <cell r="H24">
            <v>29</v>
          </cell>
          <cell r="J24">
            <v>8.5</v>
          </cell>
        </row>
        <row r="26">
          <cell r="C26">
            <v>6</v>
          </cell>
        </row>
        <row r="27">
          <cell r="C27">
            <v>4</v>
          </cell>
          <cell r="P27">
            <v>131490697</v>
          </cell>
        </row>
        <row r="34">
          <cell r="C34">
            <v>0.61111111111111116</v>
          </cell>
        </row>
        <row r="35">
          <cell r="C35">
            <v>112.5</v>
          </cell>
        </row>
        <row r="36">
          <cell r="C36">
            <v>109.8</v>
          </cell>
        </row>
        <row r="37">
          <cell r="C37">
            <v>2.7000000000000028</v>
          </cell>
        </row>
        <row r="38">
          <cell r="C38">
            <v>104.04</v>
          </cell>
        </row>
        <row r="63">
          <cell r="C63">
            <v>490</v>
          </cell>
          <cell r="D63">
            <v>304</v>
          </cell>
          <cell r="E63">
            <v>0.61712846347607053</v>
          </cell>
        </row>
      </sheetData>
      <sheetData sheetId="14">
        <row r="23">
          <cell r="H23">
            <v>25.941666666666666</v>
          </cell>
          <cell r="J23">
            <v>5.5</v>
          </cell>
        </row>
        <row r="24">
          <cell r="H24">
            <v>25.950000000000003</v>
          </cell>
          <cell r="J24">
            <v>5.5</v>
          </cell>
        </row>
        <row r="26">
          <cell r="C26">
            <v>11</v>
          </cell>
          <cell r="P26">
            <v>126618718</v>
          </cell>
        </row>
        <row r="27">
          <cell r="C27">
            <v>1</v>
          </cell>
        </row>
        <row r="34">
          <cell r="C34">
            <v>0.61643835616438358</v>
          </cell>
        </row>
        <row r="35">
          <cell r="C35">
            <v>109.5</v>
          </cell>
        </row>
        <row r="36">
          <cell r="C36">
            <v>107.5</v>
          </cell>
        </row>
        <row r="37">
          <cell r="C37">
            <v>1.9</v>
          </cell>
        </row>
        <row r="38">
          <cell r="C38">
            <v>99.41</v>
          </cell>
        </row>
        <row r="63">
          <cell r="C63">
            <v>450</v>
          </cell>
          <cell r="D63">
            <v>344</v>
          </cell>
          <cell r="E63">
            <v>0.56675062972292189</v>
          </cell>
        </row>
      </sheetData>
      <sheetData sheetId="15">
        <row r="23">
          <cell r="H23">
            <v>28.65454545454546</v>
          </cell>
          <cell r="J23">
            <v>7.6363636363636367</v>
          </cell>
        </row>
        <row r="24">
          <cell r="H24">
            <v>29.3</v>
          </cell>
          <cell r="J24">
            <v>7</v>
          </cell>
        </row>
        <row r="26">
          <cell r="C26">
            <v>9</v>
          </cell>
          <cell r="P26">
            <v>114044353</v>
          </cell>
        </row>
        <row r="27">
          <cell r="C27">
            <v>3</v>
          </cell>
        </row>
        <row r="34">
          <cell r="C34">
            <v>0.68055555555555558</v>
          </cell>
        </row>
        <row r="35">
          <cell r="C35">
            <v>113.3</v>
          </cell>
        </row>
        <row r="36">
          <cell r="C36">
            <v>106.9</v>
          </cell>
        </row>
        <row r="37">
          <cell r="C37">
            <v>6.3</v>
          </cell>
        </row>
        <row r="38">
          <cell r="C38">
            <v>102.16</v>
          </cell>
        </row>
        <row r="64">
          <cell r="C64">
            <v>484</v>
          </cell>
          <cell r="D64">
            <v>310</v>
          </cell>
          <cell r="E64">
            <v>0.60957178841309823</v>
          </cell>
        </row>
      </sheetData>
      <sheetData sheetId="16">
        <row r="24">
          <cell r="H24">
            <v>29.154545454545453</v>
          </cell>
          <cell r="J24">
            <v>9.1818181818181817</v>
          </cell>
        </row>
        <row r="25">
          <cell r="H25">
            <v>27.6</v>
          </cell>
          <cell r="J25">
            <v>9</v>
          </cell>
        </row>
        <row r="27">
          <cell r="C27">
            <v>5</v>
          </cell>
        </row>
        <row r="28">
          <cell r="C28">
            <v>7</v>
          </cell>
        </row>
        <row r="29">
          <cell r="P29">
            <v>92772425</v>
          </cell>
        </row>
        <row r="35">
          <cell r="C35">
            <v>0.73239436619718312</v>
          </cell>
        </row>
        <row r="36">
          <cell r="C36">
            <v>111.7</v>
          </cell>
        </row>
        <row r="37">
          <cell r="C37">
            <v>106.1</v>
          </cell>
        </row>
        <row r="38">
          <cell r="C38">
            <v>5.6000000000000085</v>
          </cell>
        </row>
        <row r="39">
          <cell r="C39">
            <v>101.2</v>
          </cell>
        </row>
        <row r="62">
          <cell r="C62">
            <v>358</v>
          </cell>
          <cell r="D62">
            <v>435</v>
          </cell>
          <cell r="E62">
            <v>0.45145018915510721</v>
          </cell>
        </row>
      </sheetData>
      <sheetData sheetId="17">
        <row r="23">
          <cell r="H23">
            <v>24.791666666666668</v>
          </cell>
          <cell r="J23">
            <v>4.5</v>
          </cell>
        </row>
        <row r="24">
          <cell r="H24">
            <v>24.6</v>
          </cell>
          <cell r="J24">
            <v>3.5</v>
          </cell>
        </row>
        <row r="25">
          <cell r="P25">
            <v>112441697</v>
          </cell>
        </row>
        <row r="26">
          <cell r="C26">
            <v>11</v>
          </cell>
        </row>
        <row r="27">
          <cell r="C27">
            <v>1</v>
          </cell>
        </row>
        <row r="34">
          <cell r="C34">
            <v>0.46575342465753422</v>
          </cell>
        </row>
        <row r="35">
          <cell r="C35">
            <v>108.7</v>
          </cell>
        </row>
        <row r="36">
          <cell r="C36">
            <v>109.7</v>
          </cell>
        </row>
        <row r="37">
          <cell r="C37">
            <v>-1</v>
          </cell>
        </row>
        <row r="38">
          <cell r="C38">
            <v>103.31</v>
          </cell>
        </row>
        <row r="64">
          <cell r="C64">
            <v>422</v>
          </cell>
          <cell r="D64">
            <v>373</v>
          </cell>
          <cell r="E64">
            <v>0.53081761006289307</v>
          </cell>
        </row>
      </sheetData>
      <sheetData sheetId="18">
        <row r="23">
          <cell r="H23">
            <v>26.477777777777778</v>
          </cell>
          <cell r="J23">
            <v>4.5555555555555554</v>
          </cell>
        </row>
        <row r="24">
          <cell r="H24">
            <v>25.2</v>
          </cell>
          <cell r="J24">
            <v>2</v>
          </cell>
        </row>
        <row r="26">
          <cell r="C26">
            <v>6</v>
          </cell>
        </row>
        <row r="27">
          <cell r="C27">
            <v>3</v>
          </cell>
          <cell r="P27">
            <v>86025589</v>
          </cell>
        </row>
        <row r="34">
          <cell r="C34">
            <v>0.60273972602739723</v>
          </cell>
        </row>
        <row r="35">
          <cell r="C35">
            <v>111.9</v>
          </cell>
        </row>
        <row r="36">
          <cell r="C36">
            <v>109.3</v>
          </cell>
        </row>
        <row r="37">
          <cell r="C37">
            <v>2.6000000000000085</v>
          </cell>
        </row>
        <row r="38">
          <cell r="C38">
            <v>98.7</v>
          </cell>
        </row>
        <row r="64">
          <cell r="C64">
            <v>477</v>
          </cell>
          <cell r="D64">
            <v>318</v>
          </cell>
          <cell r="E64">
            <v>0.6</v>
          </cell>
        </row>
      </sheetData>
      <sheetData sheetId="19">
        <row r="23">
          <cell r="H23">
            <v>29.918181818181814</v>
          </cell>
          <cell r="J23">
            <v>9.2727272727272734</v>
          </cell>
        </row>
        <row r="24">
          <cell r="H24">
            <v>30.8</v>
          </cell>
          <cell r="J24">
            <v>11</v>
          </cell>
        </row>
        <row r="26">
          <cell r="C26">
            <v>8</v>
          </cell>
          <cell r="P26">
            <v>123963837</v>
          </cell>
        </row>
        <row r="27">
          <cell r="C27">
            <v>3</v>
          </cell>
        </row>
        <row r="34">
          <cell r="C34">
            <v>0.76712328767123283</v>
          </cell>
        </row>
        <row r="35">
          <cell r="C35">
            <v>111.9</v>
          </cell>
        </row>
        <row r="36">
          <cell r="C36">
            <v>102.5</v>
          </cell>
        </row>
        <row r="37">
          <cell r="C37">
            <v>9.4000000000000057</v>
          </cell>
        </row>
        <row r="38">
          <cell r="C38">
            <v>105.51</v>
          </cell>
        </row>
        <row r="59">
          <cell r="C59">
            <v>395</v>
          </cell>
          <cell r="D59">
            <v>400</v>
          </cell>
          <cell r="E59">
            <v>0.49685534591194969</v>
          </cell>
        </row>
      </sheetData>
      <sheetData sheetId="20">
        <row r="24">
          <cell r="H24">
            <v>24</v>
          </cell>
          <cell r="J24">
            <v>4.2727272727272725</v>
          </cell>
        </row>
        <row r="25">
          <cell r="H25">
            <v>23.2</v>
          </cell>
          <cell r="J25">
            <v>3</v>
          </cell>
        </row>
        <row r="27">
          <cell r="C27">
            <v>7</v>
          </cell>
        </row>
        <row r="28">
          <cell r="C28">
            <v>4</v>
          </cell>
          <cell r="P28">
            <v>108793598</v>
          </cell>
        </row>
        <row r="35">
          <cell r="C35">
            <v>0.296875</v>
          </cell>
        </row>
        <row r="36">
          <cell r="C36">
            <v>107.6</v>
          </cell>
        </row>
        <row r="37">
          <cell r="C37">
            <v>111.6</v>
          </cell>
        </row>
        <row r="38">
          <cell r="C38">
            <v>-4</v>
          </cell>
        </row>
        <row r="39">
          <cell r="C39">
            <v>103.94</v>
          </cell>
        </row>
        <row r="59">
          <cell r="C59">
            <v>292</v>
          </cell>
          <cell r="D59">
            <v>494</v>
          </cell>
          <cell r="E59">
            <v>0.37150127226463103</v>
          </cell>
        </row>
      </sheetData>
      <sheetData sheetId="21">
        <row r="27">
          <cell r="H27">
            <v>26.455555555555556</v>
          </cell>
          <cell r="J27">
            <v>5.5555555555555554</v>
          </cell>
        </row>
        <row r="28">
          <cell r="H28">
            <v>25.6</v>
          </cell>
          <cell r="J28">
            <v>4</v>
          </cell>
        </row>
        <row r="29">
          <cell r="P29">
            <v>79741188</v>
          </cell>
        </row>
        <row r="30">
          <cell r="C30">
            <v>8</v>
          </cell>
        </row>
        <row r="31">
          <cell r="C31">
            <v>1</v>
          </cell>
        </row>
        <row r="38">
          <cell r="C38">
            <v>0.41666666666666669</v>
          </cell>
        </row>
        <row r="39">
          <cell r="C39">
            <v>110.5</v>
          </cell>
        </row>
        <row r="40">
          <cell r="C40">
            <v>111.8</v>
          </cell>
        </row>
        <row r="41">
          <cell r="C41">
            <v>-1.2999999999999972</v>
          </cell>
        </row>
        <row r="42">
          <cell r="C42">
            <v>103.89</v>
          </cell>
        </row>
        <row r="68">
          <cell r="C68">
            <v>348</v>
          </cell>
          <cell r="D68">
            <v>446</v>
          </cell>
          <cell r="E68">
            <v>0.43828715365239296</v>
          </cell>
        </row>
      </sheetData>
      <sheetData sheetId="22">
        <row r="25">
          <cell r="H25">
            <v>25.515384615384612</v>
          </cell>
          <cell r="J25">
            <v>5.615384615384615</v>
          </cell>
        </row>
        <row r="26">
          <cell r="H26">
            <v>24.9</v>
          </cell>
          <cell r="J26">
            <v>4</v>
          </cell>
        </row>
        <row r="28">
          <cell r="C28">
            <v>6</v>
          </cell>
        </row>
        <row r="29">
          <cell r="C29">
            <v>8</v>
          </cell>
          <cell r="P29">
            <v>68937837</v>
          </cell>
        </row>
        <row r="36">
          <cell r="C36">
            <v>0.31818181818181818</v>
          </cell>
        </row>
        <row r="37">
          <cell r="C37">
            <v>105.9</v>
          </cell>
        </row>
        <row r="38">
          <cell r="C38">
            <v>112.4</v>
          </cell>
        </row>
        <row r="39">
          <cell r="C39">
            <v>-6.5</v>
          </cell>
        </row>
        <row r="40">
          <cell r="C40">
            <v>99.11</v>
          </cell>
        </row>
        <row r="63">
          <cell r="C63">
            <v>316</v>
          </cell>
          <cell r="D63">
            <v>472</v>
          </cell>
          <cell r="E63">
            <v>0.40101522842639592</v>
          </cell>
        </row>
      </sheetData>
      <sheetData sheetId="23">
        <row r="24">
          <cell r="H24">
            <v>25.333333333333332</v>
          </cell>
          <cell r="J24">
            <v>5.25</v>
          </cell>
        </row>
        <row r="25">
          <cell r="H25">
            <v>24.7</v>
          </cell>
          <cell r="J25">
            <v>3.5</v>
          </cell>
        </row>
        <row r="27">
          <cell r="C27">
            <v>8</v>
          </cell>
          <cell r="P27">
            <v>107448989</v>
          </cell>
        </row>
        <row r="28">
          <cell r="C28">
            <v>4</v>
          </cell>
        </row>
        <row r="35">
          <cell r="C35">
            <v>0.61111111111111116</v>
          </cell>
        </row>
        <row r="36">
          <cell r="C36">
            <v>110.1</v>
          </cell>
        </row>
        <row r="37">
          <cell r="C37">
            <v>108.1</v>
          </cell>
        </row>
        <row r="38">
          <cell r="C38">
            <v>2</v>
          </cell>
        </row>
        <row r="39">
          <cell r="C39">
            <v>99.42</v>
          </cell>
        </row>
        <row r="67">
          <cell r="C67">
            <v>511</v>
          </cell>
          <cell r="D67">
            <v>283</v>
          </cell>
          <cell r="E67">
            <v>0.64357682619647361</v>
          </cell>
        </row>
      </sheetData>
      <sheetData sheetId="24">
        <row r="25">
          <cell r="H25">
            <v>26.618181818181821</v>
          </cell>
          <cell r="J25">
            <v>6.4545454545454541</v>
          </cell>
        </row>
        <row r="26">
          <cell r="H26">
            <v>27.9</v>
          </cell>
          <cell r="J26">
            <v>7</v>
          </cell>
        </row>
        <row r="27">
          <cell r="P27">
            <v>121663790</v>
          </cell>
        </row>
        <row r="28">
          <cell r="C28">
            <v>8</v>
          </cell>
        </row>
        <row r="29">
          <cell r="C29">
            <v>3</v>
          </cell>
        </row>
        <row r="36">
          <cell r="C36">
            <v>0.45205479452054792</v>
          </cell>
        </row>
        <row r="37">
          <cell r="C37">
            <v>107.9</v>
          </cell>
        </row>
        <row r="38">
          <cell r="C38">
            <v>109.2</v>
          </cell>
        </row>
        <row r="39">
          <cell r="C39">
            <v>-1.2999999999999972</v>
          </cell>
        </row>
        <row r="40">
          <cell r="C40">
            <v>98.99</v>
          </cell>
        </row>
        <row r="59">
          <cell r="C59">
            <v>321</v>
          </cell>
          <cell r="D59">
            <v>474</v>
          </cell>
          <cell r="E59">
            <v>0.4037735849056604</v>
          </cell>
        </row>
      </sheetData>
      <sheetData sheetId="25">
        <row r="27">
          <cell r="H27">
            <v>26.581818181818186</v>
          </cell>
          <cell r="J27">
            <v>5.9090909090909092</v>
          </cell>
        </row>
        <row r="28">
          <cell r="H28">
            <v>26.6</v>
          </cell>
          <cell r="J28">
            <v>5</v>
          </cell>
        </row>
        <row r="30">
          <cell r="C30">
            <v>9</v>
          </cell>
          <cell r="P30">
            <v>147934252</v>
          </cell>
        </row>
        <row r="31">
          <cell r="C31">
            <v>3</v>
          </cell>
        </row>
        <row r="38">
          <cell r="C38">
            <v>0.58904109589041098</v>
          </cell>
        </row>
        <row r="39">
          <cell r="C39">
            <v>110.7</v>
          </cell>
        </row>
        <row r="40">
          <cell r="C40">
            <v>108.4</v>
          </cell>
        </row>
        <row r="41">
          <cell r="C41">
            <v>2.2999999999999972</v>
          </cell>
        </row>
        <row r="42">
          <cell r="C42">
            <v>99.59</v>
          </cell>
        </row>
        <row r="64">
          <cell r="C64">
            <v>331</v>
          </cell>
          <cell r="D64">
            <v>464</v>
          </cell>
          <cell r="E64">
            <v>0.41635220125786165</v>
          </cell>
        </row>
      </sheetData>
      <sheetData sheetId="26">
        <row r="22">
          <cell r="H22">
            <v>24.491666666666664</v>
          </cell>
          <cell r="J22">
            <v>4.416666666666667</v>
          </cell>
        </row>
        <row r="23">
          <cell r="H23">
            <v>24.1</v>
          </cell>
          <cell r="J23">
            <v>4</v>
          </cell>
        </row>
        <row r="25">
          <cell r="C25">
            <v>8</v>
          </cell>
        </row>
        <row r="26">
          <cell r="C26">
            <v>4</v>
          </cell>
          <cell r="P26">
            <v>89223494</v>
          </cell>
        </row>
        <row r="33">
          <cell r="C33">
            <v>0.46575342465753422</v>
          </cell>
        </row>
        <row r="34">
          <cell r="C34">
            <v>111.3</v>
          </cell>
        </row>
        <row r="35">
          <cell r="C35">
            <v>110.8</v>
          </cell>
        </row>
        <row r="36">
          <cell r="C36">
            <v>0.5</v>
          </cell>
        </row>
        <row r="37">
          <cell r="C37">
            <v>101.74</v>
          </cell>
        </row>
        <row r="56">
          <cell r="C56">
            <v>306</v>
          </cell>
          <cell r="D56">
            <v>489</v>
          </cell>
          <cell r="E56">
            <v>0.38490566037735852</v>
          </cell>
        </row>
      </sheetData>
      <sheetData sheetId="27">
        <row r="24">
          <cell r="H24">
            <v>26.080000000000002</v>
          </cell>
          <cell r="J24">
            <v>6.6</v>
          </cell>
        </row>
        <row r="25">
          <cell r="H25">
            <v>25.85</v>
          </cell>
          <cell r="J25">
            <v>6.5</v>
          </cell>
        </row>
        <row r="27">
          <cell r="C27">
            <v>7</v>
          </cell>
          <cell r="P27">
            <v>103062556</v>
          </cell>
        </row>
        <row r="28">
          <cell r="C28">
            <v>3</v>
          </cell>
        </row>
        <row r="35">
          <cell r="C35">
            <v>0.47297297297297297</v>
          </cell>
        </row>
        <row r="36">
          <cell r="C36">
            <v>113.2</v>
          </cell>
        </row>
        <row r="37">
          <cell r="C37">
            <v>114.3</v>
          </cell>
        </row>
        <row r="38">
          <cell r="C38">
            <v>-1.0999999999999943</v>
          </cell>
        </row>
        <row r="39">
          <cell r="C39">
            <v>101.17</v>
          </cell>
        </row>
        <row r="60">
          <cell r="C60">
            <v>436</v>
          </cell>
          <cell r="D60">
            <v>360</v>
          </cell>
          <cell r="E60">
            <v>0.54773869346733672</v>
          </cell>
        </row>
      </sheetData>
      <sheetData sheetId="28">
        <row r="26">
          <cell r="H26">
            <v>26.160000000000004</v>
          </cell>
          <cell r="J26">
            <v>5</v>
          </cell>
        </row>
        <row r="27">
          <cell r="H27">
            <v>26.3</v>
          </cell>
          <cell r="J27">
            <v>4.5</v>
          </cell>
        </row>
        <row r="29">
          <cell r="C29">
            <v>7</v>
          </cell>
          <cell r="P29">
            <v>95166165</v>
          </cell>
        </row>
        <row r="30">
          <cell r="C30">
            <v>3</v>
          </cell>
        </row>
        <row r="37">
          <cell r="C37">
            <v>0.43055555555555558</v>
          </cell>
        </row>
        <row r="38">
          <cell r="C38">
            <v>109.5</v>
          </cell>
        </row>
        <row r="39">
          <cell r="C39">
            <v>111.4</v>
          </cell>
        </row>
        <row r="40">
          <cell r="C40">
            <v>-1.9000000000000057</v>
          </cell>
        </row>
        <row r="41">
          <cell r="C41">
            <v>99.6</v>
          </cell>
        </row>
        <row r="62">
          <cell r="C62">
            <v>293</v>
          </cell>
          <cell r="D62">
            <v>501</v>
          </cell>
          <cell r="E62">
            <v>0.36901763224181361</v>
          </cell>
        </row>
      </sheetData>
      <sheetData sheetId="29">
        <row r="24">
          <cell r="H24">
            <v>27.133333333333336</v>
          </cell>
          <cell r="J24">
            <v>7.333333333333333</v>
          </cell>
        </row>
        <row r="25">
          <cell r="H25">
            <v>25.6</v>
          </cell>
          <cell r="J25">
            <v>5.5</v>
          </cell>
        </row>
        <row r="26">
          <cell r="P26">
            <v>116293374</v>
          </cell>
        </row>
        <row r="27">
          <cell r="C27">
            <v>8</v>
          </cell>
        </row>
        <row r="28">
          <cell r="C28">
            <v>4</v>
          </cell>
        </row>
        <row r="35">
          <cell r="C35">
            <v>0.45070422535211269</v>
          </cell>
        </row>
        <row r="36">
          <cell r="C36">
            <v>111.7</v>
          </cell>
        </row>
        <row r="37">
          <cell r="C37">
            <v>112.6</v>
          </cell>
        </row>
        <row r="38">
          <cell r="C38">
            <v>-0.89999999999999147</v>
          </cell>
        </row>
        <row r="39">
          <cell r="C39">
            <v>101.14</v>
          </cell>
        </row>
        <row r="57">
          <cell r="C57">
            <v>541</v>
          </cell>
          <cell r="D57">
            <v>242</v>
          </cell>
          <cell r="E57">
            <v>0.69093231162196678</v>
          </cell>
        </row>
      </sheetData>
      <sheetData sheetId="30">
        <row r="24">
          <cell r="H24">
            <v>26.033333333333335</v>
          </cell>
          <cell r="J24">
            <v>5.2222222222222223</v>
          </cell>
        </row>
        <row r="25">
          <cell r="H25">
            <v>24.9</v>
          </cell>
          <cell r="J25">
            <v>5</v>
          </cell>
        </row>
        <row r="27">
          <cell r="C27">
            <v>5</v>
          </cell>
        </row>
        <row r="28">
          <cell r="C28">
            <v>4</v>
          </cell>
          <cell r="P28">
            <v>86831860</v>
          </cell>
        </row>
        <row r="35">
          <cell r="C35">
            <v>0.73611111111111116</v>
          </cell>
        </row>
        <row r="36">
          <cell r="C36">
            <v>110.8</v>
          </cell>
        </row>
        <row r="37">
          <cell r="C37">
            <v>104.7</v>
          </cell>
        </row>
        <row r="38">
          <cell r="C38">
            <v>6.0999999999999943</v>
          </cell>
        </row>
        <row r="39">
          <cell r="C39">
            <v>101.19</v>
          </cell>
        </row>
        <row r="60">
          <cell r="C60">
            <v>453</v>
          </cell>
          <cell r="D60">
            <v>341</v>
          </cell>
          <cell r="E60">
            <v>0.57052896725440805</v>
          </cell>
        </row>
      </sheetData>
      <sheetData sheetId="31">
        <row r="23">
          <cell r="H23">
            <v>27.253846153846155</v>
          </cell>
          <cell r="J23">
            <v>5.5384615384615383</v>
          </cell>
        </row>
        <row r="24">
          <cell r="H24">
            <v>27.3</v>
          </cell>
          <cell r="J24">
            <v>4</v>
          </cell>
        </row>
        <row r="26">
          <cell r="C26">
            <v>7</v>
          </cell>
        </row>
        <row r="27">
          <cell r="C27">
            <v>6</v>
          </cell>
        </row>
        <row r="28">
          <cell r="P28">
            <v>121606261</v>
          </cell>
        </row>
        <row r="34">
          <cell r="C34">
            <v>0.61111111111111116</v>
          </cell>
        </row>
        <row r="35">
          <cell r="C35">
            <v>111.8</v>
          </cell>
        </row>
        <row r="36">
          <cell r="C36">
            <v>109.3</v>
          </cell>
        </row>
        <row r="37">
          <cell r="C37">
            <v>2.5</v>
          </cell>
        </row>
        <row r="38">
          <cell r="C38">
            <v>99.15</v>
          </cell>
        </row>
        <row r="59">
          <cell r="C59">
            <v>414</v>
          </cell>
          <cell r="D59">
            <v>380</v>
          </cell>
          <cell r="E59">
            <v>0.52141057934508817</v>
          </cell>
        </row>
      </sheetData>
      <sheetData sheetId="32">
        <row r="26">
          <cell r="H26">
            <v>24.818181818181817</v>
          </cell>
          <cell r="J26">
            <v>4.8181818181818183</v>
          </cell>
        </row>
        <row r="27">
          <cell r="H27">
            <v>23.5</v>
          </cell>
          <cell r="J27">
            <v>3</v>
          </cell>
        </row>
        <row r="28">
          <cell r="P28">
            <v>107474130</v>
          </cell>
        </row>
        <row r="29">
          <cell r="C29">
            <v>9</v>
          </cell>
        </row>
        <row r="30">
          <cell r="C30">
            <v>2</v>
          </cell>
        </row>
        <row r="37">
          <cell r="C37">
            <v>0.34722222222222221</v>
          </cell>
        </row>
        <row r="38">
          <cell r="C38">
            <v>110.2</v>
          </cell>
        </row>
        <row r="39">
          <cell r="C39">
            <v>114.7</v>
          </cell>
        </row>
        <row r="40">
          <cell r="C40">
            <v>-4.5</v>
          </cell>
        </row>
        <row r="41">
          <cell r="C41">
            <v>103.38</v>
          </cell>
        </row>
        <row r="63">
          <cell r="C63">
            <v>352</v>
          </cell>
          <cell r="D63">
            <v>442</v>
          </cell>
          <cell r="E63">
            <v>0.44332493702770781</v>
          </cell>
        </row>
      </sheetData>
    </sheetDataSet>
  </externalBook>
</externalLink>
</file>

<file path=xl/persons/person.xml><?xml version="1.0" encoding="utf-8"?>
<personList xmlns="http://schemas.microsoft.com/office/spreadsheetml/2018/threadedcomments" xmlns:x="http://schemas.openxmlformats.org/spreadsheetml/2006/main">
  <person displayName="Scott, Buddy" id="{1FA68D97-771D-CB42-BAD6-DC74ABBAE1F6}" userId="S::jamesscott@college.harvard.edu::589d23c8-3ac8-407c-ad2d-c4ee5b2f2b0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2" dT="2020-06-20T19:30:40.99" personId="{1FA68D97-771D-CB42-BAD6-DC74ABBAE1F6}" id="{5921E21D-9019-5E45-B20C-04DE2347B5A7}">
    <text>8 players: Clint Capela / Dewayne Dedmon / DeAndre Hunter / Trae Young / Cam Reddish / John Collins / Kevin Huerter / Bruno Fernando
2020 1st (#6)
2020 MIA 2nd (#50)
Jeff Teague (Bird UFA)
DeAndre Bembry (Bird RFA if QO)
Skal Labissiere (Bird RFA if QO)
Damian Jones (Bird RFA if QO)
Treveon Graham (Early Bird UFA)
Brandon Goodwin (NG, Non Bird RFA if QO)
Charlie Brown Jr. (2W RFA)</text>
  </threadedComment>
  <threadedComment ref="R3" dT="2020-06-20T20:45:54.05" personId="{1FA68D97-771D-CB42-BAD6-DC74ABBAE1F6}" id="{31144DD7-EF0B-174A-92DF-C0D54B9FAE23}">
    <text>13 players: Kemba Walker / Gordon Hayward (PO) / Jaylen Brown / Marcus Smart / Jayson Tatum / Enes Kanter (PO) / Daniel Theis (NG) / Romeo Langford / Vincent Poirier / Grant Williams / Robert Williams / Semi Ojeleye (TO) / Carsen Edwards
2020 MEM 1st (#14)
2020 1st (#26)
2020 MIL 1st (#30)
2020 BKN 2nd (#47)
Brad Wanamaker (EB RFA)
Javonte Green (NB RFA)
Tremont Waters (2W RFA)
Tacko Fall (2W RFA)</text>
  </threadedComment>
  <threadedComment ref="R4" dT="2020-06-21T02:13:35.70" personId="{1FA68D97-771D-CB42-BAD6-DC74ABBAE1F6}" id="{4FD98334-8896-C64D-B4E3-14B8E4D847B5}">
    <text>13 players: Kevin Durant / Kyrie Irving / Caris LeVert / Taurean Prince / Spencer Dinwiddie / DeAndre Jordan / Garrett Temple (TO) / Jarrett Allen / Dzanan Musa / Timothe Luwawu-Cabarrot (NG) / Rodions Kurucs / Nic Claxton / Jeremiah Martin
2020 PHI 1st (#19)
2020 DEN 2nd (#55)
Joe Harris (Bird UFA)
Wilson Chandler (NB UFA)
Tyler Johnson
Justin Anderson
Donta Hall
Lance Thomas
Jamal Crawford
Chris Chiozza (2W RFA)</text>
  </threadedComment>
  <threadedComment ref="R5" dT="2020-06-21T20:36:12.59" personId="{1FA68D97-771D-CB42-BAD6-DC74ABBAE1F6}" id="{7F88D13D-1847-F141-9842-4D8E4C36608C}">
    <text>11 players: Nic Batum (PO) / Terry Rozier / Cody Zeller / Malik Monk / PJ Washington / Miles Bridges / Devonte Graham (NG) / Cody Martin / Caleb Martin (NG) / Jalen McDaniels (NG) / Ray Spalding (2W)
2020 1st (#3)
2020 CLE 2nd (#32)
2020 BOS 2nd (#56)
Bismack Biyombo (Bird)
Willy Hernangomez (Bird)
Dwayne Bacon (Bird RFA if QO)
Kobi Simmons (2W RFA)</text>
  </threadedComment>
  <threadedComment ref="R6" dT="2020-06-22T16:16:37.30" personId="{1FA68D97-771D-CB42-BAD6-DC74ABBAE1F6}" id="{606097E3-7B7F-414D-9E13-C58425B048A6}">
    <text>12 players: Otto Porter Jr (PO) / Zach LaVine / Thaddeus Young / Tomas Satoransky / Cristiano Felicio / Lauri Markkanen / Coby White / Wendell Carter Jr / Ryan Arcidiacano / Chandler Hutchinson / Luke Kornet / Daniel Gafford
2020 1st (#4)
2020 MEM 2nd (#44)
Kris Dunn (Bird RFA if QO)
Denzel Valentine (Bird RFA if QO)
Shaquille Harrison (EB RFA if QO)
Max Strus (2W RFA)
Adam Mokoka (2W RFA)</text>
  </threadedComment>
  <threadedComment ref="R7" dT="2020-06-23T15:30:37.59" personId="{1FA68D97-771D-CB42-BAD6-DC74ABBAE1F6}" id="{B21012C2-2743-7E4E-BE3E-87CD3E701EF3}">
    <text>10 players: Kevin Love / Andre Drummond (PO) / Larry Nance Jr / Dante Exum / Cedi Osman / Darius Garland / Collin Sexton / Dylan Windler / Alfonzo McKinnie (NG) / Kevin Porter Jr
Matt Mooney
2020 1st (projected #2)
Tristan Thompson
Matthew Dellavedova
Ante Zizic
Dean Wade</text>
  </threadedComment>
  <threadedComment ref="R8" dT="2020-06-24T16:00:03.89" personId="{1FA68D97-771D-CB42-BAD6-DC74ABBAE1F6}" id="{9188F89C-EAE7-2D4F-AB5C-89FA79F1F448}">
    <text>12 players: Kristaps Porzingis / Tim Hardaway Jr (PO) / Dwight Powell / Delon Wright / Maxi Kleber / Luka Doncic / Seth Curry / Justin Jackson / Dorian Finney-Smith / Boban Marjanovic / Willie Cauley-Stein (PO) / Jalen Brunson
2020 1st (#18)
2020 GSW 2nd (#31)
Courtney Lee (Bird)
JJ Barea (Bird)
Michael Kidd-Gilchrist (NB)
Trey Burke (None)
Josh Reaves (2W RFA)
Antonius Cleveland (2W RFA)</text>
  </threadedComment>
  <threadedComment ref="R9" dT="2020-06-24T15:52:56.95" personId="{1FA68D97-771D-CB42-BAD6-DC74ABBAE1F6}" id="{35229364-D2F3-CB43-A7C5-E4DC4942D257}">
    <text>10 players: Nikola Jokic / Jamal Murray / Gary Harris / Will Barton / Michael Porter Jr. / P.J Dozier (PG) / Monte Morris (NG) / Keita Bates-Diop (NG) / Vladko Cancar / Bol Bol (2W)
2020 HOU 1st (#22)
Paul Millsap
Mason Plumlee
Jerami Grant (declining PO)
Torrey Craig
Noah Vonleh
Troy Daniels
Tyler Cook</text>
  </threadedComment>
  <threadedComment ref="R10" dT="2020-06-26T02:55:10.78" personId="{1FA68D97-771D-CB42-BAD6-DC74ABBAE1F6}" id="{B9C588C1-8E88-3548-BC6D-8495B1A368C1}">
    <text>9 players: Blake Griffin / Tony Snell (PO) / Derrick Rose / Luke Kennard / Sekou Doumbouya / Justin Patton (NG) / Khyri Thomas (PG) / Bruce Brown (NG) / Svi Mykhailiuk (TO)
2020 1st (#7)
Brandon Knight (Bird)
John Henson (Bird)
Langston Galloway (Bird)
Thon Maker (Bird RFA if QO)
Christian Wood (Early Bird)
Jordan McRae (Early Bird)
Louis King (2W RFA)
Jordan Bone (2W RFA)</text>
  </threadedComment>
  <threadedComment ref="R11" dT="2020-08-22T03:40:54.40" personId="{1FA68D97-771D-CB42-BAD6-DC74ABBAE1F6}" id="{B8E96932-DEA0-D74D-9123-9AAA89FF7400}">
    <text>13 players: Stephen Curry / Klay Thompson / Andrew Wiggins / Draymond Green / Kevon Looney / Jordan Poole / Marquese Chriss (PG) / Damion Lee (PG) / Eric Paschall / Alen Smailagic / Ky Bowman (NG) / Mychal Mulder (NG) / Juan Toscano-Anderson (NG)
2020 1st (#2)
2020 DAL 2nd (#48)
2020 UTA 2nd (#51)</text>
  </threadedComment>
  <threadedComment ref="R12" dT="2020-08-22T15:22:51.44" personId="{1FA68D97-771D-CB42-BAD6-DC74ABBAE1F6}" id="{C36A344A-D38F-CE47-BCD6-F95A8C204A94}">
    <text>10 players: Russell Westbrook / James Harden / Eric Gordon / Robert Covington / P.J. Tucker / Danuel House Jr / Austin Rivers (PO) / Ben McLemore (NG) / David Nwaba (TO) / Chris Clemons (NG)
Bruno Caboclo (Early Bird)
Tyson Chandler (Non Bird)
Thabo Sefolosha (Non Bird)
DeMarre Carroll (Non Bird)
Jeff Green (Non Bird)
Luc Mbah a Moute (No Rights)
William Howard (2W RFA)
Michael Frazier (2W RFA)</text>
  </threadedComment>
  <threadedComment ref="R13" dT="2020-08-22T15:44:33.67" personId="{1FA68D97-771D-CB42-BAD6-DC74ABBAE1F6}" id="{25C264E2-7809-664E-A141-1C2361E5BD62}">
    <text>12 players: Victor Oladipo / Malcolm Brogdon / Domantas Sabonis / Myles Turner / T.J. Warren / Jeremy Lamb / Doug McDermott / T.J. Leaf / T.J. McConnell (PG) / Goga Bitadze / Aaron Holiday / Edmond Sumner
2020 2nd (#54)
Justin Holiday (Non Bird)
JaKarr Sampson (Non Bird)
Alize Johnson (Early Bird RFA)
Naz Mitrou Long (2W RFA)
Brian Bowen II (2W RFA)</text>
  </threadedComment>
  <threadedComment ref="R14" dT="2020-08-22T18:12:20.35" personId="{1FA68D97-771D-CB42-BAD6-DC74ABBAE1F6}" id="{839CE5F7-062F-C54D-917A-84600FB0F5B4}">
    <text>11 players: Paul George / Kawhi Leonard / Patrick Beverley / Lou Williams / Ivica Zubac / Rodney McGruder / JaMychal Green (PO) / Landry Shamet / Mfiondu Kabengele / Terance Mann / Amir Coffey (2W)
2020 2nd (#57)
Marcus Morris (Non Bird)
Montrezl Harrell (Bird)
Joakim Noah (NG)
Patrick Patterson (Non Bird)
Reggie Jackson (Non Bird)
Jonathan Motley (2W RFA)</text>
  </threadedComment>
  <threadedComment ref="R15" dT="2020-08-31T19:04:38.55" personId="{1FA68D97-771D-CB42-BAD6-DC74ABBAE1F6}" id="{C64943DC-06B5-D047-94E0-F826BB641FE7}">
    <text>11 players: LeBron James / Danny Green / Kentavious Caldwell-Pope (PO) / Avery Bradley (PO) / JaVale McGee (PO) / Kyle Kuzma / Quinn Cook (PG) / Alex Caruso / Rajon Rondo (PO) / Talen Horton-Tucker / Devonte Cacok (2W)
2020 1st (#28)
Anthony Davis (declining PO)
Markieff Morris (Non Bird)
Jared Dudley (Non Bird)
Dwight Howard (Non Bird)
Dion Waiters (Non Bird)
J.R. Smith (No Rights)
Kostas Antetokounmpo (2W RFA)</text>
  </threadedComment>
  <threadedComment ref="R16" dT="2020-08-31T19:11:28.15" personId="{1FA68D97-771D-CB42-BAD6-DC74ABBAE1F6}" id="{A4E9DEEB-E8AF-F24C-AF8D-719C25F64452}">
    <text>11 players: Gorgui Dieng / Jonas Valanciunas / Justise Winslow / Dillon Brooks / Kyle Anderson / Ja Morant / Tyus Jones / Jaren Jackson Jr / Marco Guduric / Brandon Clarke / Grayson Allen
2020 PHX 2nd (#40)
Josh Jackson
DeAnthony Melton (EB RFA)
Jontay Porter (TO)
Anthony Tolliver (Non Bird)
Yuta Watanabe (2W RFA)
John Konchar (2W RFA)</text>
  </threadedComment>
  <threadedComment ref="R17" dT="2020-08-31T19:13:18.01" personId="{1FA68D97-771D-CB42-BAD6-DC74ABBAE1F6}" id="{C71BF933-0D19-5749-90C6-C7C31B54C1BB}">
    <text>9 players: Jimmy Butler / Andre Iguodala / Kelly Olynyk (PO) / Bam Adebayo / Tyler Herro / Duncan Robinson (NG) / Kendrick Nunn (NG) / KZ Okpala / Chris Silva
2020 1st (#20)
Goran Dragic (Bird)
Solomon Hill (Bird)
Meyers Leonard (Bird)
Jae Crowder (Bird)
Derrick Jones Jr (Bird)
Udonis Haslem (Bird)
Kyle Alexander (2W RFA)
Gabe Vincent (2W RFA)</text>
  </threadedComment>
  <threadedComment ref="R18" dT="2020-08-27T18:37:55.94" personId="{1FA68D97-771D-CB42-BAD6-DC74ABBAE1F6}" id="{4B23ECCD-06EB-334B-8D6E-2A31F7344C50}">
    <text>10 players: Khris Middleton / Giannis Antetokounmpo / Eric Bledsoe / Brook Lopez / George Hill / Robin Lopez (PO) / D.J. Wilson / Donte Divincenzo / Wesley Matthews (PO) / Thanasis Antetokounmpo
2020 IND 1st (#24)
Ersan Ilyasova (NG)
Pat Connaughton (EB)
Sterling Bird (Bird RFA)
Kyle Korver (NB)
Marvin Williams (NB)
Cam Reynolds (2W RFA)
Frank Mason (2W RFA)</text>
  </threadedComment>
  <threadedComment ref="R19" dT="2020-08-31T19:15:29.10" personId="{1FA68D97-771D-CB42-BAD6-DC74ABBAE1F6}" id="{BAF8A100-5994-C543-996B-A140CA5F83BD}">
    <text>11 players: Karl-Anthony Towns / D’Angelo Russell / James Johnson (PO) / Jarrett Culver / Jake Layman / Josh Okogie / Jacob Evans / Omari Spellman / Jarred Vanderbilt (NG) / Jalen Nowell (NG) / Naz Reid (NG)
2020 1st (#1)
2020 BKN 1st (#17)
2020 2nd (#33)
Evan Turner (Bird)
Juan Hernangomez (Bird RFA)
Malik Beasley (Bird RFA)
Kelan Martin (2W RFA)
Jordan McLaughlin (2W RFA)</text>
  </threadedComment>
  <threadedComment ref="R20" dT="2020-08-28T15:48:54.91" personId="{1FA68D97-771D-CB42-BAD6-DC74ABBAE1F6}" id="{009D27FC-D8EF-4641-83F5-10565697C39E}">
    <text>8 players: Jrue Holiday / J.J. Redick / Lonzo Ball / Zion Williamson / Jaxson Hayes / Nicolo Melli / Josh Hart / Nickeil Alexander-Walker
2020 1st (#13)
2020 WSH 2nd (#39)
2020 2nd (#42)
2020 MIL 2nd (#60)
Derrick Favors (Bird)
Brandon Ingram (Bird RFA)
E’Twaun Moore (Bird)
Darius Miller (NG)
Frank Jackson (Bird RFA)
Kenrich Williams (EB RFA)
Jahlil Okafor (Early Bird)
Sindarius Thornwell (No rights)
Zylan Cheatham (2W RFA)
Josh Gray (2W RFA)</text>
  </threadedComment>
  <threadedComment ref="R21" dT="2020-08-31T19:17:45.17" personId="{1FA68D97-771D-CB42-BAD6-DC74ABBAE1F6}" id="{494C84DF-5474-4A4C-9572-2204D84024FD}">
    <text>10 players: Julius Randle / R.J. Barrett / Frank Ntilikina / Dennis Smith Jr / Kevin Knox / Reggie Bullock (PG) / Theo Pinson (TO) / Mitchell Robinson (NG) / Ignas Brazdeikis / Kenny Wooten (2W)
2020 1st (#8)
2020 LAC 1st (#27)
2020 CHA 2nd (#38)
Bobby Portis (TO)
Taj Gibson (PG)
Wayne Ellington (PG)
Elfrid Payton (PG)
Maurice Harkless (Bird)
Damyean Dotson (Bird RFA)
Jared Harper (2W RFA)</text>
  </threadedComment>
  <threadedComment ref="R22" dT="2020-08-31T19:21:32.91" personId="{1FA68D97-771D-CB42-BAD6-DC74ABBAE1F6}" id="{884B0623-2800-324A-8BD9-2E2485CCAAFC}">
    <text>11 players: Chris Paul / Steven Adams / Dennis Schroder / Shai Gilgeous-Alexander / Terrance Ferguson / Darius Bazley / Mike Muscala (PO) / Abdel Nader (TO) / Hamidou Diallo (TO) / Luguentz Dort / Isaiah Roby
2020 DEN 1st (projected #25)
2020 2nd (projected #51)
Deonte Burton (TO)
Danilo Gallinari (Bird)
Andre Roberson (Bird)
Nerlens Noel (Bird)
Kevin Hervey (2W RFA)
Devon Hall (2W RFA)</text>
  </threadedComment>
  <threadedComment ref="R23" dT="2020-08-27T16:26:30.27" personId="{1FA68D97-771D-CB42-BAD6-DC74ABBAE1F6}" id="{E91DB447-6A43-8448-A42A-B2C368387138}">
    <text>10 players: Nikola Vucevic / Aaron Gordon / Evan Fournier (PO) / Terrence Ross / Markelle Fultz / Al-Farouq Aminu / Jonathan Isaac / Mo Bamba / Khem Birch / James Ennis III (PO)
2020 1st (#15)
2020 2nd (#45)
2019 1st (#16 - Chuma Okeke)
DJ Augustin (Bird)
Wes Iwundu (Bird RFA)
Michael Carter-Williams (EB)
Melvin Frazier Jr. (TO)
Gary Clark (NB RFA)
B.J. Johnson (2W RFA)
Vic Law (2W RFA)</text>
  </threadedComment>
  <threadedComment ref="R24" dT="2020-08-31T19:24:21.89" personId="{1FA68D97-771D-CB42-BAD6-DC74ABBAE1F6}" id="{1FBD8DAC-2318-8243-ABE4-815A0F0C0FE9}">
    <text>12 players: Tobias Harris / Joel Embiid / Al Horford / Ben Simmons / Josh Richardson / Mike Scott / Zhaire Smith / Matisse Thybulle / Furkan Korkmaz (NG) / Shake Milton / Norvel Pelle (NG) / Mariel Shayok (2W)
2020 OKC 1st (#21)
2020 ATL 2nd (#34)
2020 NYK 2nd (#36)
2020 2nd (#49)
2020 LAL 2nd (#58)
Glenn Robinson III (Non Bird)
Alec Burks (Non Bird)
Kyle O’Quinn (Non Bird)
Raul Neto (Non Bird)
Ryan Broekhoff (No Rights)</text>
  </threadedComment>
  <threadedComment ref="R25" dT="2020-08-31T19:31:15.79" personId="{1FA68D97-771D-CB42-BAD6-DC74ABBAE1F6}" id="{CF8AD44B-61A1-6C4B-B6B6-086836CD37FD}">
    <text>9 players: Devin Booker / Ricky Rubio / Kelly Oubre Jr / DeAndre Ayton / Mikal Bridges / Cam Johnson / Ty Jerome / Cam Payne (NG) / Jalen Leque
2020 1st (#10)
Cameron Payne (NG)
Dario Saric (Bird RFA)
Aron Baynes (Bird UFA)
Jevon Carter (EB RFA)
Tariq Owens (2W RFA)</text>
  </threadedComment>
  <threadedComment ref="R26" dT="2020-08-31T19:33:32.94" personId="{1FA68D97-771D-CB42-BAD6-DC74ABBAE1F6}" id="{9BCEB4F6-B9CA-0745-BC32-B8E825EF50E5}">
    <text>9 players: Damian Lillard / C.J. McCollum / Jusuf Nurkic / Rodney Hood (PO) / Zach Collins / Anfernee Simons / Nassir Little / Mario Hezonja (PO) / Gary Trent Jr.
2020 1st (#16)
2020 2nd (#46)
Trevor Ariza (PG)
Hassan Whiteside (Bird)
Caleb Swanigan (Bird)
Wenyen Gabriel (EB RFA)
Carmelo Anthony (NB)
Jaylen Adams (No Rights)
Jaylen Hoard (2W RFA)
Moses Brown (2W RFA)</text>
  </threadedComment>
  <threadedComment ref="R27" dT="2020-08-31T19:35:30.87" personId="{1FA68D97-771D-CB42-BAD6-DC74ABBAE1F6}" id="{FD4FC2B2-5595-FC44-8065-EB31AEF9961B}">
    <text>8 players: Buddy Hield / Harrison Barnes / Cory Joseph / Marvin Bagley / De’Aaron Fox / Jabari Parker (PO) / Richaun Holmes / Justin James
2020 1st (projected #12)
2020 DET 2nd (projected #35)
2020 2nd (projected #42)
2020 MIA 2nd (projected #53)
Nemanja Bjelica (NG)
Kent Bazemore
Bogdan Bogdanovic (RFA)
Alex Len
Yogi Ferrell
Harry Giles
Cory Brewer
Daquan Jeffries</text>
  </threadedComment>
  <threadedComment ref="R28" dT="2020-08-31T19:37:32.02" personId="{1FA68D97-771D-CB42-BAD6-DC74ABBAE1F6}" id="{E98CE10B-0241-B344-B31B-5E7D28A242C2}">
    <text>9 players: DeMar DeRozan (PO) / LaMarcus Aldridge / Rudy Gay / Dejounte Murray / Patty Mills / Derrick White / Lonnie Walker / Luka Samanic / Keldon Johnson
2020 1st (projected #11)
2020 2nd (projected #41)
Trey Lyles (PG)
Tyler Zeller (NG)
Chimezie Metu (NG)
Jakob Poeltl (RFA)
Marco Belinelli (UFA, Early Bird)
Bryn Forbes (UFA, Bird)
Drew Eubanks
Quindary Weatherspoon</text>
  </threadedComment>
  <threadedComment ref="R29" dT="2020-08-31T19:39:27.64" personId="{1FA68D97-771D-CB42-BAD6-DC74ABBAE1F6}" id="{4CCD2359-63ED-9E48-B78D-3F4EBC5CEDB4}">
    <text>9 players: Kyle Lowry / Pascal Siakam / Norman Powell / Patrick McCaw / O.G. Anunoby / Stanley Johnson (PO) / Matt Thomas (PG) / Terence Davis III (NG) / Dewan Hernandez (NG)
2020 1st (#29)
2020 2nd (#59)
Marc Gasol (Bird)
Serge Ibaka (Bird)
Fred VanVleet (Bird)
Rondae Hollis-Jefferson (NB)
Chris Boucher (EB RFA)
Malcolm Miller (Bird RFA)
O’Shae Brissett (2W RFA)
Paul Watson (2W RFA)</text>
  </threadedComment>
  <threadedComment ref="R30" dT="2020-08-31T19:41:16.23" personId="{1FA68D97-771D-CB42-BAD6-DC74ABBAE1F6}" id="{803EFCEE-CB11-5A4C-AC30-7A05BEE3A522}">
    <text>12 players: Mike Conley / Rudy Gobert / Bojan Bogdanovic / Joe Ingles / Royce O’Neale / Ed Davis / Donovan Mitchell / Tony Bradley / Georges Niang (NG) / Rayjon Tucker (PG) / Miye Oni (NG) / Juwan Morgan (NG)
2020 1st (#23)
Jordan Clarkson (Bird)
Emmanuel Mudiay (Non Bird)
Nigel Williams-Goss (NG)
Justin Wright-Foreman (2W RFA)
Jarrell Brantley (2W RFA)</text>
  </threadedComment>
  <threadedComment ref="R31" dT="2020-08-31T19:45:03.58" personId="{1FA68D97-771D-CB42-BAD6-DC74ABBAE1F6}" id="{A44685EA-FF56-ED49-AFF3-AD9BB0947762}">
    <text>11 players: John Wall / Bradley Beal / Thomas Bryant / Ish Smith / Rui Hachimura / Jerome Robinson / Troy Brown Jr / Mo Wagner / Isaac Bonga (NG) / Admiral Schofield / Anzejs Pasecniks (NG)
2020 1st (#9)
2020 CHI 2nd (#37)
Ian Mahinmi (Bird)
Davis Bertans (Bird)
Shabazz Napier
Gary Payton II
Garrison Matthews
Jonathan Williams
Jerian Grant
Jared Uthoff</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0-06-20T19:53:44.35" personId="{1FA68D97-771D-CB42-BAD6-DC74ABBAE1F6}" id="{E13CF384-C336-4B4D-A253-B71CF0B65C03}">
    <text>per Cleaning The Glass</text>
  </threadedComment>
  <threadedComment ref="W1" dT="2020-06-20T19:54:07.88" personId="{1FA68D97-771D-CB42-BAD6-DC74ABBAE1F6}" id="{032EF1AE-E52C-8B47-B836-85CA8DB04EEC}">
    <text>per Basketball Reference</text>
  </threadedComment>
  <threadedComment ref="P2" dT="2020-06-20T19:11:17.06" personId="{1FA68D97-771D-CB42-BAD6-DC74ABBAE1F6}" id="{34CE61FE-D6B5-4647-96A9-D7A8A8D6D099}">
    <text>Bird</text>
  </threadedComment>
  <threadedComment ref="P3" dT="2020-06-20T19:10:23.67" personId="{1FA68D97-771D-CB42-BAD6-DC74ABBAE1F6}" id="{9D1CA21E-2712-4E49-B48B-01243457F098}">
    <text>$3,752,338 QO
NEW: 10/17/20 deadline
Bird</text>
  </threadedComment>
  <threadedComment ref="P4" dT="2020-06-20T19:10:37.51" personId="{1FA68D97-771D-CB42-BAD6-DC74ABBAE1F6}" id="{42FFD1EB-C474-8C43-80FB-AEE808BBAD3F}">
    <text>$3,484,882 QO
NEW: 10/17/20 deadline
Bird</text>
  </threadedComment>
  <threadedComment ref="P5" dT="2020-06-20T19:11:00.14" personId="{1FA68D97-771D-CB42-BAD6-DC74ABBAE1F6}" id="{8DC92149-BF95-364D-8C26-E7E9885C1DD4}">
    <text>$3,457,586 QO
NEW: 10/17/20 deadline
Bird</text>
  </threadedComment>
  <threadedComment ref="P6" dT="2020-06-20T19:12:42.62" personId="{1FA68D97-771D-CB42-BAD6-DC74ABBAE1F6}" id="{6142682A-BC3C-3D4C-9077-D199939D4CEB}">
    <text>OLD: fully NG, fully gt on 8/1/20
Non Bird RFA if waived</text>
  </threadedComment>
  <threadedComment ref="Q6" dT="2020-06-20T19:27:45.26" personId="{1FA68D97-771D-CB42-BAD6-DC74ABBAE1F6}" id="{3027C7A4-1B5B-134F-B544-711FC2A0AA03}">
    <text>$2,126,991 QO
Early Bird</text>
  </threadedComment>
  <threadedComment ref="P7" dT="2020-06-20T19:12:07.60" personId="{1FA68D97-771D-CB42-BAD6-DC74ABBAE1F6}" id="{25518009-9811-754F-8C9D-CF63D3F9CD80}">
    <text>Early Bird</text>
  </threadedComment>
  <threadedComment ref="P8" dT="2020-06-20T19:13:42.66" personId="{1FA68D97-771D-CB42-BAD6-DC74ABBAE1F6}" id="{8B5CA550-3BD3-9A47-9390-48144D38D377}">
    <text>2W QO
Non Bird</text>
  </threadedComment>
  <threadedComment ref="P9" dT="2020-06-20T20:26:08.29" personId="{1FA68D97-771D-CB42-BAD6-DC74ABBAE1F6}" id="{7B6C6555-45E0-9341-8A8F-AD1681106916}">
    <text>NEW: 10/17/20 deadline
$40,250,000 cap hold
Bird</text>
  </threadedComment>
  <threadedComment ref="Q9" dT="2020-06-20T20:26:17.29" personId="{1FA68D97-771D-CB42-BAD6-DC74ABBAE1F6}" id="{26361EB3-77E4-EF4A-9AF5-C66FA249672C}">
    <text>Bird</text>
  </threadedComment>
  <threadedComment ref="P10" dT="2020-06-20T20:34:35.19" personId="{1FA68D97-771D-CB42-BAD6-DC74ABBAE1F6}" id="{D8BA2BFB-E922-B94E-997C-7F17C51C4AF8}">
    <text>NEW: 10/17/20 deadline
$5,720,400 cap hold
Non Bird</text>
  </threadedComment>
  <threadedComment ref="Q10" dT="2020-06-20T20:34:45.33" personId="{1FA68D97-771D-CB42-BAD6-DC74ABBAE1F6}" id="{E5E0F0CB-B9A5-1E40-8773-7BA0FAC29EC3}">
    <text>Early Bird</text>
  </threadedComment>
  <threadedComment ref="P11" dT="2020-06-20T20:33:59.19" personId="{1FA68D97-771D-CB42-BAD6-DC74ABBAE1F6}" id="{4787DFB7-057A-2B49-8067-BFCD5A8A6F92}">
    <text>NEW: fully NG, fully gt on 10/20/20
If waived, Bird RFA
$9,500,000 cap hold
$6,250,000 QO</text>
  </threadedComment>
  <threadedComment ref="Q11" dT="2020-06-20T20:34:06.22" personId="{1FA68D97-771D-CB42-BAD6-DC74ABBAE1F6}" id="{CE4228A0-C77A-E247-AB38-EAECB86A3F9F}">
    <text>Bird</text>
  </threadedComment>
  <threadedComment ref="P12" dT="2020-06-20T20:53:46.00" personId="{1FA68D97-771D-CB42-BAD6-DC74ABBAE1F6}" id="{C4E51F0A-C4B4-0A4D-9D1C-15F1F12A12CF}">
    <text>$1,907,576 QO
NEW: 10/17/20 deadline
Early Bird RFA</text>
  </threadedComment>
  <threadedComment ref="P13" dT="2020-06-20T20:50:30.63" personId="{1FA68D97-771D-CB42-BAD6-DC74ABBAE1F6}" id="{141B143A-8271-2C43-BE62-2F5066E7D5E8}">
    <text>NEW: 10/17/20 deadline
If declined, Bird RFA
$2,023,150 QO</text>
  </threadedComment>
  <threadedComment ref="Q13" dT="2020-06-20T20:51:45.41" personId="{1FA68D97-771D-CB42-BAD6-DC74ABBAE1F6}" id="{FF288AFF-CEAA-B44B-84AF-EF464FFDF62B}">
    <text>Bird</text>
  </threadedComment>
  <threadedComment ref="P14" dT="2020-06-20T20:55:49.85" personId="{1FA68D97-771D-CB42-BAD6-DC74ABBAE1F6}" id="{C320DEB8-53CF-6741-BB21-D12C8B8E8D04}">
    <text xml:space="preserve">fully NG, fully gt on 1/10/21 (subject to change)
If waived, Non Bird RFA
$1,645,697 QO
</text>
  </threadedComment>
  <threadedComment ref="Q14" dT="2020-06-20T20:59:03.81" personId="{1FA68D97-771D-CB42-BAD6-DC74ABBAE1F6}" id="{C510A9AB-594A-D940-9461-82DE28FA6648}">
    <text>$2,056,061 QO
Early Bird RFA</text>
  </threadedComment>
  <threadedComment ref="P15" dT="2020-06-20T20:59:35.58" personId="{1FA68D97-771D-CB42-BAD6-DC74ABBAE1F6}" id="{5D855AA3-60B9-0A42-88D6-58DCA6599B83}">
    <text>2W QO
Non Bird</text>
  </threadedComment>
  <threadedComment ref="P16" dT="2020-06-20T20:59:40.09" personId="{1FA68D97-771D-CB42-BAD6-DC74ABBAE1F6}" id="{5CCD0583-827B-7841-BD4C-6B932B5E2C0A}">
    <text>2W QO
Non Bird</text>
  </threadedComment>
  <threadedComment ref="P17" dT="2020-06-20T22:18:28.31" personId="{1FA68D97-771D-CB42-BAD6-DC74ABBAE1F6}" id="{792913BD-F897-CC45-AFAC-C7F92FA3CB6E}">
    <text>Bird</text>
  </threadedComment>
  <threadedComment ref="P18" dT="2020-06-20T22:18:49.23" personId="{1FA68D97-771D-CB42-BAD6-DC74ABBAE1F6}" id="{889415EF-60F3-5343-8371-ED4DEEFEB082}">
    <text xml:space="preserve">NEW: 10/17/20 deadline
If declined, Non Bird UFA
$5,720,400 cap hold
</text>
  </threadedComment>
  <threadedComment ref="Q18" dT="2020-06-20T22:19:00.34" personId="{1FA68D97-771D-CB42-BAD6-DC74ABBAE1F6}" id="{363E0282-8702-6E47-A36E-A865A585576A}">
    <text>Early Bird</text>
  </threadedComment>
  <threadedComment ref="P19" dT="2020-06-21T02:08:05.06" personId="{1FA68D97-771D-CB42-BAD6-DC74ABBAE1F6}" id="{092E2145-4FF9-D644-8240-85B919C400AD}">
    <text>OLD: fully NG, $150,000 gt on 8/1/20, fully gt on 1/10/21
If waived, Non Bird UFA</text>
  </threadedComment>
  <threadedComment ref="Q19" dT="2020-06-21T02:08:15.83" personId="{1FA68D97-771D-CB42-BAD6-DC74ABBAE1F6}" id="{1AC7A8CE-78EA-2C49-AC55-3F7383DB8387}">
    <text>Early Bird</text>
  </threadedComment>
  <threadedComment ref="P20" dT="2020-06-21T01:57:38.75" personId="{1FA68D97-771D-CB42-BAD6-DC74ABBAE1F6}" id="{8C8A6EC1-D5B5-BE45-9CC0-F043459328D1}">
    <text>Non Bird</text>
  </threadedComment>
  <threadedComment ref="P21" dT="2020-06-21T01:57:38.75" personId="{1FA68D97-771D-CB42-BAD6-DC74ABBAE1F6}" id="{AA15AB1B-B31C-1843-A8B2-09B594DBE76B}">
    <text>Non Bird</text>
  </threadedComment>
  <threadedComment ref="Y21" dT="2020-06-24T03:10:37.28" personId="{1FA68D97-771D-CB42-BAD6-DC74ABBAE1F6}" id="{CF7B36A6-EB45-4C47-B6CF-65DA0263D456}">
    <text>all w/ PHX</text>
  </threadedComment>
  <threadedComment ref="P22" dT="2020-06-21T02:05:00.18" personId="{1FA68D97-771D-CB42-BAD6-DC74ABBAE1F6}" id="{2EE5A99E-6257-9741-8B38-B4D5BA4E7C9C}">
    <text>2W RFA
Non Bird</text>
  </threadedComment>
  <threadedComment ref="P27" dT="2020-06-21T02:49:44.12" personId="{1FA68D97-771D-CB42-BAD6-DC74ABBAE1F6}" id="{2FC8E349-4CA2-E940-A533-8F214F3D5362}">
    <text>NEW: 10/17/20 deadline
$38,347,826 cap hold
Bird</text>
  </threadedComment>
  <threadedComment ref="Q27" dT="2020-06-21T02:50:09.63" personId="{1FA68D97-771D-CB42-BAD6-DC74ABBAE1F6}" id="{27564828-4E87-6241-AE47-6ED68D60B30F}">
    <text>Bird</text>
  </threadedComment>
  <threadedComment ref="P28" dT="2020-06-21T02:55:39.03" personId="{1FA68D97-771D-CB42-BAD6-DC74ABBAE1F6}" id="{B0C1250C-D29F-AE4F-8597-45AAC67BEB4B}">
    <text>Bird</text>
  </threadedComment>
  <threadedComment ref="P29" dT="2020-06-21T20:18:49.74" personId="{1FA68D97-771D-CB42-BAD6-DC74ABBAE1F6}" id="{58AD7E36-C4B4-F24A-B15F-84DE65DA5989}">
    <text>Bird</text>
  </threadedComment>
  <threadedComment ref="P30" dT="2020-06-21T20:20:06.20" personId="{1FA68D97-771D-CB42-BAD6-DC74ABBAE1F6}" id="{376FC2B9-5F40-4241-9DDF-3048E499EA89}">
    <text>NEW: 10/17/20 deadline
Bird
$2,023,150 QO</text>
  </threadedComment>
  <threadedComment ref="P31" dT="2020-06-21T20:21:02.75" personId="{1FA68D97-771D-CB42-BAD6-DC74ABBAE1F6}" id="{48DB2A0C-7A2B-B34F-83A0-4428CEEE5BDD}">
    <text>NEW: fully NG, fully gt on 10/24/20
If waived, Early Bird RFA</text>
  </threadedComment>
  <threadedComment ref="Q31" dT="2020-06-21T20:21:17.61" personId="{1FA68D97-771D-CB42-BAD6-DC74ABBAE1F6}" id="{4DB9D347-3A70-794E-9440-55EC2A4E5CE5}">
    <text>$2,023,150 QO
Bird</text>
  </threadedComment>
  <threadedComment ref="P32" dT="2020-06-21T20:24:34.08" personId="{1FA68D97-771D-CB42-BAD6-DC74ABBAE1F6}" id="{FE5E6E4E-21D7-6645-A29C-9B89779CEC05}">
    <text>OLD: fully NG, fully gt on 7/15/20
If waived, Non Bird RFA</text>
  </threadedComment>
  <threadedComment ref="Q32" dT="2020-06-21T20:24:59.42" personId="{1FA68D97-771D-CB42-BAD6-DC74ABBAE1F6}" id="{682F5BAC-4C88-5641-B32C-3838788C4E7B}">
    <text>OLD: fully NG, fully gt on 7/15/21
If waived, Early Bird RFA</text>
  </threadedComment>
  <threadedComment ref="R32" dT="2020-06-21T20:25:10.62" personId="{1FA68D97-771D-CB42-BAD6-DC74ABBAE1F6}" id="{69053A66-E58A-B14E-9630-895CDB292072}">
    <text>$2,228,276 QO
Bird</text>
  </threadedComment>
  <threadedComment ref="P33" dT="2020-06-21T20:26:44.57" personId="{1FA68D97-771D-CB42-BAD6-DC74ABBAE1F6}" id="{9A4A6CFC-FDB5-A142-ADDC-A21ECF08FC2C}">
    <text>OLD: fully NG, $100,000 gt on 8/1/20, fully gt on 1/10/21
If waived, Non Bird RFA</text>
  </threadedComment>
  <threadedComment ref="Q33" dT="2020-06-21T20:27:08.98" personId="{1FA68D97-771D-CB42-BAD6-DC74ABBAE1F6}" id="{7354CBA2-5382-A045-A655-0D37E3522812}">
    <text>OLD: fully NG, fully gt on 8/1/20
If waived, Early Bird RFA</text>
  </threadedComment>
  <threadedComment ref="R33" dT="2020-06-21T20:27:29.88" personId="{1FA68D97-771D-CB42-BAD6-DC74ABBAE1F6}" id="{10E62A83-C4DB-E740-A848-6810B693A60D}">
    <text>OLD: 6/29/22 deadline
fully NG, fully gt on 8/1/22
If waived, Bird RFA</text>
  </threadedComment>
  <threadedComment ref="S33" dT="2020-06-21T20:27:35.76" personId="{1FA68D97-771D-CB42-BAD6-DC74ABBAE1F6}" id="{76D3F0DF-4579-1C42-B364-FDECD8B175EA}">
    <text>Bird</text>
  </threadedComment>
  <threadedComment ref="P34" dT="2020-06-22T15:51:18.19" personId="{1FA68D97-771D-CB42-BAD6-DC74ABBAE1F6}" id="{99628C6D-742D-9946-A62B-9305E2D79171}">
    <text>2W QO
Non Bird</text>
  </threadedComment>
  <threadedComment ref="P35" dT="2020-06-22T03:10:41.03" personId="{1FA68D97-771D-CB42-BAD6-DC74ABBAE1F6}" id="{3CCB1811-61D5-8048-8802-116901749E2B}">
    <text>NEW: 10/17/20 deadline
$34,500,000 cap hold
Bird</text>
  </threadedComment>
  <threadedComment ref="Q35" dT="2020-06-22T15:52:39.36" personId="{1FA68D97-771D-CB42-BAD6-DC74ABBAE1F6}" id="{51F9F430-4F97-D443-8AF6-98DB0E6EF2F1}">
    <text>Bird</text>
  </threadedComment>
  <threadedComment ref="P36" dT="2020-06-22T16:05:54.86" personId="{1FA68D97-771D-CB42-BAD6-DC74ABBAE1F6}" id="{68EC5590-C8C5-A24B-94C7-A86354FDAB74}">
    <text>$7,091,457 QO
NEW: 10/17/20 deadline
Bird</text>
  </threadedComment>
  <threadedComment ref="P37" dT="2020-06-22T16:07:36.01" personId="{1FA68D97-771D-CB42-BAD6-DC74ABBAE1F6}" id="{93974182-88CA-9848-A595-BBC8317F7109}">
    <text>$4,698,198 QO</text>
  </threadedComment>
  <threadedComment ref="P38" dT="2020-06-22T16:10:17.83" personId="{1FA68D97-771D-CB42-BAD6-DC74ABBAE1F6}" id="{B9A06425-3DCB-064E-94F7-5602AF1DE246}">
    <text>$2,025,705 QO
NEW: 10/17/20 deadline
Early Bird</text>
  </threadedComment>
  <threadedComment ref="P39" dT="2020-06-22T15:52:07.36" personId="{1FA68D97-771D-CB42-BAD6-DC74ABBAE1F6}" id="{D8C9A4FE-D5AA-8244-9724-197EB0F2E3FD}">
    <text>2W QO
Non Bird</text>
  </threadedComment>
  <threadedComment ref="P40" dT="2020-06-22T15:52:11.86" personId="{1FA68D97-771D-CB42-BAD6-DC74ABBAE1F6}" id="{5AA325ED-4B84-8342-9B7C-DEC2A4C9A889}">
    <text>2W QO
Non Bird</text>
  </threadedComment>
  <threadedComment ref="P41" dT="2020-08-07T19:23:10.07" personId="{1FA68D97-771D-CB42-BAD6-DC74ABBAE1F6}" id="{13F23B4B-748F-934D-9264-D5A7A4A9565C}">
    <text>OLD: $800,000 gt, fully gt on 7/15/20
If waived, Non Bird UFA</text>
  </threadedComment>
  <threadedComment ref="Q41" dT="2020-08-07T19:23:16.23" personId="{1FA68D97-771D-CB42-BAD6-DC74ABBAE1F6}" id="{0804DEC6-301A-FF49-968A-DEF16EE13296}">
    <text>Early Bird</text>
  </threadedComment>
  <threadedComment ref="P42" dT="2020-08-07T19:26:26.04" personId="{1FA68D97-771D-CB42-BAD6-DC74ABBAE1F6}" id="{499B570F-9226-4A4D-87C7-4B733A960D73}">
    <text>OLD: $600,000 gt, fully gt on 1/10/21
If waived, Early Bird UFA</text>
  </threadedComment>
  <threadedComment ref="Q42" dT="2020-08-07T19:30:19.21" personId="{1FA68D97-771D-CB42-BAD6-DC74ABBAE1F6}" id="{847E1E80-BC3F-C940-90B9-39F37777FB59}">
    <text>fully NG, fully gt on 1/10/22
If waived, Bird UFA</text>
  </threadedComment>
  <threadedComment ref="R42" dT="2020-08-07T19:30:24.80" personId="{1FA68D97-771D-CB42-BAD6-DC74ABBAE1F6}" id="{5513F6C2-6377-BD40-B60E-4E07F7398027}">
    <text>Bird</text>
  </threadedComment>
  <threadedComment ref="P43" dT="2020-08-07T19:35:44.22" personId="{1FA68D97-771D-CB42-BAD6-DC74ABBAE1F6}" id="{C21BBCD9-2D53-D649-B784-B698E5A411E9}">
    <text>OLD: fully NG, fully gt on 1/10/21</text>
  </threadedComment>
  <threadedComment ref="Q43" dT="2020-08-07T19:35:53.01" personId="{1FA68D97-771D-CB42-BAD6-DC74ABBAE1F6}" id="{8417F50D-A40E-BF47-A3F4-8798D4FF4F39}">
    <text>fully NG, $200,000 gt on 7/15/21, fully gt on 1/10/22</text>
  </threadedComment>
  <threadedComment ref="R43" dT="2020-08-07T19:34:31.61" personId="{1FA68D97-771D-CB42-BAD6-DC74ABBAE1F6}" id="{4D253F22-A64A-CC4E-94A4-C31A0D14C774}">
    <text>$2,228,276 QO
6/29/22 deadline
Bird</text>
  </threadedComment>
  <threadedComment ref="P44" dT="2020-08-07T19:35:09.73" personId="{1FA68D97-771D-CB42-BAD6-DC74ABBAE1F6}" id="{53104304-2940-ED47-BB70-A0D32B3F0F98}">
    <text>OLD: fully NG, fully gt on 1/10/21</text>
  </threadedComment>
  <threadedComment ref="Q44" dT="2020-08-07T19:35:23.57" personId="{1FA68D97-771D-CB42-BAD6-DC74ABBAE1F6}" id="{271A9477-9945-5045-9A1E-8D34EE285BEE}">
    <text>fully NG, $200,000 gt on 7/15/21, fully gt on 1/10/22</text>
  </threadedComment>
  <threadedComment ref="R44" dT="2020-08-07T19:34:26.79" personId="{1FA68D97-771D-CB42-BAD6-DC74ABBAE1F6}" id="{F0DDCA7B-13AF-AD47-996C-214F5D6BD0AA}">
    <text>$2,228,276 QO
6/29/22 deadline
Bird</text>
  </threadedComment>
  <threadedComment ref="P45" dT="2020-08-07T19:32:56.95" personId="{1FA68D97-771D-CB42-BAD6-DC74ABBAE1F6}" id="{63E17993-A37A-8C49-B202-BD5CFE8B1B77}">
    <text>OLD: fully NG, $200,000 gt if on opening night roster, fully gt on 1/10/21</text>
  </threadedComment>
  <threadedComment ref="Q45" dT="2020-08-07T19:33:28.46" personId="{1FA68D97-771D-CB42-BAD6-DC74ABBAE1F6}" id="{B818FB83-29C6-DE49-BD24-801485E198A7}">
    <text>fully NG, fully gt on 1/10/22</text>
  </threadedComment>
  <threadedComment ref="R45" dT="2020-08-07T19:33:54.98" personId="{1FA68D97-771D-CB42-BAD6-DC74ABBAE1F6}" id="{ECC6F177-0BB4-494D-B1C1-5AD3E9AA0701}">
    <text>$2,228,276 QO
6/29/22 deadline
Bird</text>
  </threadedComment>
  <threadedComment ref="P46" dT="2020-08-06T21:02:31.94" personId="{1FA68D97-771D-CB42-BAD6-DC74ABBAE1F6}" id="{8EAB3335-79A6-1843-87E6-0293B9E37456}">
    <text>Bird</text>
  </threadedComment>
  <threadedComment ref="P47" dT="2020-08-06T21:02:36.52" personId="{1FA68D97-771D-CB42-BAD6-DC74ABBAE1F6}" id="{E41C0D3F-C756-EF4B-9DEF-4F9A228ECBB5}">
    <text>Bird</text>
  </threadedComment>
  <threadedComment ref="P48" dT="2020-08-07T14:34:39.55" personId="{1FA68D97-771D-CB42-BAD6-DC74ABBAE1F6}" id="{C352C695-DD7A-C24D-A4A0-F29D5BF5DE77}">
    <text>10/17/20 deadline
$1,707,576 cap hold
Non Bird</text>
  </threadedComment>
  <threadedComment ref="Q48" dT="2020-08-07T14:34:48.82" personId="{1FA68D97-771D-CB42-BAD6-DC74ABBAE1F6}" id="{90B3A625-0920-FE44-BCD1-CDBE496CD395}">
    <text>Early Bird</text>
  </threadedComment>
  <threadedComment ref="P49" dT="2020-08-07T14:38:38.38" personId="{1FA68D97-771D-CB42-BAD6-DC74ABBAE1F6}" id="{9C42D14F-BC2A-E148-B527-2F60A13F9C72}">
    <text>10/17/20 deadline
If waived, Bird RFA</text>
  </threadedComment>
  <threadedComment ref="Q49" dT="2020-08-07T14:35:16.32" personId="{1FA68D97-771D-CB42-BAD6-DC74ABBAE1F6}" id="{1842DA1B-E847-B74F-B5A7-FA3D35AE4EB8}">
    <text>Bird</text>
  </threadedComment>
  <threadedComment ref="P50" dT="2020-08-07T14:38:26.89" personId="{1FA68D97-771D-CB42-BAD6-DC74ABBAE1F6}" id="{057905E3-5817-0049-BC74-5D26716E325C}">
    <text>10/17/20 deadline
If waived, Early Bird RFA</text>
  </threadedComment>
  <threadedComment ref="Q50" dT="2020-08-07T14:35:30.92" personId="{1FA68D97-771D-CB42-BAD6-DC74ABBAE1F6}" id="{58E5DA08-7416-7243-B731-289A4AA26380}">
    <text>$2,122,822 QO
6/29/21 deadline
Bird</text>
  </threadedComment>
  <threadedComment ref="P51" dT="2020-08-07T14:37:31.21" personId="{1FA68D97-771D-CB42-BAD6-DC74ABBAE1F6}" id="{D11865FA-1AAA-8C47-BE36-15775FFB41E7}">
    <text>10/15/20 deadline
If kept, $1,174,336 gt
OLD: fully gt on 8/1/20
If waived, Early Bird RFA</text>
  </threadedComment>
  <threadedComment ref="Q51" dT="2020-08-07T14:35:38.05" personId="{1FA68D97-771D-CB42-BAD6-DC74ABBAE1F6}" id="{5ED6CD17-20A4-0E45-A969-FE66318FAFAC}">
    <text>$2,122,822 QO
6/29/21 deadline
Bird</text>
  </threadedComment>
  <threadedComment ref="P52" dT="2020-08-06T21:02:43.68" personId="{1FA68D97-771D-CB42-BAD6-DC74ABBAE1F6}" id="{4F92D4ED-3D8E-DE4E-9EF0-DFBBAF4649D4}">
    <text>Early Bird</text>
  </threadedComment>
  <threadedComment ref="P55" dT="2020-08-06T18:18:40.88" personId="{1FA68D97-771D-CB42-BAD6-DC74ABBAE1F6}" id="{75ADD977-2F26-9441-AFCD-A8C52148D4A2}">
    <text>Bird</text>
  </threadedComment>
  <threadedComment ref="P56" dT="2020-08-06T18:19:04.04" personId="{1FA68D97-771D-CB42-BAD6-DC74ABBAE1F6}" id="{1FA34D10-C8BF-EF4A-9ACC-D8693C2FDF61}">
    <text>$10,661,733 QO
10/17/20 deadline
Bird</text>
  </threadedComment>
  <threadedComment ref="P57" dT="2020-08-06T18:27:52.41" personId="{1FA68D97-771D-CB42-BAD6-DC74ABBAE1F6}" id="{BED38E81-7DD9-A043-92C9-785D5175FBC2}">
    <text>fully NG, fully gt on 10/17/20
Early Bird
$8,872,500 cap hold</text>
  </threadedComment>
  <threadedComment ref="Q57" dT="2020-08-06T18:28:25.99" personId="{1FA68D97-771D-CB42-BAD6-DC74ABBAE1F6}" id="{13BD9EFE-285E-5E42-85AD-05228FC7CB9F}">
    <text>Bird</text>
  </threadedComment>
  <threadedComment ref="P58" dT="2020-08-06T18:27:30.71" personId="{1FA68D97-771D-CB42-BAD6-DC74ABBAE1F6}" id="{33DC107A-9495-C941-83D1-B9077FC0E222}">
    <text>10/15/20 deadline
Non Bird
$7,800,000 cap hold</text>
  </threadedComment>
  <threadedComment ref="Q58" dT="2020-08-06T18:32:05.16" personId="{1FA68D97-771D-CB42-BAD6-DC74ABBAE1F6}" id="{C0AB5BAA-E079-CA4D-92CA-B7EF5559F1DA}">
    <text>Early Bird</text>
  </threadedComment>
  <threadedComment ref="P59" dT="2020-08-06T18:19:10.19" personId="{1FA68D97-771D-CB42-BAD6-DC74ABBAE1F6}" id="{4A6D2AE3-8112-CB4F-B2B8-B2B7FBE311FB}">
    <text>Early Bird</text>
  </threadedComment>
  <threadedComment ref="P60" dT="2020-08-06T18:19:15.87" personId="{1FA68D97-771D-CB42-BAD6-DC74ABBAE1F6}" id="{69F1B42A-4530-4A40-96E5-230627FD742B}">
    <text>Early Bird</text>
  </threadedComment>
  <threadedComment ref="P61" dT="2020-08-06T18:19:27.35" personId="{1FA68D97-771D-CB42-BAD6-DC74ABBAE1F6}" id="{FEFE059E-CC73-4349-9143-3A318DFFF1FD}">
    <text>CANNOT PAY MORE THAN THIS AMOUNT</text>
  </threadedComment>
  <threadedComment ref="P62" dT="2020-06-23T23:33:50.84" personId="{1FA68D97-771D-CB42-BAD6-DC74ABBAE1F6}" id="{D299CB3C-C0B8-764A-B08A-B7A56F5E03B7}">
    <text>Non Bird</text>
  </threadedComment>
  <threadedComment ref="P63" dT="2020-08-06T18:37:23.40" personId="{1FA68D97-771D-CB42-BAD6-DC74ABBAE1F6}" id="{AF9B0590-9F82-354C-BE3D-70FF62237F0E}">
    <text>2W qualifying offer
Non Bird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yxpzVO39yCc" TargetMode="External"/><Relationship Id="rId2" Type="http://schemas.openxmlformats.org/officeDocument/2006/relationships/hyperlink" Target="https://www.youtube.com/watch?v=vKmuRF--jQI" TargetMode="External"/><Relationship Id="rId1" Type="http://schemas.openxmlformats.org/officeDocument/2006/relationships/hyperlink" Target="https://www.youtube.com/watch?v=iPa8o9mkhMo" TargetMode="External"/><Relationship Id="rId5" Type="http://schemas.openxmlformats.org/officeDocument/2006/relationships/hyperlink" Target="https://www.youtube.com/watch?v=z6H0f___-bc" TargetMode="External"/><Relationship Id="rId4" Type="http://schemas.openxmlformats.org/officeDocument/2006/relationships/hyperlink" Target="https://www.youtube.com/watch?v=d8N5Nat7Aj4"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9D454-4136-4947-AAB6-A2CE54759E47}">
  <dimension ref="A1:AB36"/>
  <sheetViews>
    <sheetView workbookViewId="0">
      <selection activeCell="J2" sqref="J2"/>
    </sheetView>
  </sheetViews>
  <sheetFormatPr baseColWidth="10" defaultColWidth="10.83203125" defaultRowHeight="16" x14ac:dyDescent="0.2"/>
  <cols>
    <col min="1" max="1" width="10.83203125" style="3"/>
    <col min="2" max="2" width="14.1640625" style="3" customWidth="1"/>
    <col min="3" max="3" width="15.1640625" style="3" customWidth="1"/>
    <col min="4" max="4" width="12.1640625" style="3" customWidth="1"/>
    <col min="5" max="5" width="12.6640625" style="3" customWidth="1"/>
    <col min="6" max="6" width="11.6640625" style="3" customWidth="1"/>
    <col min="7" max="7" width="12.5" style="3" customWidth="1"/>
    <col min="8" max="11" width="12.1640625" style="3" customWidth="1"/>
    <col min="12" max="12" width="16" style="3" customWidth="1"/>
    <col min="13" max="13" width="12.1640625" customWidth="1"/>
    <col min="14" max="14" width="10.6640625" style="3" customWidth="1"/>
    <col min="15" max="15" width="11.33203125" style="3" customWidth="1"/>
    <col min="16" max="17" width="10.33203125" style="3" customWidth="1"/>
    <col min="18" max="18" width="17.6640625" style="3" customWidth="1"/>
    <col min="19" max="19" width="20.1640625" style="3" customWidth="1"/>
    <col min="20" max="20" width="19.6640625" style="3" customWidth="1"/>
    <col min="21" max="21" width="103" style="3" customWidth="1"/>
    <col min="22" max="22" width="11.1640625" style="3" customWidth="1"/>
    <col min="23" max="23" width="11.83203125" style="3" customWidth="1"/>
    <col min="24" max="24" width="14" style="3" customWidth="1"/>
    <col min="25" max="25" width="14.6640625" style="3" customWidth="1"/>
    <col min="26" max="26" width="13.6640625" style="3" customWidth="1"/>
    <col min="27" max="27" width="17.83203125" style="3" customWidth="1"/>
    <col min="28" max="28" width="22.83203125" style="3" customWidth="1"/>
    <col min="29" max="16384" width="10.83203125" style="3"/>
  </cols>
  <sheetData>
    <row r="1" spans="1:28" x14ac:dyDescent="0.2">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1" t="s">
        <v>23</v>
      </c>
      <c r="Y1" s="1" t="s">
        <v>2</v>
      </c>
      <c r="Z1" s="1" t="s">
        <v>24</v>
      </c>
      <c r="AA1" s="1" t="s">
        <v>25</v>
      </c>
      <c r="AB1" s="1" t="s">
        <v>26</v>
      </c>
    </row>
    <row r="2" spans="1:28" x14ac:dyDescent="0.2">
      <c r="A2" s="3" t="s">
        <v>27</v>
      </c>
      <c r="B2" s="4">
        <f>[1]ATL!C33</f>
        <v>0.29850746268656714</v>
      </c>
      <c r="C2" s="5">
        <f>RANK(B2,$B$2:$B$31,0)</f>
        <v>27</v>
      </c>
      <c r="D2" s="6">
        <f>[1]ATL!C34</f>
        <v>107</v>
      </c>
      <c r="E2" s="7">
        <f>RANK(D2,$D$2:$D$31,0)</f>
        <v>25</v>
      </c>
      <c r="F2" s="6">
        <f>[1]ATL!C35</f>
        <v>114.4</v>
      </c>
      <c r="G2" s="7">
        <f>RANK(F2,$F$2:$F$31,1)</f>
        <v>28</v>
      </c>
      <c r="H2" s="6">
        <f>[1]ATL!C36</f>
        <v>-7.4000000000000057</v>
      </c>
      <c r="I2" s="7">
        <f>RANK(H2,$H$2:$H$31,0)</f>
        <v>28</v>
      </c>
      <c r="J2" s="8">
        <f>[1]ATL!C37</f>
        <v>103.28</v>
      </c>
      <c r="K2" s="7">
        <f>RANK(J2,$J$2:$J$31,0)</f>
        <v>7</v>
      </c>
      <c r="L2" s="7">
        <f>[1]ATL!C25</f>
        <v>8</v>
      </c>
      <c r="M2" s="7">
        <f>[1]ATL!C26</f>
        <v>1</v>
      </c>
      <c r="N2" s="8">
        <f ca="1">[1]ATL!H22</f>
        <v>23.966666666666665</v>
      </c>
      <c r="O2" s="8">
        <f ca="1">[1]ATL!H23</f>
        <v>22.8</v>
      </c>
      <c r="P2" s="8">
        <f>[1]ATL!J22</f>
        <v>3.7777777777777777</v>
      </c>
      <c r="Q2" s="7">
        <f>[1]ATL!J23</f>
        <v>3</v>
      </c>
      <c r="R2" s="9">
        <f>[1]ATL!P24</f>
        <v>62115976</v>
      </c>
      <c r="S2" s="9">
        <f>B34-R2-(3*898310)</f>
        <v>44329094</v>
      </c>
      <c r="T2" s="10">
        <f>B35-R2</f>
        <v>70511024</v>
      </c>
      <c r="U2" s="9" t="s">
        <v>28</v>
      </c>
      <c r="V2" s="3">
        <f>[1]ATL!C64</f>
        <v>390</v>
      </c>
      <c r="W2" s="3">
        <f>[1]ATL!D64</f>
        <v>399</v>
      </c>
      <c r="X2" s="11">
        <f>[1]ATL!E64</f>
        <v>0.49429657794676807</v>
      </c>
      <c r="Y2" s="7">
        <f>RANK(X2,$X$2:$X$31,0)</f>
        <v>17</v>
      </c>
      <c r="Z2" s="11">
        <f>7/10</f>
        <v>0.7</v>
      </c>
      <c r="AA2" s="11">
        <f>27/(27+36)</f>
        <v>0.42857142857142855</v>
      </c>
      <c r="AB2" s="11">
        <f>4/11</f>
        <v>0.36363636363636365</v>
      </c>
    </row>
    <row r="3" spans="1:28" x14ac:dyDescent="0.2">
      <c r="A3" s="3" t="s">
        <v>29</v>
      </c>
      <c r="B3" s="4">
        <f>[1]BOS!C37</f>
        <v>0.66666666666666663</v>
      </c>
      <c r="C3" s="5">
        <f t="shared" ref="C3:C31" si="0">RANK(B3,$B$2:$B$31,0)</f>
        <v>5</v>
      </c>
      <c r="D3" s="6">
        <f>[1]BOS!C38</f>
        <v>112.8</v>
      </c>
      <c r="E3" s="7">
        <f t="shared" ref="E3:E31" si="1">RANK(D3,$D$2:$D$31,0)</f>
        <v>4</v>
      </c>
      <c r="F3" s="6">
        <f>[1]BOS!C39</f>
        <v>106.5</v>
      </c>
      <c r="G3" s="7">
        <f t="shared" ref="G3:G31" si="2">RANK(F3,$F$2:$F$31,1)</f>
        <v>4</v>
      </c>
      <c r="H3" s="6">
        <f>[1]BOS!C40</f>
        <v>6.2999999999999972</v>
      </c>
      <c r="I3" s="7">
        <f t="shared" ref="I3:I31" si="3">RANK(H3,$H$2:$H$31,0)</f>
        <v>3</v>
      </c>
      <c r="J3" s="8">
        <f>[1]BOS!C41</f>
        <v>99.92</v>
      </c>
      <c r="K3" s="7">
        <f t="shared" ref="K3:K31" si="4">RANK(J3,$J$2:$J$31,0)</f>
        <v>17</v>
      </c>
      <c r="L3" s="7">
        <f>[1]BOS!C29</f>
        <v>9</v>
      </c>
      <c r="M3" s="7">
        <f>[1]BOS!C30</f>
        <v>4</v>
      </c>
      <c r="N3" s="8">
        <f ca="1">[1]BOS!H26</f>
        <v>25.671428571428574</v>
      </c>
      <c r="O3" s="8">
        <f ca="1">[1]BOS!H27</f>
        <v>26.200000000000003</v>
      </c>
      <c r="P3" s="8">
        <f>[1]BOS!J26</f>
        <v>4.8571428571428568</v>
      </c>
      <c r="Q3" s="5">
        <f>[1]BOS!J27</f>
        <v>4</v>
      </c>
      <c r="R3" s="12">
        <f>[1]BOS!P31</f>
        <v>148262797</v>
      </c>
      <c r="S3" s="10">
        <v>0</v>
      </c>
      <c r="T3" s="13">
        <f>B35-R3</f>
        <v>-15635797</v>
      </c>
      <c r="U3" s="3" t="s">
        <v>30</v>
      </c>
      <c r="V3" s="3">
        <f>[1]BOS!C60</f>
        <v>454</v>
      </c>
      <c r="W3" s="3">
        <f>[1]BOS!D60</f>
        <v>339</v>
      </c>
      <c r="X3" s="11">
        <f>[1]BOS!E60</f>
        <v>0.57250945775535944</v>
      </c>
      <c r="Y3" s="7">
        <f t="shared" ref="Y3:Y31" si="5">RANK(X3,$X$2:$X$31,0)</f>
        <v>7</v>
      </c>
      <c r="Z3" s="11">
        <f>9/10</f>
        <v>0.9</v>
      </c>
      <c r="AA3" s="14">
        <f>49/(49+46)</f>
        <v>0.51578947368421058</v>
      </c>
      <c r="AB3" s="14">
        <f>9/17</f>
        <v>0.52941176470588236</v>
      </c>
    </row>
    <row r="4" spans="1:28" x14ac:dyDescent="0.2">
      <c r="A4" s="3" t="s">
        <v>31</v>
      </c>
      <c r="B4" s="4">
        <f>[1]BKN!C39</f>
        <v>0.4861111111111111</v>
      </c>
      <c r="C4" s="5">
        <f t="shared" si="0"/>
        <v>14</v>
      </c>
      <c r="D4" s="6">
        <f>[1]BKN!C40</f>
        <v>108.7</v>
      </c>
      <c r="E4" s="7">
        <f t="shared" si="1"/>
        <v>21</v>
      </c>
      <c r="F4" s="6">
        <f>[1]BKN!C41</f>
        <v>109.2</v>
      </c>
      <c r="G4" s="7">
        <f t="shared" si="2"/>
        <v>10</v>
      </c>
      <c r="H4" s="6">
        <f>[1]BKN!C42</f>
        <v>-0.5</v>
      </c>
      <c r="I4" s="7">
        <f t="shared" si="3"/>
        <v>15</v>
      </c>
      <c r="J4" s="8">
        <f>[1]BKN!C43</f>
        <v>101.7</v>
      </c>
      <c r="K4" s="7">
        <f t="shared" si="4"/>
        <v>10</v>
      </c>
      <c r="L4" s="7">
        <f>[1]BKN!C31</f>
        <v>10</v>
      </c>
      <c r="M4" s="7">
        <f>[1]BKN!C32</f>
        <v>3</v>
      </c>
      <c r="N4" s="8">
        <f ca="1">[1]BKN!H28</f>
        <v>26.53846153846154</v>
      </c>
      <c r="O4" s="8">
        <f ca="1">[1]BKN!H29</f>
        <v>26.1</v>
      </c>
      <c r="P4" s="8">
        <f>[1]BKN!J28</f>
        <v>6.4615384615384617</v>
      </c>
      <c r="Q4" s="5">
        <f>[1]BKN!J29</f>
        <v>5</v>
      </c>
      <c r="R4" s="10">
        <f>[1]BKN!P31</f>
        <v>142701588</v>
      </c>
      <c r="S4" s="10">
        <v>0</v>
      </c>
      <c r="T4" s="13">
        <f>B35-R4</f>
        <v>-10074588</v>
      </c>
      <c r="U4" s="3" t="s">
        <v>30</v>
      </c>
      <c r="V4" s="3">
        <f>[1]BKN!C68</f>
        <v>323</v>
      </c>
      <c r="W4" s="3">
        <f>[1]BKN!D68</f>
        <v>471</v>
      </c>
      <c r="X4" s="11">
        <f>[1]BKN!E68</f>
        <v>0.40680100755667509</v>
      </c>
      <c r="Y4" s="7">
        <f t="shared" si="5"/>
        <v>24</v>
      </c>
      <c r="Z4" s="11">
        <f>4/9</f>
        <v>0.44444444444444442</v>
      </c>
      <c r="AA4" s="14">
        <f>12/35</f>
        <v>0.34285714285714286</v>
      </c>
      <c r="AB4" s="14">
        <f>1/6</f>
        <v>0.16666666666666666</v>
      </c>
    </row>
    <row r="5" spans="1:28" x14ac:dyDescent="0.2">
      <c r="A5" s="3" t="s">
        <v>32</v>
      </c>
      <c r="B5" s="4">
        <f>[1]CHA!C34</f>
        <v>0.35384615384615387</v>
      </c>
      <c r="C5" s="5">
        <f t="shared" si="0"/>
        <v>22</v>
      </c>
      <c r="D5" s="6">
        <f>[1]CHA!C35</f>
        <v>105.9</v>
      </c>
      <c r="E5" s="7">
        <f t="shared" si="1"/>
        <v>27</v>
      </c>
      <c r="F5" s="6">
        <f>[1]CHA!C36</f>
        <v>112.8</v>
      </c>
      <c r="G5" s="7">
        <f t="shared" si="2"/>
        <v>25</v>
      </c>
      <c r="H5" s="6">
        <f>[1]CHA!C37</f>
        <v>-7</v>
      </c>
      <c r="I5" s="7">
        <f t="shared" si="3"/>
        <v>27</v>
      </c>
      <c r="J5" s="8">
        <f>[1]CHA!C38</f>
        <v>96.24</v>
      </c>
      <c r="K5" s="7">
        <f t="shared" si="4"/>
        <v>30</v>
      </c>
      <c r="L5" s="7">
        <f>[1]CHA!C26</f>
        <v>7</v>
      </c>
      <c r="M5" s="7">
        <f>[1]CHA!C27</f>
        <v>4</v>
      </c>
      <c r="N5" s="8">
        <f ca="1">[1]CHA!H23</f>
        <v>25.2</v>
      </c>
      <c r="O5" s="8">
        <f ca="1">[1]CHA!H24</f>
        <v>25</v>
      </c>
      <c r="P5" s="15">
        <f>[1]CHA!J23</f>
        <v>4.5</v>
      </c>
      <c r="Q5" s="7">
        <f>[1]CHA!J24</f>
        <v>3</v>
      </c>
      <c r="R5" s="16">
        <f>[1]CHA!P27</f>
        <v>88807535</v>
      </c>
      <c r="S5" s="10">
        <f>B34-R5-(1*898310)</f>
        <v>19434155</v>
      </c>
      <c r="T5" s="10">
        <f>B35-R5</f>
        <v>43819465</v>
      </c>
      <c r="U5" s="3" t="s">
        <v>28</v>
      </c>
      <c r="V5" s="17">
        <f>[1]CHA!C59</f>
        <v>320</v>
      </c>
      <c r="W5" s="17">
        <f>[1]CHA!D59</f>
        <v>467</v>
      </c>
      <c r="X5" s="11">
        <f>[1]CHA!E59</f>
        <v>0.40660736975857686</v>
      </c>
      <c r="Y5" s="7">
        <f t="shared" si="5"/>
        <v>25</v>
      </c>
      <c r="Z5" s="11">
        <f>2/10</f>
        <v>0.2</v>
      </c>
      <c r="AA5" s="11">
        <f>3/11</f>
        <v>0.27272727272727271</v>
      </c>
      <c r="AB5" s="11">
        <f>0/2</f>
        <v>0</v>
      </c>
    </row>
    <row r="6" spans="1:28" x14ac:dyDescent="0.2">
      <c r="A6" s="3" t="s">
        <v>33</v>
      </c>
      <c r="B6" s="4">
        <f>[1]CHI!C35</f>
        <v>0.33846153846153848</v>
      </c>
      <c r="C6" s="5">
        <f t="shared" si="0"/>
        <v>24</v>
      </c>
      <c r="D6" s="6">
        <f>[1]CHI!C36</f>
        <v>105.8</v>
      </c>
      <c r="E6" s="7">
        <f t="shared" si="1"/>
        <v>29</v>
      </c>
      <c r="F6" s="6">
        <f>[1]CHI!C37</f>
        <v>108.9</v>
      </c>
      <c r="G6" s="7">
        <f t="shared" si="2"/>
        <v>9</v>
      </c>
      <c r="H6" s="6">
        <f>[1]CHI!C38</f>
        <v>-3.1000000000000085</v>
      </c>
      <c r="I6" s="7">
        <f t="shared" si="3"/>
        <v>22</v>
      </c>
      <c r="J6" s="8">
        <f>[1]CHI!C39</f>
        <v>100.46</v>
      </c>
      <c r="K6" s="7">
        <f t="shared" si="4"/>
        <v>16</v>
      </c>
      <c r="L6" s="7">
        <f>[1]CHI!C27</f>
        <v>11</v>
      </c>
      <c r="M6" s="7">
        <f>[1]CHI!C28</f>
        <v>1</v>
      </c>
      <c r="N6" s="18">
        <f ca="1">[1]CHI!H24</f>
        <v>25.499999999999996</v>
      </c>
      <c r="O6" s="18">
        <f ca="1">[1]CHI!H25</f>
        <v>25.4</v>
      </c>
      <c r="P6" s="18">
        <f>[1]CHI!J24</f>
        <v>5.166666666666667</v>
      </c>
      <c r="Q6" s="5">
        <f>[1]CHI!J25</f>
        <v>4</v>
      </c>
      <c r="R6" s="16">
        <f>[1]CHI!P27</f>
        <v>113096068</v>
      </c>
      <c r="S6" s="10">
        <v>0</v>
      </c>
      <c r="T6" s="10">
        <f>B35-R6</f>
        <v>19530932</v>
      </c>
      <c r="U6" s="3" t="s">
        <v>34</v>
      </c>
      <c r="V6" s="3">
        <f>[1]CHI!C59</f>
        <v>409</v>
      </c>
      <c r="W6" s="3">
        <f>[1]CHI!D59</f>
        <v>378</v>
      </c>
      <c r="X6" s="11">
        <f>[1]CHI!E59</f>
        <v>0.51969504447268111</v>
      </c>
      <c r="Y6" s="7">
        <f t="shared" si="5"/>
        <v>14</v>
      </c>
      <c r="Z6" s="11">
        <f>6/10</f>
        <v>0.6</v>
      </c>
      <c r="AA6" s="11">
        <f>25/(25+32)</f>
        <v>0.43859649122807015</v>
      </c>
      <c r="AB6" s="11">
        <f>4/10</f>
        <v>0.4</v>
      </c>
    </row>
    <row r="7" spans="1:28" x14ac:dyDescent="0.2">
      <c r="A7" s="3" t="s">
        <v>35</v>
      </c>
      <c r="B7" s="4">
        <f>[1]CLE!C33</f>
        <v>0.29230769230769232</v>
      </c>
      <c r="C7" s="5">
        <f t="shared" si="0"/>
        <v>29</v>
      </c>
      <c r="D7" s="6">
        <f>[1]CLE!C34</f>
        <v>106.9</v>
      </c>
      <c r="E7" s="7">
        <f>RANK(D7,$D$2:$D$31,0)</f>
        <v>26</v>
      </c>
      <c r="F7" s="6">
        <f>[1]CLE!C35</f>
        <v>114.8</v>
      </c>
      <c r="G7" s="7">
        <f t="shared" si="2"/>
        <v>30</v>
      </c>
      <c r="H7" s="6">
        <f>[1]CLE!C36</f>
        <v>-7.8999999999999915</v>
      </c>
      <c r="I7" s="7">
        <f t="shared" si="3"/>
        <v>29</v>
      </c>
      <c r="J7" s="8">
        <f>[1]CLE!C37</f>
        <v>99.17</v>
      </c>
      <c r="K7" s="7">
        <f t="shared" si="4"/>
        <v>23</v>
      </c>
      <c r="L7" s="7">
        <f>[1]CLE!C25</f>
        <v>8</v>
      </c>
      <c r="M7" s="7">
        <f>[1]CLE!C26</f>
        <v>5</v>
      </c>
      <c r="N7" s="18">
        <f ca="1">[1]CLE!H22</f>
        <v>25.238461538461536</v>
      </c>
      <c r="O7" s="18">
        <f ca="1">[1]CLE!H23</f>
        <v>25.5</v>
      </c>
      <c r="P7" s="15">
        <f>[1]CLE!J22</f>
        <v>4.615384615384615</v>
      </c>
      <c r="Q7" s="5">
        <f>[1]CLE!J23</f>
        <v>4</v>
      </c>
      <c r="R7" s="16">
        <f>[1]CLE!P25</f>
        <v>118628882</v>
      </c>
      <c r="S7" s="10">
        <v>0</v>
      </c>
      <c r="T7" s="10">
        <f>B35-R7</f>
        <v>13998118</v>
      </c>
      <c r="U7" s="3" t="s">
        <v>36</v>
      </c>
      <c r="V7" s="17">
        <f>[1]CLE!C62</f>
        <v>346</v>
      </c>
      <c r="W7" s="17">
        <f>[1]CLE!D62</f>
        <v>441</v>
      </c>
      <c r="X7" s="11">
        <f>[1]CLE!E62</f>
        <v>0.43964421855146124</v>
      </c>
      <c r="Y7" s="7">
        <f t="shared" si="5"/>
        <v>20</v>
      </c>
      <c r="Z7" s="11">
        <f>4/10</f>
        <v>0.4</v>
      </c>
      <c r="AA7" s="11">
        <f>55/(55+26)</f>
        <v>0.67901234567901236</v>
      </c>
      <c r="AB7" s="11">
        <f>13/16</f>
        <v>0.8125</v>
      </c>
    </row>
    <row r="8" spans="1:28" x14ac:dyDescent="0.2">
      <c r="A8" s="3" t="s">
        <v>37</v>
      </c>
      <c r="B8" s="4">
        <f>[1]DAL!C36</f>
        <v>0.57333333333333336</v>
      </c>
      <c r="C8" s="5">
        <f t="shared" si="0"/>
        <v>13</v>
      </c>
      <c r="D8" s="3">
        <f>[1]DAL!C37</f>
        <v>115.9</v>
      </c>
      <c r="E8" s="7">
        <f t="shared" si="1"/>
        <v>1</v>
      </c>
      <c r="F8" s="6">
        <f>[1]DAL!C38</f>
        <v>111.2</v>
      </c>
      <c r="G8" s="7">
        <f t="shared" si="2"/>
        <v>18</v>
      </c>
      <c r="H8" s="6">
        <f>[1]DAL!C39</f>
        <v>4.8</v>
      </c>
      <c r="I8" s="7">
        <f t="shared" si="3"/>
        <v>6</v>
      </c>
      <c r="J8" s="8">
        <f>[1]DAL!C40</f>
        <v>99.89</v>
      </c>
      <c r="K8" s="7">
        <f t="shared" si="4"/>
        <v>18</v>
      </c>
      <c r="L8" s="7">
        <f>[1]DAL!C28</f>
        <v>10</v>
      </c>
      <c r="M8" s="7">
        <f>[1]DAL!C29</f>
        <v>2</v>
      </c>
      <c r="N8" s="8">
        <f ca="1">[1]DAL!H25</f>
        <v>27.333333333333339</v>
      </c>
      <c r="O8" s="8">
        <f ca="1">[1]DAL!H26</f>
        <v>27.9</v>
      </c>
      <c r="P8" s="8">
        <f>[1]DAL!J25</f>
        <v>5.5</v>
      </c>
      <c r="Q8" s="7">
        <f>[1]DAL!J26</f>
        <v>6</v>
      </c>
      <c r="R8" s="10">
        <f>[1]DAL!P28</f>
        <v>112128362</v>
      </c>
      <c r="S8" s="10">
        <v>0</v>
      </c>
      <c r="T8" s="10">
        <f>B35-R8</f>
        <v>20498638</v>
      </c>
      <c r="U8" s="3" t="s">
        <v>38</v>
      </c>
      <c r="V8" s="3">
        <f>[1]DAL!C60</f>
        <v>408</v>
      </c>
      <c r="W8" s="3">
        <f>[1]DAL!D60</f>
        <v>389</v>
      </c>
      <c r="X8" s="11">
        <f>[1]DAL!E60</f>
        <v>0.51191969887076538</v>
      </c>
      <c r="Y8" s="7">
        <f t="shared" si="5"/>
        <v>15</v>
      </c>
      <c r="Z8" s="11">
        <f>5/9</f>
        <v>0.55555555555555558</v>
      </c>
      <c r="AA8" s="14">
        <f>23/48</f>
        <v>0.47916666666666669</v>
      </c>
      <c r="AB8" s="14">
        <f>4/9</f>
        <v>0.44444444444444442</v>
      </c>
    </row>
    <row r="9" spans="1:28" x14ac:dyDescent="0.2">
      <c r="A9" s="3" t="s">
        <v>39</v>
      </c>
      <c r="B9" s="4">
        <f>[1]DEN!C34</f>
        <v>0.63013698630136983</v>
      </c>
      <c r="C9" s="5">
        <f t="shared" si="0"/>
        <v>6</v>
      </c>
      <c r="D9" s="6">
        <f>[1]DEN!C35</f>
        <v>112.6</v>
      </c>
      <c r="E9" s="7">
        <f t="shared" si="1"/>
        <v>5</v>
      </c>
      <c r="F9" s="6">
        <f>[1]DEN!C36</f>
        <v>110.4</v>
      </c>
      <c r="G9" s="7">
        <f t="shared" si="2"/>
        <v>16</v>
      </c>
      <c r="H9" s="6">
        <f>[1]DEN!C37</f>
        <v>2.1999999999999886</v>
      </c>
      <c r="I9" s="7">
        <f t="shared" si="3"/>
        <v>11</v>
      </c>
      <c r="J9" s="8">
        <f>[1]DEN!C38</f>
        <v>97.64</v>
      </c>
      <c r="K9" s="7">
        <f t="shared" si="4"/>
        <v>29</v>
      </c>
      <c r="L9" s="7">
        <f>[1]DEN!C26</f>
        <v>7</v>
      </c>
      <c r="M9" s="7">
        <f>[1]DEN!C27</f>
        <v>4</v>
      </c>
      <c r="N9" s="8">
        <f ca="1">[1]DEN!H23</f>
        <v>24.754545454545454</v>
      </c>
      <c r="O9" s="8">
        <f ca="1">[1]DEN!H24</f>
        <v>25</v>
      </c>
      <c r="P9" s="8">
        <f>[1]DEN!J23</f>
        <v>4.7272727272727275</v>
      </c>
      <c r="Q9" s="7">
        <f>[1]DEN!J24</f>
        <v>4.5</v>
      </c>
      <c r="R9" s="9">
        <f>[1]DEN!P28</f>
        <v>102659923</v>
      </c>
      <c r="S9" s="10">
        <v>0</v>
      </c>
      <c r="T9" s="9">
        <f>B35-R9</f>
        <v>29967077</v>
      </c>
      <c r="U9" s="3" t="s">
        <v>40</v>
      </c>
      <c r="V9" s="3">
        <f>[1]DEN!C58</f>
        <v>430</v>
      </c>
      <c r="W9" s="3">
        <f>[1]DEN!D58</f>
        <v>363</v>
      </c>
      <c r="X9" s="11">
        <f>[1]DEN!E58</f>
        <v>0.54224464060529631</v>
      </c>
      <c r="Y9" s="7">
        <f t="shared" si="5"/>
        <v>11</v>
      </c>
      <c r="Z9" s="11">
        <f>5/10</f>
        <v>0.5</v>
      </c>
      <c r="AA9" s="14">
        <f>17/39</f>
        <v>0.4358974358974359</v>
      </c>
      <c r="AB9" s="14">
        <f>2/6</f>
        <v>0.33333333333333331</v>
      </c>
    </row>
    <row r="10" spans="1:28" x14ac:dyDescent="0.2">
      <c r="A10" s="3" t="s">
        <v>41</v>
      </c>
      <c r="B10" s="4">
        <f>[1]DET!C34</f>
        <v>0.30303030303030304</v>
      </c>
      <c r="C10" s="5">
        <f t="shared" si="0"/>
        <v>26</v>
      </c>
      <c r="D10" s="6">
        <f>[1]DET!C35</f>
        <v>108.8</v>
      </c>
      <c r="E10" s="7">
        <f t="shared" si="1"/>
        <v>20</v>
      </c>
      <c r="F10" s="6">
        <f>[1]DET!C36</f>
        <v>112.3</v>
      </c>
      <c r="G10" s="7">
        <f t="shared" si="2"/>
        <v>22</v>
      </c>
      <c r="H10" s="6">
        <f>[1]DET!C37</f>
        <v>-3.5</v>
      </c>
      <c r="I10" s="7">
        <f t="shared" si="3"/>
        <v>23</v>
      </c>
      <c r="J10" s="8">
        <f>[1]DET!C38</f>
        <v>97.86</v>
      </c>
      <c r="K10" s="7">
        <f t="shared" si="4"/>
        <v>28</v>
      </c>
      <c r="L10" s="7">
        <f>[1]DET!C26</f>
        <v>4</v>
      </c>
      <c r="M10" s="7">
        <f>[1]DET!C27</f>
        <v>5</v>
      </c>
      <c r="N10" s="8">
        <f ca="1">[1]DET!H23</f>
        <v>25.744444444444447</v>
      </c>
      <c r="O10" s="8">
        <f ca="1">[1]DET!H24</f>
        <v>24.3</v>
      </c>
      <c r="P10" s="8">
        <f>[1]DET!J23</f>
        <v>5.7777777777777777</v>
      </c>
      <c r="Q10" s="7">
        <f>[1]DET!J24</f>
        <v>4</v>
      </c>
      <c r="R10" s="9">
        <f>[1]DET!P27</f>
        <v>77457218</v>
      </c>
      <c r="S10" s="9">
        <f>B34-R10-1620564-(1*898310)</f>
        <v>29163908</v>
      </c>
      <c r="T10" s="10">
        <f>B35-R10</f>
        <v>55169782</v>
      </c>
      <c r="U10" s="3" t="s">
        <v>28</v>
      </c>
      <c r="V10" s="3">
        <f>[1]DET!C61</f>
        <v>326</v>
      </c>
      <c r="W10" s="3">
        <f>[1]DET!D61</f>
        <v>462</v>
      </c>
      <c r="X10" s="11">
        <f>[1]DET!E61</f>
        <v>0.4137055837563452</v>
      </c>
      <c r="Y10" s="7">
        <f t="shared" si="5"/>
        <v>23</v>
      </c>
      <c r="Z10" s="11">
        <f>2/10</f>
        <v>0.2</v>
      </c>
      <c r="AA10" s="11">
        <f>0/8</f>
        <v>0</v>
      </c>
      <c r="AB10" s="11">
        <f>0/2</f>
        <v>0</v>
      </c>
    </row>
    <row r="11" spans="1:28" x14ac:dyDescent="0.2">
      <c r="A11" s="3" t="s">
        <v>42</v>
      </c>
      <c r="B11" s="4">
        <f>[1]GSW!C30</f>
        <v>0.23076923076923078</v>
      </c>
      <c r="C11" s="5">
        <f t="shared" si="0"/>
        <v>30</v>
      </c>
      <c r="D11" s="6">
        <f>[1]GSW!C31</f>
        <v>104.4</v>
      </c>
      <c r="E11" s="7">
        <f t="shared" si="1"/>
        <v>30</v>
      </c>
      <c r="F11" s="6">
        <f xml:space="preserve"> [1]GSW!C32</f>
        <v>113</v>
      </c>
      <c r="G11" s="7">
        <f t="shared" si="2"/>
        <v>26</v>
      </c>
      <c r="H11" s="6">
        <f>[1]GSW!C33</f>
        <v>-8.5999999999999943</v>
      </c>
      <c r="I11" s="7">
        <f t="shared" si="3"/>
        <v>30</v>
      </c>
      <c r="J11" s="8">
        <f>[1]GSW!C34</f>
        <v>101.04</v>
      </c>
      <c r="K11" s="7">
        <f t="shared" si="4"/>
        <v>15</v>
      </c>
      <c r="L11" s="7">
        <f>[1]GSW!C22</f>
        <v>8</v>
      </c>
      <c r="M11" s="7">
        <f>[1]GSW!C23</f>
        <v>5</v>
      </c>
      <c r="N11" s="8">
        <f ca="1">[1]GSW!H19</f>
        <v>26.000000000000004</v>
      </c>
      <c r="O11" s="8">
        <f ca="1">[1]GSW!H20</f>
        <v>25.6</v>
      </c>
      <c r="P11" s="8">
        <f>[1]GSW!J19</f>
        <v>5</v>
      </c>
      <c r="Q11" s="7">
        <f>[1]GSW!J20</f>
        <v>4</v>
      </c>
      <c r="R11" s="9">
        <f>[1]GSW!P22</f>
        <v>157615108</v>
      </c>
      <c r="S11" s="10">
        <v>0</v>
      </c>
      <c r="T11" s="13">
        <f>B35-R11</f>
        <v>-24988108</v>
      </c>
      <c r="U11" s="3" t="s">
        <v>43</v>
      </c>
      <c r="V11" s="3">
        <f>[1]GSW!C61</f>
        <v>494</v>
      </c>
      <c r="W11" s="3">
        <f>[1]GSW!D61</f>
        <v>293</v>
      </c>
      <c r="X11" s="11">
        <f>[1]GSW!E61</f>
        <v>0.62770012706480305</v>
      </c>
      <c r="Y11" s="7">
        <f t="shared" si="5"/>
        <v>3</v>
      </c>
      <c r="Z11" s="11">
        <f>7/10</f>
        <v>0.7</v>
      </c>
      <c r="AA11" s="11">
        <f>86/(86+34)</f>
        <v>0.71666666666666667</v>
      </c>
      <c r="AB11" s="11">
        <f>19/23</f>
        <v>0.82608695652173914</v>
      </c>
    </row>
    <row r="12" spans="1:28" x14ac:dyDescent="0.2">
      <c r="A12" s="3" t="s">
        <v>44</v>
      </c>
      <c r="B12" s="4">
        <f>[1]HOU!C34</f>
        <v>0.61111111111111116</v>
      </c>
      <c r="C12" s="5">
        <f t="shared" si="0"/>
        <v>8</v>
      </c>
      <c r="D12" s="6">
        <f>[1]HOU!C35</f>
        <v>112.5</v>
      </c>
      <c r="E12" s="7">
        <f t="shared" si="1"/>
        <v>6</v>
      </c>
      <c r="F12" s="6">
        <f>[1]HOU!C36</f>
        <v>109.8</v>
      </c>
      <c r="G12" s="7">
        <f t="shared" si="2"/>
        <v>15</v>
      </c>
      <c r="H12" s="6">
        <f>[1]HOU!C37</f>
        <v>2.7000000000000028</v>
      </c>
      <c r="I12" s="7">
        <f t="shared" si="3"/>
        <v>7</v>
      </c>
      <c r="J12" s="8">
        <f>[1]HOU!C38</f>
        <v>104.04</v>
      </c>
      <c r="K12" s="7">
        <f t="shared" si="4"/>
        <v>2</v>
      </c>
      <c r="L12" s="7">
        <f>[1]HOU!C26</f>
        <v>6</v>
      </c>
      <c r="M12" s="7">
        <f>[1]HOU!C27</f>
        <v>4</v>
      </c>
      <c r="N12" s="8">
        <f ca="1">[1]HOU!H23</f>
        <v>29.409999999999997</v>
      </c>
      <c r="O12" s="8">
        <f ca="1">[1]HOU!H24</f>
        <v>29</v>
      </c>
      <c r="P12" s="8">
        <f>[1]HOU!J23</f>
        <v>8.5</v>
      </c>
      <c r="Q12" s="7">
        <f>[1]HOU!J24</f>
        <v>8.5</v>
      </c>
      <c r="R12" s="9">
        <f>[1]HOU!P27</f>
        <v>131490697</v>
      </c>
      <c r="S12" s="10">
        <v>0</v>
      </c>
      <c r="T12" s="9">
        <f>B35-R12</f>
        <v>1136303</v>
      </c>
      <c r="U12" s="3" t="s">
        <v>45</v>
      </c>
      <c r="V12" s="3">
        <f>[1]HOU!C63</f>
        <v>490</v>
      </c>
      <c r="W12" s="3">
        <f>[1]HOU!D63</f>
        <v>304</v>
      </c>
      <c r="X12" s="11">
        <f>[1]HOU!E63</f>
        <v>0.61712846347607053</v>
      </c>
      <c r="Y12" s="7">
        <f t="shared" si="5"/>
        <v>4</v>
      </c>
      <c r="Z12" s="11">
        <f>8/10</f>
        <v>0.8</v>
      </c>
      <c r="AA12" s="11">
        <f>37/(37+36)</f>
        <v>0.50684931506849318</v>
      </c>
      <c r="AB12" s="11">
        <f>6/13</f>
        <v>0.46153846153846156</v>
      </c>
    </row>
    <row r="13" spans="1:28" x14ac:dyDescent="0.2">
      <c r="A13" s="3" t="s">
        <v>46</v>
      </c>
      <c r="B13" s="4">
        <f>[1]IND!C34</f>
        <v>0.61643835616438358</v>
      </c>
      <c r="C13" s="5">
        <f t="shared" si="0"/>
        <v>7</v>
      </c>
      <c r="D13" s="6">
        <f>[1]IND!C35</f>
        <v>109.5</v>
      </c>
      <c r="E13" s="7">
        <f t="shared" si="1"/>
        <v>18</v>
      </c>
      <c r="F13" s="6">
        <f>[1]IND!C36</f>
        <v>107.5</v>
      </c>
      <c r="G13" s="7">
        <f t="shared" si="2"/>
        <v>6</v>
      </c>
      <c r="H13" s="6">
        <f>[1]IND!C37</f>
        <v>1.9</v>
      </c>
      <c r="I13" s="7">
        <f t="shared" si="3"/>
        <v>13</v>
      </c>
      <c r="J13" s="8">
        <f>[1]IND!C38</f>
        <v>99.41</v>
      </c>
      <c r="K13" s="7">
        <f t="shared" si="4"/>
        <v>22</v>
      </c>
      <c r="L13" s="7">
        <f>[1]IND!C26</f>
        <v>11</v>
      </c>
      <c r="M13" s="7">
        <f>[1]IND!C27</f>
        <v>1</v>
      </c>
      <c r="N13" s="8">
        <f ca="1">[1]IND!H23</f>
        <v>25.941666666666666</v>
      </c>
      <c r="O13" s="8">
        <f ca="1">[1]IND!H24</f>
        <v>25.950000000000003</v>
      </c>
      <c r="P13" s="8">
        <f>[1]IND!J23</f>
        <v>5.5</v>
      </c>
      <c r="Q13" s="7">
        <f>[1]IND!J24</f>
        <v>5.5</v>
      </c>
      <c r="R13" s="9">
        <f>[1]IND!P26</f>
        <v>126618718</v>
      </c>
      <c r="S13" s="10">
        <v>0</v>
      </c>
      <c r="T13" s="9">
        <f>B35-R13</f>
        <v>6008282</v>
      </c>
      <c r="U13" s="3" t="s">
        <v>34</v>
      </c>
      <c r="V13" s="3">
        <f>[1]IND!C63</f>
        <v>450</v>
      </c>
      <c r="W13" s="3">
        <f>[1]IND!D63</f>
        <v>344</v>
      </c>
      <c r="X13" s="11">
        <f>[1]IND!E63</f>
        <v>0.56675062972292189</v>
      </c>
      <c r="Y13" s="7">
        <f t="shared" si="5"/>
        <v>9</v>
      </c>
      <c r="Z13" s="11">
        <f>9/10</f>
        <v>0.9</v>
      </c>
      <c r="AA13" s="14">
        <f>34/(34+46)</f>
        <v>0.42499999999999999</v>
      </c>
      <c r="AB13" s="14">
        <f>5/14</f>
        <v>0.35714285714285715</v>
      </c>
    </row>
    <row r="14" spans="1:28" x14ac:dyDescent="0.2">
      <c r="A14" s="3" t="s">
        <v>47</v>
      </c>
      <c r="B14" s="4">
        <f>[1]LAC!C34</f>
        <v>0.68055555555555558</v>
      </c>
      <c r="C14" s="5">
        <f t="shared" si="0"/>
        <v>4</v>
      </c>
      <c r="D14" s="6">
        <f>[1]LAC!C35</f>
        <v>113.3</v>
      </c>
      <c r="E14" s="7">
        <f t="shared" si="1"/>
        <v>2</v>
      </c>
      <c r="F14" s="6">
        <f>[1]LAC!C36</f>
        <v>106.9</v>
      </c>
      <c r="G14" s="7">
        <f t="shared" si="2"/>
        <v>5</v>
      </c>
      <c r="H14" s="6">
        <f>[1]LAC!C37</f>
        <v>6.3</v>
      </c>
      <c r="I14" s="7">
        <f t="shared" si="3"/>
        <v>2</v>
      </c>
      <c r="J14" s="8">
        <f>[1]LAC!C38</f>
        <v>102.16</v>
      </c>
      <c r="K14" s="7">
        <f t="shared" si="4"/>
        <v>8</v>
      </c>
      <c r="L14" s="7">
        <f>[1]LAC!C26</f>
        <v>9</v>
      </c>
      <c r="M14" s="7">
        <f>[1]LAC!C27</f>
        <v>3</v>
      </c>
      <c r="N14" s="8">
        <f ca="1">[1]LAC!H23</f>
        <v>28.65454545454546</v>
      </c>
      <c r="O14" s="8">
        <f ca="1">[1]LAC!H24</f>
        <v>29.3</v>
      </c>
      <c r="P14" s="8">
        <f>[1]LAC!J23</f>
        <v>7.6363636363636367</v>
      </c>
      <c r="Q14" s="7">
        <f>[1]LAC!J24</f>
        <v>7</v>
      </c>
      <c r="R14" s="10">
        <f>[1]LAC!P26</f>
        <v>114044353</v>
      </c>
      <c r="S14" s="10">
        <v>0</v>
      </c>
      <c r="T14" s="10">
        <f>B35-R14</f>
        <v>18582647</v>
      </c>
      <c r="U14" s="3" t="s">
        <v>48</v>
      </c>
      <c r="V14" s="3">
        <f>[1]LAC!C64</f>
        <v>484</v>
      </c>
      <c r="W14" s="3">
        <f>[1]LAC!D64</f>
        <v>310</v>
      </c>
      <c r="X14" s="11">
        <f>[1]LAC!E64</f>
        <v>0.60957178841309823</v>
      </c>
      <c r="Y14" s="7">
        <f t="shared" si="5"/>
        <v>5</v>
      </c>
      <c r="Z14" s="11">
        <f>8/10</f>
        <v>0.8</v>
      </c>
      <c r="AA14" s="14">
        <f>30/(30+39)</f>
        <v>0.43478260869565216</v>
      </c>
      <c r="AB14" s="14">
        <f>4/11</f>
        <v>0.36363636363636365</v>
      </c>
    </row>
    <row r="15" spans="1:28" x14ac:dyDescent="0.2">
      <c r="A15" s="3" t="s">
        <v>49</v>
      </c>
      <c r="B15" s="4">
        <f>[1]LAL!C35</f>
        <v>0.73239436619718312</v>
      </c>
      <c r="C15" s="5">
        <f t="shared" si="0"/>
        <v>3</v>
      </c>
      <c r="D15" s="6">
        <f>[1]LAL!C36</f>
        <v>111.7</v>
      </c>
      <c r="E15" s="7">
        <f t="shared" si="1"/>
        <v>10</v>
      </c>
      <c r="F15" s="6">
        <f>[1]LAL!C37</f>
        <v>106.1</v>
      </c>
      <c r="G15" s="7">
        <f t="shared" si="2"/>
        <v>3</v>
      </c>
      <c r="H15" s="6">
        <f>[1]LAL!C38</f>
        <v>5.6000000000000085</v>
      </c>
      <c r="I15" s="7">
        <f t="shared" si="3"/>
        <v>5</v>
      </c>
      <c r="J15" s="8">
        <f>[1]LAL!C39</f>
        <v>101.2</v>
      </c>
      <c r="K15" s="7">
        <f t="shared" si="4"/>
        <v>11</v>
      </c>
      <c r="L15" s="7">
        <f>[1]LAL!C27</f>
        <v>5</v>
      </c>
      <c r="M15" s="7">
        <f>[1]LAL!C28</f>
        <v>7</v>
      </c>
      <c r="N15" s="8">
        <f ca="1">[1]LAL!H24</f>
        <v>29.154545454545453</v>
      </c>
      <c r="O15" s="8">
        <f ca="1">[1]LAL!H25</f>
        <v>27.6</v>
      </c>
      <c r="P15" s="8">
        <f>[1]LAL!J24</f>
        <v>9.1818181818181817</v>
      </c>
      <c r="Q15" s="7">
        <f>[1]LAL!J25</f>
        <v>9</v>
      </c>
      <c r="R15" s="10">
        <f>[1]LAL!P29</f>
        <v>92772425</v>
      </c>
      <c r="S15" s="10">
        <v>0</v>
      </c>
      <c r="T15" s="10">
        <f>B35-R15</f>
        <v>39854575</v>
      </c>
      <c r="U15" s="3" t="s">
        <v>34</v>
      </c>
      <c r="V15" s="3">
        <f>[1]LAL!C62</f>
        <v>358</v>
      </c>
      <c r="W15" s="3">
        <f>[1]LAL!D62</f>
        <v>435</v>
      </c>
      <c r="X15" s="11">
        <f>[1]LAL!E62</f>
        <v>0.45145018915510721</v>
      </c>
      <c r="Y15" s="7">
        <f t="shared" si="5"/>
        <v>18</v>
      </c>
      <c r="Z15" s="11">
        <f>4/10</f>
        <v>0.4</v>
      </c>
      <c r="AA15" s="14">
        <f>13/31</f>
        <v>0.41935483870967744</v>
      </c>
      <c r="AB15" s="14">
        <f>3/6</f>
        <v>0.5</v>
      </c>
    </row>
    <row r="16" spans="1:28" x14ac:dyDescent="0.2">
      <c r="A16" s="3" t="s">
        <v>50</v>
      </c>
      <c r="B16" s="19">
        <f>[1]MEM!C34</f>
        <v>0.46575342465753422</v>
      </c>
      <c r="C16" s="5">
        <f t="shared" si="0"/>
        <v>16</v>
      </c>
      <c r="D16" s="6">
        <f>[1]MEM!C35</f>
        <v>108.7</v>
      </c>
      <c r="E16" s="7">
        <f t="shared" si="1"/>
        <v>21</v>
      </c>
      <c r="F16" s="6">
        <f>[1]MEM!C36</f>
        <v>109.7</v>
      </c>
      <c r="G16" s="7">
        <f t="shared" si="2"/>
        <v>14</v>
      </c>
      <c r="H16" s="6">
        <f>[1]MEM!C37</f>
        <v>-1</v>
      </c>
      <c r="I16" s="7">
        <f t="shared" si="3"/>
        <v>17</v>
      </c>
      <c r="J16" s="8">
        <f>[1]MEM!C38</f>
        <v>103.31</v>
      </c>
      <c r="K16" s="7">
        <f t="shared" si="4"/>
        <v>6</v>
      </c>
      <c r="L16" s="7">
        <f>[1]MEM!C26</f>
        <v>11</v>
      </c>
      <c r="M16" s="7">
        <f>[1]MEM!C27</f>
        <v>1</v>
      </c>
      <c r="N16" s="8">
        <f ca="1">[1]MEM!H23</f>
        <v>24.791666666666668</v>
      </c>
      <c r="O16" s="8">
        <f ca="1">[1]MEM!H24</f>
        <v>24.6</v>
      </c>
      <c r="P16" s="8">
        <f>[1]MEM!J23</f>
        <v>4.5</v>
      </c>
      <c r="Q16" s="7">
        <f>[1]MEM!J24</f>
        <v>3.5</v>
      </c>
      <c r="R16" s="20">
        <f>[1]MEM!P25</f>
        <v>112441697</v>
      </c>
      <c r="S16" s="10">
        <v>0</v>
      </c>
      <c r="T16" s="10">
        <f>B35-R16</f>
        <v>20185303</v>
      </c>
      <c r="U16" s="3" t="s">
        <v>51</v>
      </c>
      <c r="V16" s="3">
        <f>[1]MEM!C64</f>
        <v>422</v>
      </c>
      <c r="W16" s="3">
        <f>[1]MEM!D64</f>
        <v>373</v>
      </c>
      <c r="X16" s="11">
        <f>[1]MEM!E64</f>
        <v>0.53081761006289307</v>
      </c>
      <c r="Y16" s="7">
        <f t="shared" si="5"/>
        <v>12</v>
      </c>
      <c r="Z16" s="11">
        <f>7/9</f>
        <v>0.77777777777777779</v>
      </c>
      <c r="AA16" s="11">
        <f>29/(29+34)</f>
        <v>0.46031746031746029</v>
      </c>
      <c r="AB16" s="11">
        <f>4/11</f>
        <v>0.36363636363636365</v>
      </c>
    </row>
    <row r="17" spans="1:28" x14ac:dyDescent="0.2">
      <c r="A17" s="3" t="s">
        <v>52</v>
      </c>
      <c r="B17" s="4">
        <f>[1]MIA!C34</f>
        <v>0.60273972602739723</v>
      </c>
      <c r="C17" s="5">
        <f t="shared" si="0"/>
        <v>11</v>
      </c>
      <c r="D17" s="6">
        <f>[1]MIA!C35</f>
        <v>111.9</v>
      </c>
      <c r="E17" s="7">
        <f t="shared" si="1"/>
        <v>7</v>
      </c>
      <c r="F17" s="6">
        <f>[1]MIA!C36</f>
        <v>109.3</v>
      </c>
      <c r="G17" s="7">
        <f t="shared" si="2"/>
        <v>12</v>
      </c>
      <c r="H17" s="6">
        <f>[1]MIA!C37</f>
        <v>2.6000000000000085</v>
      </c>
      <c r="I17" s="7">
        <f t="shared" si="3"/>
        <v>8</v>
      </c>
      <c r="J17" s="8">
        <f>[1]MIA!C38</f>
        <v>98.7</v>
      </c>
      <c r="K17" s="7">
        <f t="shared" si="4"/>
        <v>27</v>
      </c>
      <c r="L17" s="7">
        <f>[1]MIA!C26</f>
        <v>6</v>
      </c>
      <c r="M17" s="7">
        <f>[1]MIA!C27</f>
        <v>3</v>
      </c>
      <c r="N17" s="8">
        <f ca="1">[1]MIA!H23</f>
        <v>26.477777777777778</v>
      </c>
      <c r="O17" s="8">
        <f ca="1">[1]MIA!H24</f>
        <v>25.2</v>
      </c>
      <c r="P17" s="8">
        <f>[1]MIA!J23</f>
        <v>4.5555555555555554</v>
      </c>
      <c r="Q17" s="7">
        <f>[1]MIA!J24</f>
        <v>2</v>
      </c>
      <c r="R17" s="9">
        <f>[1]MIA!P27</f>
        <v>86025589</v>
      </c>
      <c r="S17" s="9">
        <f>B34-R17-(2*898310)</f>
        <v>21317791</v>
      </c>
      <c r="T17" s="9">
        <f>B35-R17</f>
        <v>46601411</v>
      </c>
      <c r="U17" s="3" t="s">
        <v>53</v>
      </c>
      <c r="V17" s="3">
        <f>[1]MIA!C64</f>
        <v>477</v>
      </c>
      <c r="W17" s="3">
        <f>[1]MIA!D64</f>
        <v>318</v>
      </c>
      <c r="X17" s="11">
        <f>[1]MIA!E64</f>
        <v>0.6</v>
      </c>
      <c r="Y17" s="7">
        <f t="shared" si="5"/>
        <v>6</v>
      </c>
      <c r="Z17" s="11">
        <f>7/10</f>
        <v>0.7</v>
      </c>
      <c r="AA17" s="14">
        <f>71/(71+39)</f>
        <v>0.6454545454545455</v>
      </c>
      <c r="AB17" s="14">
        <f>16/20</f>
        <v>0.8</v>
      </c>
    </row>
    <row r="18" spans="1:28" x14ac:dyDescent="0.2">
      <c r="A18" s="3" t="s">
        <v>54</v>
      </c>
      <c r="B18" s="4">
        <f>[1]MIL!C34</f>
        <v>0.76712328767123283</v>
      </c>
      <c r="C18" s="5">
        <f t="shared" si="0"/>
        <v>1</v>
      </c>
      <c r="D18" s="6">
        <f>[1]MIL!C35</f>
        <v>111.9</v>
      </c>
      <c r="E18" s="7">
        <f t="shared" si="1"/>
        <v>7</v>
      </c>
      <c r="F18" s="6">
        <f>[1]MIL!C36</f>
        <v>102.5</v>
      </c>
      <c r="G18" s="7">
        <f t="shared" si="2"/>
        <v>1</v>
      </c>
      <c r="H18" s="6">
        <f>[1]MIL!C37</f>
        <v>9.4000000000000057</v>
      </c>
      <c r="I18" s="7">
        <f t="shared" si="3"/>
        <v>1</v>
      </c>
      <c r="J18" s="8">
        <f>[1]MIL!C38</f>
        <v>105.51</v>
      </c>
      <c r="K18" s="7">
        <f t="shared" si="4"/>
        <v>1</v>
      </c>
      <c r="L18" s="7">
        <f>[1]MIL!C26</f>
        <v>8</v>
      </c>
      <c r="M18" s="7">
        <f>[1]MIL!C27</f>
        <v>3</v>
      </c>
      <c r="N18" s="8">
        <f ca="1">[1]MIL!H23</f>
        <v>29.918181818181814</v>
      </c>
      <c r="O18" s="8">
        <f ca="1">[1]MIL!H24</f>
        <v>30.8</v>
      </c>
      <c r="P18" s="8">
        <f>[1]MIL!J23</f>
        <v>9.2727272727272734</v>
      </c>
      <c r="Q18" s="7">
        <f>[1]MIL!J24</f>
        <v>11</v>
      </c>
      <c r="R18" s="9">
        <f>[1]MIL!P26</f>
        <v>123963837</v>
      </c>
      <c r="S18" s="10">
        <v>0</v>
      </c>
      <c r="T18" s="9">
        <f>B35-R18</f>
        <v>8663163</v>
      </c>
      <c r="U18" s="3" t="s">
        <v>55</v>
      </c>
      <c r="V18" s="3">
        <f>[1]MIL!C59</f>
        <v>395</v>
      </c>
      <c r="W18" s="3">
        <f>[1]MIL!D59</f>
        <v>400</v>
      </c>
      <c r="X18" s="11">
        <f>[1]MIL!E59</f>
        <v>0.49685534591194969</v>
      </c>
      <c r="Y18" s="7">
        <f t="shared" si="5"/>
        <v>16</v>
      </c>
      <c r="Z18" s="11">
        <f>6/10</f>
        <v>0.6</v>
      </c>
      <c r="AA18" s="14">
        <f>21/(21+22)</f>
        <v>0.48837209302325579</v>
      </c>
      <c r="AB18" s="14">
        <f>3/(5+3)</f>
        <v>0.375</v>
      </c>
    </row>
    <row r="19" spans="1:28" x14ac:dyDescent="0.2">
      <c r="A19" s="3" t="s">
        <v>56</v>
      </c>
      <c r="B19" s="4">
        <f>[1]MIN!C35</f>
        <v>0.296875</v>
      </c>
      <c r="C19" s="5">
        <f t="shared" si="0"/>
        <v>28</v>
      </c>
      <c r="D19" s="6">
        <f>[1]MIN!C36</f>
        <v>107.6</v>
      </c>
      <c r="E19" s="7">
        <f t="shared" si="1"/>
        <v>24</v>
      </c>
      <c r="F19" s="6">
        <f>[1]MIN!C37</f>
        <v>111.6</v>
      </c>
      <c r="G19" s="7">
        <f t="shared" si="2"/>
        <v>20</v>
      </c>
      <c r="H19" s="6">
        <f>[1]MIN!C38</f>
        <v>-4</v>
      </c>
      <c r="I19" s="7">
        <f t="shared" si="3"/>
        <v>24</v>
      </c>
      <c r="J19" s="8">
        <f>[1]MIN!C39</f>
        <v>103.94</v>
      </c>
      <c r="K19" s="7">
        <f t="shared" si="4"/>
        <v>3</v>
      </c>
      <c r="L19" s="7">
        <f>[1]MIN!C27</f>
        <v>7</v>
      </c>
      <c r="M19" s="7">
        <f>[1]MIN!C28</f>
        <v>4</v>
      </c>
      <c r="N19" s="8">
        <f ca="1">[1]MIN!H24</f>
        <v>24</v>
      </c>
      <c r="O19" s="8">
        <f ca="1">[1]MIN!H25</f>
        <v>23.2</v>
      </c>
      <c r="P19" s="8">
        <f>[1]MIN!J24</f>
        <v>4.2727272727272725</v>
      </c>
      <c r="Q19" s="7">
        <f>[1]MIN!J25</f>
        <v>3</v>
      </c>
      <c r="R19" s="9">
        <f>[1]MIN!P28</f>
        <v>108793598</v>
      </c>
      <c r="S19" s="10">
        <v>0</v>
      </c>
      <c r="T19" s="10">
        <f>B35-R19</f>
        <v>23833402</v>
      </c>
      <c r="U19" s="3" t="s">
        <v>57</v>
      </c>
      <c r="V19" s="3">
        <f>[1]MIN!C59</f>
        <v>292</v>
      </c>
      <c r="W19" s="3">
        <f>[1]MIN!D59</f>
        <v>494</v>
      </c>
      <c r="X19" s="11">
        <f>[1]MIN!E59</f>
        <v>0.37150127226463103</v>
      </c>
      <c r="Y19" s="7">
        <f t="shared" si="5"/>
        <v>29</v>
      </c>
      <c r="Z19" s="11">
        <f>1/10</f>
        <v>0.1</v>
      </c>
      <c r="AA19" s="11">
        <f>1/5</f>
        <v>0.2</v>
      </c>
      <c r="AB19" s="11">
        <f>0/1</f>
        <v>0</v>
      </c>
    </row>
    <row r="20" spans="1:28" x14ac:dyDescent="0.2">
      <c r="A20" s="3" t="s">
        <v>58</v>
      </c>
      <c r="B20" s="4">
        <f>[1]NOP!C38</f>
        <v>0.41666666666666669</v>
      </c>
      <c r="C20" s="5">
        <f t="shared" si="0"/>
        <v>21</v>
      </c>
      <c r="D20" s="6">
        <f>[1]NOP!C39</f>
        <v>110.5</v>
      </c>
      <c r="E20" s="7">
        <f t="shared" si="1"/>
        <v>15</v>
      </c>
      <c r="F20" s="21">
        <f>[1]NOP!C40</f>
        <v>111.8</v>
      </c>
      <c r="G20" s="7">
        <f t="shared" si="2"/>
        <v>21</v>
      </c>
      <c r="H20" s="21">
        <f>[1]NOP!C41</f>
        <v>-1.2999999999999972</v>
      </c>
      <c r="I20" s="7">
        <f t="shared" si="3"/>
        <v>19</v>
      </c>
      <c r="J20" s="8">
        <f>[1]NOP!C42</f>
        <v>103.89</v>
      </c>
      <c r="K20" s="7">
        <f t="shared" si="4"/>
        <v>4</v>
      </c>
      <c r="L20" s="7">
        <f>[1]NOP!C30</f>
        <v>8</v>
      </c>
      <c r="M20" s="22">
        <f>[1]NOP!C31</f>
        <v>1</v>
      </c>
      <c r="N20" s="23">
        <f ca="1">[1]NOP!H27</f>
        <v>26.455555555555556</v>
      </c>
      <c r="O20" s="23">
        <f ca="1">[1]NOP!H28</f>
        <v>25.6</v>
      </c>
      <c r="P20" s="23">
        <f>[1]NOP!J27</f>
        <v>5.5555555555555554</v>
      </c>
      <c r="Q20" s="24">
        <f>[1]NOP!J28</f>
        <v>4</v>
      </c>
      <c r="R20" s="9">
        <f>[1]NOP!P29</f>
        <v>79741188</v>
      </c>
      <c r="S20" s="10">
        <v>0</v>
      </c>
      <c r="T20" s="10">
        <f>B35-R20</f>
        <v>52885812</v>
      </c>
      <c r="U20" s="3" t="s">
        <v>59</v>
      </c>
      <c r="V20" s="3">
        <f>[1]NOP!C68</f>
        <v>348</v>
      </c>
      <c r="W20" s="3">
        <f>[1]NOP!D68</f>
        <v>446</v>
      </c>
      <c r="X20" s="11">
        <f>[1]NOP!E68</f>
        <v>0.43828715365239296</v>
      </c>
      <c r="Y20" s="7">
        <f t="shared" si="5"/>
        <v>21</v>
      </c>
      <c r="Z20" s="11">
        <f>3/9</f>
        <v>0.33333333333333331</v>
      </c>
      <c r="AA20" s="11">
        <f>7/(7+12)</f>
        <v>0.36842105263157893</v>
      </c>
      <c r="AB20" s="11">
        <f>1/4</f>
        <v>0.25</v>
      </c>
    </row>
    <row r="21" spans="1:28" x14ac:dyDescent="0.2">
      <c r="A21" s="3" t="s">
        <v>60</v>
      </c>
      <c r="B21" s="4">
        <f>[1]NYK!C36</f>
        <v>0.31818181818181818</v>
      </c>
      <c r="C21" s="5">
        <f t="shared" si="0"/>
        <v>25</v>
      </c>
      <c r="D21" s="6">
        <f>[1]NYK!C37</f>
        <v>105.9</v>
      </c>
      <c r="E21" s="7">
        <f t="shared" si="1"/>
        <v>27</v>
      </c>
      <c r="F21" s="6">
        <f>[1]NYK!C38</f>
        <v>112.4</v>
      </c>
      <c r="G21" s="7">
        <f t="shared" si="2"/>
        <v>23</v>
      </c>
      <c r="H21" s="6">
        <f>[1]NYK!C39</f>
        <v>-6.5</v>
      </c>
      <c r="I21" s="7">
        <f t="shared" si="3"/>
        <v>26</v>
      </c>
      <c r="J21" s="8">
        <f>[1]NYK!C40</f>
        <v>99.11</v>
      </c>
      <c r="K21" s="7">
        <f t="shared" si="4"/>
        <v>25</v>
      </c>
      <c r="L21" s="7">
        <f>[1]NYK!C28</f>
        <v>6</v>
      </c>
      <c r="M21" s="7">
        <f>[1]NYK!C29</f>
        <v>8</v>
      </c>
      <c r="N21" s="8">
        <f ca="1">[1]NYK!H25</f>
        <v>25.515384615384612</v>
      </c>
      <c r="O21" s="8">
        <f ca="1">[1]NYK!H26</f>
        <v>24.9</v>
      </c>
      <c r="P21" s="8">
        <f>[1]NYK!J25</f>
        <v>5.615384615384615</v>
      </c>
      <c r="Q21" s="7">
        <f>[1]NYK!J26</f>
        <v>4</v>
      </c>
      <c r="R21" s="9">
        <f>[1]NYK!P29</f>
        <v>68937837</v>
      </c>
      <c r="S21" s="10">
        <f>B34-R21-(1*898310)</f>
        <v>39303853</v>
      </c>
      <c r="T21" s="10">
        <f>B35-R21</f>
        <v>63689163</v>
      </c>
      <c r="U21" s="3" t="s">
        <v>28</v>
      </c>
      <c r="V21" s="3">
        <f>[1]NYK!C63</f>
        <v>316</v>
      </c>
      <c r="W21" s="3">
        <f>[1]NYK!D63</f>
        <v>472</v>
      </c>
      <c r="X21" s="11">
        <f>[1]NYK!E63</f>
        <v>0.40101522842639592</v>
      </c>
      <c r="Y21" s="7">
        <f t="shared" si="5"/>
        <v>27</v>
      </c>
      <c r="Z21" s="11">
        <f>3/10</f>
        <v>0.3</v>
      </c>
      <c r="AA21" s="11">
        <f>7/(7+14)</f>
        <v>0.33333333333333331</v>
      </c>
      <c r="AB21" s="11">
        <f>1/4</f>
        <v>0.25</v>
      </c>
    </row>
    <row r="22" spans="1:28" x14ac:dyDescent="0.2">
      <c r="A22" s="3" t="s">
        <v>61</v>
      </c>
      <c r="B22" s="4">
        <f>[1]OKC!C35</f>
        <v>0.61111111111111116</v>
      </c>
      <c r="C22" s="5">
        <f t="shared" si="0"/>
        <v>8</v>
      </c>
      <c r="D22" s="6">
        <f>[1]OKC!C36</f>
        <v>110.1</v>
      </c>
      <c r="E22" s="7">
        <f t="shared" si="1"/>
        <v>17</v>
      </c>
      <c r="F22" s="6">
        <f>[1]OKC!C37</f>
        <v>108.1</v>
      </c>
      <c r="G22" s="7">
        <f t="shared" si="2"/>
        <v>7</v>
      </c>
      <c r="H22" s="6">
        <f>[1]OKC!C38</f>
        <v>2</v>
      </c>
      <c r="I22" s="7">
        <f t="shared" si="3"/>
        <v>12</v>
      </c>
      <c r="J22" s="8">
        <f>[1]OKC!C39</f>
        <v>99.42</v>
      </c>
      <c r="K22" s="7">
        <f t="shared" si="4"/>
        <v>21</v>
      </c>
      <c r="L22" s="7">
        <f>[1]OKC!C27</f>
        <v>8</v>
      </c>
      <c r="M22" s="7">
        <f>[1]OKC!C28</f>
        <v>4</v>
      </c>
      <c r="N22" s="8">
        <f ca="1">[1]OKC!H24</f>
        <v>25.333333333333332</v>
      </c>
      <c r="O22" s="8">
        <f ca="1">[1]OKC!H25</f>
        <v>24.7</v>
      </c>
      <c r="P22" s="8">
        <f>[1]OKC!J24</f>
        <v>5.25</v>
      </c>
      <c r="Q22" s="7">
        <f>[1]OKC!J25</f>
        <v>3.5</v>
      </c>
      <c r="R22" s="9">
        <f>[1]OKC!P27</f>
        <v>107448989</v>
      </c>
      <c r="S22" s="10">
        <v>0</v>
      </c>
      <c r="T22" s="10">
        <f>B35-R22</f>
        <v>25178011</v>
      </c>
      <c r="U22" s="3" t="s">
        <v>62</v>
      </c>
      <c r="V22" s="7">
        <f>[1]OKC!C67</f>
        <v>511</v>
      </c>
      <c r="W22" s="7">
        <f>[1]OKC!D67</f>
        <v>283</v>
      </c>
      <c r="X22" s="11">
        <f>[1]OKC!E67</f>
        <v>0.64357682619647361</v>
      </c>
      <c r="Y22" s="7">
        <f t="shared" si="5"/>
        <v>2</v>
      </c>
      <c r="Z22" s="11">
        <f>9/10</f>
        <v>0.9</v>
      </c>
      <c r="AA22" s="11">
        <f>47/(47+43)</f>
        <v>0.52222222222222225</v>
      </c>
      <c r="AB22" s="11">
        <f>10/(8+10)</f>
        <v>0.55555555555555558</v>
      </c>
    </row>
    <row r="23" spans="1:28" x14ac:dyDescent="0.2">
      <c r="A23" s="3" t="s">
        <v>63</v>
      </c>
      <c r="B23" s="4">
        <f>[1]ORL!C36</f>
        <v>0.45205479452054792</v>
      </c>
      <c r="C23" s="5">
        <f t="shared" si="0"/>
        <v>18</v>
      </c>
      <c r="D23" s="6">
        <f>[1]ORL!C37</f>
        <v>107.9</v>
      </c>
      <c r="E23" s="7">
        <f t="shared" si="1"/>
        <v>23</v>
      </c>
      <c r="F23" s="6">
        <f>[1]ORL!C38</f>
        <v>109.2</v>
      </c>
      <c r="G23" s="7">
        <f t="shared" si="2"/>
        <v>10</v>
      </c>
      <c r="H23" s="6">
        <f>[1]ORL!C39</f>
        <v>-1.2999999999999972</v>
      </c>
      <c r="I23" s="7">
        <f t="shared" si="3"/>
        <v>19</v>
      </c>
      <c r="J23" s="8">
        <f>[1]ORL!C40</f>
        <v>98.99</v>
      </c>
      <c r="K23" s="7">
        <f t="shared" si="4"/>
        <v>26</v>
      </c>
      <c r="L23" s="7">
        <f>[1]ORL!C28</f>
        <v>8</v>
      </c>
      <c r="M23" s="7">
        <f>[1]ORL!C29</f>
        <v>3</v>
      </c>
      <c r="N23" s="8">
        <f ca="1">[1]ORL!H25</f>
        <v>26.618181818181821</v>
      </c>
      <c r="O23" s="8">
        <f ca="1">[1]ORL!H26</f>
        <v>27.9</v>
      </c>
      <c r="P23" s="8">
        <f>[1]ORL!J25</f>
        <v>6.4545454545454541</v>
      </c>
      <c r="Q23" s="7">
        <f>[1]ORL!J26</f>
        <v>7</v>
      </c>
      <c r="R23" s="9">
        <f>[1]ORL!P27</f>
        <v>121663790</v>
      </c>
      <c r="S23" s="10">
        <v>0</v>
      </c>
      <c r="T23" s="10">
        <f>B35-R23</f>
        <v>10963210</v>
      </c>
      <c r="U23" s="3" t="s">
        <v>34</v>
      </c>
      <c r="V23" s="3">
        <f>[1]ORL!C59</f>
        <v>321</v>
      </c>
      <c r="W23" s="3">
        <f>[1]ORL!D59</f>
        <v>474</v>
      </c>
      <c r="X23" s="11">
        <f>[1]ORL!E59</f>
        <v>0.4037735849056604</v>
      </c>
      <c r="Y23" s="7">
        <f t="shared" si="5"/>
        <v>26</v>
      </c>
      <c r="Z23" s="11">
        <f>3/9</f>
        <v>0.33333333333333331</v>
      </c>
      <c r="AA23" s="14">
        <f>5/21</f>
        <v>0.23809523809523808</v>
      </c>
      <c r="AB23" s="14">
        <f>0/4</f>
        <v>0</v>
      </c>
    </row>
    <row r="24" spans="1:28" x14ac:dyDescent="0.2">
      <c r="A24" s="3" t="s">
        <v>64</v>
      </c>
      <c r="B24" s="4">
        <f>[1]PHI!C38</f>
        <v>0.58904109589041098</v>
      </c>
      <c r="C24" s="5">
        <f t="shared" si="0"/>
        <v>12</v>
      </c>
      <c r="D24" s="6">
        <f>[1]PHI!C39</f>
        <v>110.7</v>
      </c>
      <c r="E24" s="7">
        <f t="shared" si="1"/>
        <v>14</v>
      </c>
      <c r="F24" s="6">
        <f>[1]PHI!C40</f>
        <v>108.4</v>
      </c>
      <c r="G24" s="7">
        <f t="shared" si="2"/>
        <v>8</v>
      </c>
      <c r="H24" s="6">
        <f>[1]PHI!C41</f>
        <v>2.2999999999999972</v>
      </c>
      <c r="I24" s="7">
        <f t="shared" si="3"/>
        <v>10</v>
      </c>
      <c r="J24" s="8">
        <f>[1]PHI!C42</f>
        <v>99.59</v>
      </c>
      <c r="K24" s="7">
        <f t="shared" si="4"/>
        <v>20</v>
      </c>
      <c r="L24" s="7">
        <f>[1]PHI!C30</f>
        <v>9</v>
      </c>
      <c r="M24" s="7">
        <f>[1]PHI!C31</f>
        <v>3</v>
      </c>
      <c r="N24" s="8">
        <f ca="1">[1]PHI!H27</f>
        <v>26.581818181818186</v>
      </c>
      <c r="O24" s="8">
        <f ca="1">[1]PHI!H28</f>
        <v>26.6</v>
      </c>
      <c r="P24" s="8">
        <f>[1]PHI!J27</f>
        <v>5.9090909090909092</v>
      </c>
      <c r="Q24" s="7">
        <f>[1]PHI!J28</f>
        <v>5</v>
      </c>
      <c r="R24" s="9">
        <f>[1]PHI!P30</f>
        <v>147934252</v>
      </c>
      <c r="S24" s="10">
        <v>0</v>
      </c>
      <c r="T24" s="13">
        <f>B35-R24</f>
        <v>-15307252</v>
      </c>
      <c r="U24" s="3" t="s">
        <v>65</v>
      </c>
      <c r="V24" s="3">
        <f>[1]PHI!C64</f>
        <v>331</v>
      </c>
      <c r="W24" s="3">
        <f>[1]PHI!D64</f>
        <v>464</v>
      </c>
      <c r="X24" s="11">
        <f>[1]PHI!E64</f>
        <v>0.41635220125786165</v>
      </c>
      <c r="Y24" s="7">
        <f t="shared" si="5"/>
        <v>22</v>
      </c>
      <c r="Z24" s="11">
        <f>5/10</f>
        <v>0.5</v>
      </c>
      <c r="AA24" s="14">
        <f>20/(20+24)</f>
        <v>0.45454545454545453</v>
      </c>
      <c r="AB24" s="14">
        <f>3/(3+5)</f>
        <v>0.375</v>
      </c>
    </row>
    <row r="25" spans="1:28" x14ac:dyDescent="0.2">
      <c r="A25" s="3" t="s">
        <v>66</v>
      </c>
      <c r="B25" s="4">
        <f>[1]PHX!C33</f>
        <v>0.46575342465753422</v>
      </c>
      <c r="C25" s="5">
        <f t="shared" si="0"/>
        <v>16</v>
      </c>
      <c r="D25" s="6">
        <f>[1]PHX!C34</f>
        <v>111.3</v>
      </c>
      <c r="E25" s="7">
        <f t="shared" si="1"/>
        <v>12</v>
      </c>
      <c r="F25" s="6">
        <f>[1]PHX!C35</f>
        <v>110.8</v>
      </c>
      <c r="G25" s="7">
        <f t="shared" si="2"/>
        <v>17</v>
      </c>
      <c r="H25" s="6">
        <f>[1]PHX!C36</f>
        <v>0.5</v>
      </c>
      <c r="I25" s="7">
        <f t="shared" si="3"/>
        <v>14</v>
      </c>
      <c r="J25" s="8">
        <f>[1]PHX!C37</f>
        <v>101.74</v>
      </c>
      <c r="K25" s="7">
        <f t="shared" si="4"/>
        <v>9</v>
      </c>
      <c r="L25" s="7">
        <f>[1]PHX!C25</f>
        <v>8</v>
      </c>
      <c r="M25" s="7">
        <f>[1]PHX!C26</f>
        <v>4</v>
      </c>
      <c r="N25" s="8">
        <f ca="1">[1]PHX!H22</f>
        <v>24.491666666666664</v>
      </c>
      <c r="O25" s="8">
        <f ca="1">[1]PHX!H23</f>
        <v>24.1</v>
      </c>
      <c r="P25" s="8">
        <f>[1]PHX!J22</f>
        <v>4.416666666666667</v>
      </c>
      <c r="Q25" s="7">
        <f>[1]PHX!J23</f>
        <v>4</v>
      </c>
      <c r="R25" s="9">
        <f>[1]PHX!P26</f>
        <v>89223494</v>
      </c>
      <c r="S25" s="10">
        <f>B34-R25-(2*898310)</f>
        <v>18119886</v>
      </c>
      <c r="T25" s="10">
        <f>B35-R25</f>
        <v>43403506</v>
      </c>
      <c r="U25" s="3" t="s">
        <v>59</v>
      </c>
      <c r="V25" s="3">
        <f>[1]PHX!C56</f>
        <v>306</v>
      </c>
      <c r="W25" s="3">
        <f>[1]PHX!D56</f>
        <v>489</v>
      </c>
      <c r="X25" s="11">
        <f>[1]PHX!E56</f>
        <v>0.38490566037735852</v>
      </c>
      <c r="Y25" s="7">
        <f t="shared" si="5"/>
        <v>28</v>
      </c>
      <c r="Z25" s="11">
        <f>0/9</f>
        <v>0</v>
      </c>
      <c r="AA25" s="11">
        <f>0</f>
        <v>0</v>
      </c>
      <c r="AB25" s="11">
        <f>0</f>
        <v>0</v>
      </c>
    </row>
    <row r="26" spans="1:28" x14ac:dyDescent="0.2">
      <c r="A26" s="3" t="s">
        <v>67</v>
      </c>
      <c r="B26" s="4">
        <f>[1]POR!C35</f>
        <v>0.47297297297297297</v>
      </c>
      <c r="C26" s="5">
        <f t="shared" si="0"/>
        <v>15</v>
      </c>
      <c r="D26" s="6">
        <f>[1]POR!C36</f>
        <v>113.2</v>
      </c>
      <c r="E26" s="7">
        <f t="shared" si="1"/>
        <v>3</v>
      </c>
      <c r="F26" s="6">
        <f>[1]POR!C37</f>
        <v>114.3</v>
      </c>
      <c r="G26" s="7">
        <f t="shared" si="2"/>
        <v>27</v>
      </c>
      <c r="H26" s="6">
        <f>[1]POR!C38</f>
        <v>-1.0999999999999943</v>
      </c>
      <c r="I26" s="7">
        <f t="shared" si="3"/>
        <v>18</v>
      </c>
      <c r="J26" s="8">
        <f>[1]POR!C39</f>
        <v>101.17</v>
      </c>
      <c r="K26" s="7">
        <f t="shared" si="4"/>
        <v>13</v>
      </c>
      <c r="L26" s="7">
        <f>[1]POR!C27</f>
        <v>7</v>
      </c>
      <c r="M26" s="7">
        <f>[1]POR!C28</f>
        <v>3</v>
      </c>
      <c r="N26" s="8">
        <f ca="1">[1]POR!H24</f>
        <v>26.080000000000002</v>
      </c>
      <c r="O26" s="8">
        <f ca="1">[1]POR!H25</f>
        <v>25.85</v>
      </c>
      <c r="P26" s="8">
        <f>[1]POR!J24</f>
        <v>6.6</v>
      </c>
      <c r="Q26" s="7">
        <f>[1]POR!J25</f>
        <v>6.5</v>
      </c>
      <c r="R26" s="9">
        <f>[1]POR!P27</f>
        <v>103062556</v>
      </c>
      <c r="S26" s="10">
        <v>0</v>
      </c>
      <c r="T26" s="10">
        <f>B35-R26</f>
        <v>29564444</v>
      </c>
      <c r="U26" s="3" t="s">
        <v>68</v>
      </c>
      <c r="V26" s="3">
        <f>[1]POR!C60</f>
        <v>436</v>
      </c>
      <c r="W26" s="3">
        <f>[1]POR!D60</f>
        <v>360</v>
      </c>
      <c r="X26" s="11">
        <f>[1]POR!E60</f>
        <v>0.54773869346733672</v>
      </c>
      <c r="Y26" s="7">
        <f t="shared" si="5"/>
        <v>10</v>
      </c>
      <c r="Z26" s="11">
        <f>7/9</f>
        <v>0.77777777777777779</v>
      </c>
      <c r="AA26" s="14">
        <f>22/(22+40)</f>
        <v>0.35483870967741937</v>
      </c>
      <c r="AB26" s="14">
        <f>4/(8+4)</f>
        <v>0.33333333333333331</v>
      </c>
    </row>
    <row r="27" spans="1:28" x14ac:dyDescent="0.2">
      <c r="A27" s="3" t="s">
        <v>69</v>
      </c>
      <c r="B27" s="4">
        <f>[1]SAC!C37</f>
        <v>0.43055555555555558</v>
      </c>
      <c r="C27" s="5">
        <f t="shared" si="0"/>
        <v>20</v>
      </c>
      <c r="D27" s="6">
        <f>[1]SAC!C38</f>
        <v>109.5</v>
      </c>
      <c r="E27" s="7">
        <f t="shared" si="1"/>
        <v>18</v>
      </c>
      <c r="F27" s="6">
        <f>[1]SAC!C39</f>
        <v>111.4</v>
      </c>
      <c r="G27" s="7">
        <f t="shared" si="2"/>
        <v>19</v>
      </c>
      <c r="H27" s="6">
        <f>[1]SAC!C40</f>
        <v>-1.9000000000000057</v>
      </c>
      <c r="I27" s="7">
        <f t="shared" si="3"/>
        <v>21</v>
      </c>
      <c r="J27" s="8">
        <f>[1]SAC!C41</f>
        <v>99.6</v>
      </c>
      <c r="K27" s="7">
        <f t="shared" si="4"/>
        <v>19</v>
      </c>
      <c r="L27" s="7">
        <f>[1]SAC!C29</f>
        <v>7</v>
      </c>
      <c r="M27" s="7">
        <f>[1]SAC!C30</f>
        <v>3</v>
      </c>
      <c r="N27" s="8">
        <f ca="1">[1]SAC!H26</f>
        <v>26.160000000000004</v>
      </c>
      <c r="O27" s="8">
        <f ca="1">[1]SAC!H27</f>
        <v>26.3</v>
      </c>
      <c r="P27" s="8">
        <f>[1]SAC!J26</f>
        <v>5</v>
      </c>
      <c r="Q27" s="7">
        <f>[1]SAC!J27</f>
        <v>4.5</v>
      </c>
      <c r="R27" s="9">
        <f>[1]SAC!P29</f>
        <v>95166165</v>
      </c>
      <c r="S27" s="10">
        <v>0</v>
      </c>
      <c r="T27" s="10">
        <f>B35-R27</f>
        <v>37460835</v>
      </c>
      <c r="U27" s="3" t="s">
        <v>70</v>
      </c>
      <c r="V27" s="3">
        <f>[1]SAC!C62</f>
        <v>293</v>
      </c>
      <c r="W27" s="3">
        <f>[1]SAC!D62</f>
        <v>501</v>
      </c>
      <c r="X27" s="11">
        <f>[1]SAC!E62</f>
        <v>0.36901763224181361</v>
      </c>
      <c r="Y27" s="7">
        <f t="shared" si="5"/>
        <v>30</v>
      </c>
      <c r="Z27" s="11">
        <f>0/9</f>
        <v>0</v>
      </c>
      <c r="AA27" s="11">
        <v>0</v>
      </c>
      <c r="AB27" s="11">
        <v>0</v>
      </c>
    </row>
    <row r="28" spans="1:28" x14ac:dyDescent="0.2">
      <c r="A28" s="3" t="s">
        <v>71</v>
      </c>
      <c r="B28" s="4">
        <f>[1]SAS!C35</f>
        <v>0.45070422535211269</v>
      </c>
      <c r="C28" s="5">
        <f t="shared" si="0"/>
        <v>19</v>
      </c>
      <c r="D28" s="6">
        <f>[1]SAS!C36</f>
        <v>111.7</v>
      </c>
      <c r="E28" s="7">
        <f t="shared" si="1"/>
        <v>10</v>
      </c>
      <c r="F28" s="6">
        <f>[1]SAS!C37</f>
        <v>112.6</v>
      </c>
      <c r="G28" s="7">
        <f t="shared" si="2"/>
        <v>24</v>
      </c>
      <c r="H28" s="6">
        <f>[1]SAS!C38</f>
        <v>-0.89999999999999147</v>
      </c>
      <c r="I28" s="7">
        <f t="shared" si="3"/>
        <v>16</v>
      </c>
      <c r="J28" s="8">
        <f>[1]SAS!C39</f>
        <v>101.14</v>
      </c>
      <c r="K28" s="7">
        <f t="shared" si="4"/>
        <v>14</v>
      </c>
      <c r="L28" s="7">
        <f>[1]SAS!C27</f>
        <v>8</v>
      </c>
      <c r="M28" s="7">
        <f>[1]SAS!C28</f>
        <v>4</v>
      </c>
      <c r="N28" s="8">
        <f ca="1">[1]SAS!H24</f>
        <v>27.133333333333336</v>
      </c>
      <c r="O28" s="8">
        <f ca="1">[1]SAS!H25</f>
        <v>25.6</v>
      </c>
      <c r="P28" s="8">
        <f>[1]SAS!J24</f>
        <v>7.333333333333333</v>
      </c>
      <c r="Q28" s="7">
        <f>[1]SAS!J25</f>
        <v>5.5</v>
      </c>
      <c r="R28" s="9">
        <f>[1]SAS!P26</f>
        <v>116293374</v>
      </c>
      <c r="S28" s="10">
        <v>0</v>
      </c>
      <c r="T28" s="10">
        <f>B35-R28</f>
        <v>16333626</v>
      </c>
      <c r="U28" s="3" t="s">
        <v>34</v>
      </c>
      <c r="V28" s="3">
        <f>[1]SAS!C57</f>
        <v>541</v>
      </c>
      <c r="W28" s="3">
        <f>[1]SAS!D57</f>
        <v>242</v>
      </c>
      <c r="X28" s="11">
        <f>[1]SAS!E57</f>
        <v>0.69093231162196678</v>
      </c>
      <c r="Y28" s="7">
        <f t="shared" si="5"/>
        <v>1</v>
      </c>
      <c r="Z28" s="11">
        <f>9/9</f>
        <v>1</v>
      </c>
      <c r="AA28" s="11">
        <f>64/(64+45)</f>
        <v>0.58715596330275233</v>
      </c>
      <c r="AB28" s="11">
        <f>12/(12+9)</f>
        <v>0.5714285714285714</v>
      </c>
    </row>
    <row r="29" spans="1:28" x14ac:dyDescent="0.2">
      <c r="A29" s="3" t="s">
        <v>72</v>
      </c>
      <c r="B29" s="4">
        <f>[1]TOR!C35</f>
        <v>0.73611111111111116</v>
      </c>
      <c r="C29" s="5">
        <f t="shared" si="0"/>
        <v>2</v>
      </c>
      <c r="D29" s="6">
        <f>[1]TOR!C36</f>
        <v>110.8</v>
      </c>
      <c r="E29" s="7">
        <f t="shared" si="1"/>
        <v>13</v>
      </c>
      <c r="F29" s="6">
        <f>[1]TOR!C37</f>
        <v>104.7</v>
      </c>
      <c r="G29" s="7">
        <f t="shared" si="2"/>
        <v>2</v>
      </c>
      <c r="H29" s="6">
        <f>[1]TOR!C38</f>
        <v>6.0999999999999943</v>
      </c>
      <c r="I29" s="7">
        <f t="shared" si="3"/>
        <v>4</v>
      </c>
      <c r="J29" s="8">
        <f>[1]TOR!C39</f>
        <v>101.19</v>
      </c>
      <c r="K29" s="7">
        <f t="shared" si="4"/>
        <v>12</v>
      </c>
      <c r="L29" s="7">
        <f>[1]TOR!C27</f>
        <v>5</v>
      </c>
      <c r="M29" s="7">
        <f>[1]TOR!C28</f>
        <v>4</v>
      </c>
      <c r="N29" s="8">
        <f ca="1">[1]TOR!H24</f>
        <v>26.033333333333335</v>
      </c>
      <c r="O29" s="8">
        <f ca="1">[1]TOR!H25</f>
        <v>24.9</v>
      </c>
      <c r="P29" s="8">
        <f>[1]TOR!J24</f>
        <v>5.2222222222222223</v>
      </c>
      <c r="Q29" s="25">
        <f>[1]TOR!J25</f>
        <v>5</v>
      </c>
      <c r="R29" s="9">
        <f>[1]TOR!P28</f>
        <v>86831860</v>
      </c>
      <c r="S29" s="10">
        <v>0</v>
      </c>
      <c r="T29" s="10">
        <f>B35-R29</f>
        <v>45795140</v>
      </c>
      <c r="U29" s="3" t="s">
        <v>38</v>
      </c>
      <c r="V29" s="3">
        <f>[1]TOR!C60</f>
        <v>453</v>
      </c>
      <c r="W29" s="3">
        <f>[1]TOR!D60</f>
        <v>341</v>
      </c>
      <c r="X29" s="11">
        <f>[1]TOR!E60</f>
        <v>0.57052896725440805</v>
      </c>
      <c r="Y29" s="7">
        <f t="shared" si="5"/>
        <v>8</v>
      </c>
      <c r="Z29" s="11">
        <f>7/10</f>
        <v>0.7</v>
      </c>
      <c r="AA29" s="14">
        <f>41/(41+38)</f>
        <v>0.51898734177215189</v>
      </c>
      <c r="AB29" s="14">
        <f>9/14</f>
        <v>0.6428571428571429</v>
      </c>
    </row>
    <row r="30" spans="1:28" x14ac:dyDescent="0.2">
      <c r="A30" s="3" t="s">
        <v>73</v>
      </c>
      <c r="B30" s="4">
        <f>[1]UTA!C34</f>
        <v>0.61111111111111116</v>
      </c>
      <c r="C30" s="5">
        <f t="shared" si="0"/>
        <v>8</v>
      </c>
      <c r="D30" s="6">
        <f>[1]UTA!C35</f>
        <v>111.8</v>
      </c>
      <c r="E30" s="7">
        <f t="shared" si="1"/>
        <v>9</v>
      </c>
      <c r="F30" s="6">
        <f>[1]UTA!C36</f>
        <v>109.3</v>
      </c>
      <c r="G30" s="7">
        <f t="shared" si="2"/>
        <v>12</v>
      </c>
      <c r="H30" s="6">
        <f>[1]UTA!C37</f>
        <v>2.5</v>
      </c>
      <c r="I30" s="7">
        <f t="shared" si="3"/>
        <v>9</v>
      </c>
      <c r="J30" s="8">
        <f>[1]UTA!C38</f>
        <v>99.15</v>
      </c>
      <c r="K30" s="7">
        <f t="shared" si="4"/>
        <v>24</v>
      </c>
      <c r="L30" s="7">
        <f>[1]UTA!C26</f>
        <v>7</v>
      </c>
      <c r="M30" s="7">
        <f>[1]UTA!C27</f>
        <v>6</v>
      </c>
      <c r="N30" s="8">
        <f ca="1">[1]UTA!H23</f>
        <v>27.253846153846155</v>
      </c>
      <c r="O30" s="8">
        <f ca="1">[1]UTA!H24</f>
        <v>27.3</v>
      </c>
      <c r="P30" s="8">
        <f>[1]UTA!J23</f>
        <v>5.5384615384615383</v>
      </c>
      <c r="Q30" s="7">
        <f>[1]UTA!J24</f>
        <v>4</v>
      </c>
      <c r="R30" s="9">
        <f>[1]UTA!P28</f>
        <v>121606261</v>
      </c>
      <c r="S30" s="10">
        <v>0</v>
      </c>
      <c r="T30" s="10">
        <f>B35-R30</f>
        <v>11020739</v>
      </c>
      <c r="U30" s="3" t="s">
        <v>34</v>
      </c>
      <c r="V30" s="3">
        <f>[1]UTA!C59</f>
        <v>414</v>
      </c>
      <c r="W30" s="3">
        <f>[1]UTA!D59</f>
        <v>380</v>
      </c>
      <c r="X30" s="11">
        <f>[1]UTA!E59</f>
        <v>0.52141057934508817</v>
      </c>
      <c r="Y30" s="7">
        <f t="shared" si="5"/>
        <v>13</v>
      </c>
      <c r="Z30" s="11">
        <f>5/10</f>
        <v>0.5</v>
      </c>
      <c r="AA30" s="14">
        <f>13/38</f>
        <v>0.34210526315789475</v>
      </c>
      <c r="AB30" s="14">
        <f>2/7</f>
        <v>0.2857142857142857</v>
      </c>
    </row>
    <row r="31" spans="1:28" x14ac:dyDescent="0.2">
      <c r="A31" s="3" t="s">
        <v>74</v>
      </c>
      <c r="B31" s="4">
        <f>[1]WSH!C37</f>
        <v>0.34722222222222221</v>
      </c>
      <c r="C31" s="5">
        <f t="shared" si="0"/>
        <v>23</v>
      </c>
      <c r="D31" s="3">
        <f>[1]WSH!C38</f>
        <v>110.2</v>
      </c>
      <c r="E31" s="7">
        <f t="shared" si="1"/>
        <v>16</v>
      </c>
      <c r="F31" s="6">
        <f>[1]WSH!C39</f>
        <v>114.7</v>
      </c>
      <c r="G31" s="7">
        <f t="shared" si="2"/>
        <v>29</v>
      </c>
      <c r="H31" s="3">
        <f>[1]WSH!C40</f>
        <v>-4.5</v>
      </c>
      <c r="I31" s="7">
        <f t="shared" si="3"/>
        <v>25</v>
      </c>
      <c r="J31" s="8">
        <f>[1]WSH!C41</f>
        <v>103.38</v>
      </c>
      <c r="K31" s="7">
        <f t="shared" si="4"/>
        <v>5</v>
      </c>
      <c r="L31" s="7">
        <f>[1]WSH!C29</f>
        <v>9</v>
      </c>
      <c r="M31" s="7">
        <f>[1]WSH!C30</f>
        <v>2</v>
      </c>
      <c r="N31" s="8">
        <f ca="1">[1]WSH!H26</f>
        <v>24.818181818181817</v>
      </c>
      <c r="O31" s="8">
        <f ca="1">[1]WSH!H27</f>
        <v>23.5</v>
      </c>
      <c r="P31" s="8">
        <f>[1]WSH!J26</f>
        <v>4.8181818181818183</v>
      </c>
      <c r="Q31" s="7">
        <f>[1]WSH!J27</f>
        <v>3</v>
      </c>
      <c r="R31" s="9">
        <f>[1]WSH!P28</f>
        <v>107474130</v>
      </c>
      <c r="S31" s="10">
        <v>0</v>
      </c>
      <c r="T31" s="10">
        <f>B35-R31</f>
        <v>25152870</v>
      </c>
      <c r="U31" s="3" t="s">
        <v>57</v>
      </c>
      <c r="V31" s="3">
        <f>[1]WSH!C63</f>
        <v>352</v>
      </c>
      <c r="W31" s="3">
        <f>[1]WSH!D63</f>
        <v>442</v>
      </c>
      <c r="X31" s="11">
        <f>[1]WSH!E63</f>
        <v>0.44332493702770781</v>
      </c>
      <c r="Y31" s="7">
        <f t="shared" si="5"/>
        <v>19</v>
      </c>
      <c r="Z31" s="11">
        <f>4/9</f>
        <v>0.44444444444444442</v>
      </c>
      <c r="AA31" s="11">
        <f>21/40</f>
        <v>0.52500000000000002</v>
      </c>
      <c r="AB31" s="11">
        <f>3/7</f>
        <v>0.42857142857142855</v>
      </c>
    </row>
    <row r="32" spans="1:28" x14ac:dyDescent="0.2">
      <c r="B32" s="4"/>
      <c r="C32" s="4"/>
      <c r="M32" s="9"/>
      <c r="N32" s="8"/>
      <c r="O32" s="8"/>
      <c r="P32" s="8"/>
      <c r="Q32" s="8"/>
      <c r="X32" s="11"/>
      <c r="Y32" s="11"/>
    </row>
    <row r="33" spans="1:25" x14ac:dyDescent="0.2">
      <c r="B33" s="4"/>
      <c r="C33" s="4"/>
      <c r="M33" s="9"/>
      <c r="N33" s="8"/>
      <c r="O33" s="8"/>
      <c r="P33" s="8"/>
      <c r="Q33" s="8"/>
      <c r="X33" s="11"/>
      <c r="Y33" s="11"/>
    </row>
    <row r="34" spans="1:25" x14ac:dyDescent="0.2">
      <c r="A34" s="3" t="s">
        <v>75</v>
      </c>
      <c r="B34" s="9">
        <v>109140000</v>
      </c>
      <c r="C34" s="4"/>
    </row>
    <row r="35" spans="1:25" x14ac:dyDescent="0.2">
      <c r="A35" s="3" t="s">
        <v>76</v>
      </c>
      <c r="B35" s="9">
        <v>132627000</v>
      </c>
      <c r="C35" s="4"/>
    </row>
    <row r="36" spans="1:25" x14ac:dyDescent="0.2">
      <c r="A36" s="3" t="s">
        <v>77</v>
      </c>
      <c r="B36" s="9">
        <v>138928000</v>
      </c>
      <c r="C36" s="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1B716-E750-4946-A6D6-D46620A05665}">
  <dimension ref="A1:M112"/>
  <sheetViews>
    <sheetView workbookViewId="0">
      <selection sqref="A1:XFD1048576"/>
    </sheetView>
  </sheetViews>
  <sheetFormatPr baseColWidth="10" defaultColWidth="10.83203125" defaultRowHeight="16" x14ac:dyDescent="0.2"/>
  <cols>
    <col min="1" max="1" width="15.5" style="17" bestFit="1" customWidth="1"/>
    <col min="2" max="2" width="8.83203125" style="17" customWidth="1"/>
    <col min="3" max="3" width="7.33203125" style="17" customWidth="1"/>
    <col min="4" max="4" width="10.83203125" style="17"/>
    <col min="5" max="5" width="7.5" style="17" bestFit="1" customWidth="1"/>
    <col min="6" max="6" width="10.1640625" style="17" customWidth="1"/>
    <col min="7" max="7" width="5.5" style="17" customWidth="1"/>
    <col min="8" max="8" width="21.6640625" style="17" customWidth="1"/>
    <col min="9" max="9" width="13.83203125" style="17" customWidth="1"/>
    <col min="10" max="10" width="53" style="17" customWidth="1"/>
    <col min="11" max="11" width="44.33203125" style="17" customWidth="1"/>
    <col min="12" max="12" width="8.5" style="17" customWidth="1"/>
    <col min="13" max="13" width="14" style="17" customWidth="1"/>
    <col min="14" max="16384" width="10.83203125" style="17"/>
  </cols>
  <sheetData>
    <row r="1" spans="1:13" x14ac:dyDescent="0.2">
      <c r="A1" s="26" t="s">
        <v>78</v>
      </c>
      <c r="B1" s="26" t="s">
        <v>79</v>
      </c>
      <c r="C1" s="26" t="s">
        <v>80</v>
      </c>
      <c r="D1" s="26" t="s">
        <v>81</v>
      </c>
      <c r="E1" s="26" t="s">
        <v>82</v>
      </c>
      <c r="F1" s="26" t="s">
        <v>83</v>
      </c>
      <c r="G1" s="26" t="s">
        <v>84</v>
      </c>
      <c r="H1" s="26" t="s">
        <v>85</v>
      </c>
      <c r="I1" s="26" t="s">
        <v>86</v>
      </c>
      <c r="J1" s="27" t="s">
        <v>87</v>
      </c>
      <c r="K1" s="27" t="s">
        <v>88</v>
      </c>
      <c r="L1" s="27" t="s">
        <v>89</v>
      </c>
      <c r="M1" s="27" t="s">
        <v>90</v>
      </c>
    </row>
    <row r="2" spans="1:13" x14ac:dyDescent="0.2">
      <c r="A2" s="17" t="s">
        <v>91</v>
      </c>
      <c r="B2" s="17">
        <v>2</v>
      </c>
      <c r="C2" s="28">
        <v>65</v>
      </c>
      <c r="D2" s="28">
        <v>69</v>
      </c>
      <c r="E2" s="29">
        <v>225</v>
      </c>
      <c r="F2" s="30">
        <v>37108</v>
      </c>
      <c r="G2" s="17">
        <f ca="1">ROUNDDOWN(YEARFRAC($F$101,F2),1)</f>
        <v>19.2</v>
      </c>
      <c r="H2" s="17" t="s">
        <v>92</v>
      </c>
      <c r="I2" s="17" t="s">
        <v>93</v>
      </c>
      <c r="J2" s="17" t="s">
        <v>94</v>
      </c>
      <c r="K2" s="31" t="s">
        <v>95</v>
      </c>
      <c r="L2" s="17" t="s">
        <v>96</v>
      </c>
      <c r="M2" s="17" t="s">
        <v>96</v>
      </c>
    </row>
    <row r="3" spans="1:13" x14ac:dyDescent="0.2">
      <c r="A3" s="17" t="s">
        <v>97</v>
      </c>
      <c r="B3" s="17">
        <v>1</v>
      </c>
      <c r="C3" s="28">
        <v>67</v>
      </c>
      <c r="D3" s="28">
        <v>610</v>
      </c>
      <c r="E3" s="29">
        <v>190</v>
      </c>
      <c r="F3" s="30">
        <v>37125</v>
      </c>
      <c r="G3" s="17">
        <f t="shared" ref="G3:G10" ca="1" si="0">ROUNDDOWN(YEARFRAC($F$101,F3),1)</f>
        <v>19.100000000000001</v>
      </c>
      <c r="H3" s="17" t="s">
        <v>98</v>
      </c>
      <c r="I3" s="17" t="s">
        <v>99</v>
      </c>
      <c r="J3" s="17" t="s">
        <v>100</v>
      </c>
      <c r="K3" s="32" t="s">
        <v>101</v>
      </c>
      <c r="L3" s="17" t="s">
        <v>102</v>
      </c>
      <c r="M3" s="17" t="s">
        <v>102</v>
      </c>
    </row>
    <row r="4" spans="1:13" x14ac:dyDescent="0.2">
      <c r="A4" s="17" t="s">
        <v>103</v>
      </c>
      <c r="B4" s="17">
        <v>4</v>
      </c>
      <c r="C4" s="28">
        <v>69</v>
      </c>
      <c r="D4" s="28">
        <v>611</v>
      </c>
      <c r="E4" s="29">
        <v>220</v>
      </c>
      <c r="F4" s="30">
        <v>35858</v>
      </c>
      <c r="G4" s="17">
        <f t="shared" ca="1" si="0"/>
        <v>22.6</v>
      </c>
      <c r="H4" s="17" t="s">
        <v>104</v>
      </c>
      <c r="I4" s="17" t="s">
        <v>105</v>
      </c>
      <c r="J4" s="17" t="s">
        <v>106</v>
      </c>
      <c r="K4" s="32" t="s">
        <v>107</v>
      </c>
      <c r="L4" s="17" t="s">
        <v>108</v>
      </c>
      <c r="M4" s="17" t="s">
        <v>109</v>
      </c>
    </row>
    <row r="5" spans="1:13" x14ac:dyDescent="0.2">
      <c r="A5" s="17" t="s">
        <v>110</v>
      </c>
      <c r="B5" s="17">
        <v>5</v>
      </c>
      <c r="C5" s="28">
        <v>71</v>
      </c>
      <c r="D5" s="28">
        <v>76</v>
      </c>
      <c r="E5" s="29">
        <v>237</v>
      </c>
      <c r="F5" s="30">
        <v>36981</v>
      </c>
      <c r="G5" s="17">
        <f t="shared" ca="1" si="0"/>
        <v>19.5</v>
      </c>
      <c r="H5" s="17" t="s">
        <v>111</v>
      </c>
      <c r="I5" s="17" t="s">
        <v>112</v>
      </c>
      <c r="J5" s="17" t="s">
        <v>113</v>
      </c>
      <c r="K5" s="32" t="s">
        <v>114</v>
      </c>
      <c r="L5" s="17" t="s">
        <v>115</v>
      </c>
      <c r="M5" s="17" t="s">
        <v>116</v>
      </c>
    </row>
    <row r="6" spans="1:13" x14ac:dyDescent="0.2">
      <c r="A6" s="17" t="s">
        <v>117</v>
      </c>
      <c r="B6" s="17">
        <v>5</v>
      </c>
      <c r="C6" s="28">
        <v>69</v>
      </c>
      <c r="D6" s="28">
        <v>71</v>
      </c>
      <c r="E6" s="29">
        <v>245</v>
      </c>
      <c r="F6" s="30">
        <v>36871</v>
      </c>
      <c r="G6" s="17">
        <f t="shared" ca="1" si="0"/>
        <v>19.8</v>
      </c>
      <c r="H6" s="17" t="s">
        <v>118</v>
      </c>
      <c r="I6" s="17" t="s">
        <v>119</v>
      </c>
      <c r="J6" s="17" t="s">
        <v>120</v>
      </c>
      <c r="K6" s="32" t="s">
        <v>121</v>
      </c>
      <c r="L6" s="17" t="s">
        <v>122</v>
      </c>
      <c r="M6" s="17" t="s">
        <v>108</v>
      </c>
    </row>
    <row r="7" spans="1:13" x14ac:dyDescent="0.2">
      <c r="A7" s="17" t="s">
        <v>123</v>
      </c>
      <c r="B7" s="17">
        <v>4</v>
      </c>
      <c r="C7" s="28">
        <v>69</v>
      </c>
      <c r="D7" s="28">
        <v>69</v>
      </c>
      <c r="E7" s="29">
        <v>215</v>
      </c>
      <c r="F7" s="30">
        <v>36894</v>
      </c>
      <c r="G7" s="17">
        <f t="shared" ca="1" si="0"/>
        <v>19.8</v>
      </c>
      <c r="H7" s="17" t="s">
        <v>124</v>
      </c>
      <c r="I7" s="17" t="s">
        <v>125</v>
      </c>
      <c r="J7" s="17" t="s">
        <v>126</v>
      </c>
      <c r="L7" s="17" t="s">
        <v>109</v>
      </c>
      <c r="M7" s="17" t="s">
        <v>127</v>
      </c>
    </row>
    <row r="8" spans="1:13" x14ac:dyDescent="0.2">
      <c r="A8" s="17" t="s">
        <v>128</v>
      </c>
      <c r="B8" s="17">
        <v>1</v>
      </c>
      <c r="C8" s="28">
        <v>65</v>
      </c>
      <c r="D8" s="28">
        <v>68</v>
      </c>
      <c r="E8" s="29">
        <v>215</v>
      </c>
      <c r="F8" s="30">
        <v>37099</v>
      </c>
      <c r="G8" s="17">
        <f t="shared" ca="1" si="0"/>
        <v>19.2</v>
      </c>
      <c r="H8" s="17" t="s">
        <v>129</v>
      </c>
      <c r="I8" s="17" t="s">
        <v>130</v>
      </c>
      <c r="J8" s="17" t="s">
        <v>131</v>
      </c>
      <c r="L8" s="17" t="s">
        <v>132</v>
      </c>
      <c r="M8" s="17" t="s">
        <v>133</v>
      </c>
    </row>
    <row r="9" spans="1:13" x14ac:dyDescent="0.2">
      <c r="A9" s="17" t="s">
        <v>134</v>
      </c>
      <c r="B9" s="17">
        <v>3</v>
      </c>
      <c r="C9" s="28">
        <v>66</v>
      </c>
      <c r="D9" s="28">
        <v>69</v>
      </c>
      <c r="E9" s="29">
        <v>225</v>
      </c>
      <c r="F9" s="30">
        <v>36917</v>
      </c>
      <c r="G9" s="17">
        <f t="shared" ca="1" si="0"/>
        <v>19.7</v>
      </c>
      <c r="H9" s="17" t="s">
        <v>135</v>
      </c>
      <c r="I9" s="17" t="s">
        <v>93</v>
      </c>
      <c r="J9" s="17" t="s">
        <v>136</v>
      </c>
      <c r="L9" s="17" t="s">
        <v>116</v>
      </c>
      <c r="M9" s="17" t="s">
        <v>115</v>
      </c>
    </row>
    <row r="10" spans="1:13" x14ac:dyDescent="0.2">
      <c r="A10" s="17" t="s">
        <v>137</v>
      </c>
      <c r="B10" s="17">
        <v>1</v>
      </c>
      <c r="C10" s="28">
        <v>65</v>
      </c>
      <c r="D10" s="28">
        <v>68</v>
      </c>
      <c r="E10" s="29">
        <v>175</v>
      </c>
      <c r="F10" s="30">
        <v>36585</v>
      </c>
      <c r="G10" s="17">
        <f t="shared" ca="1" si="0"/>
        <v>20.6</v>
      </c>
      <c r="H10" s="17" t="s">
        <v>138</v>
      </c>
      <c r="I10" s="17" t="s">
        <v>139</v>
      </c>
      <c r="J10" s="17" t="s">
        <v>140</v>
      </c>
      <c r="L10" s="17" t="s">
        <v>133</v>
      </c>
      <c r="M10" s="17" t="s">
        <v>141</v>
      </c>
    </row>
    <row r="11" spans="1:13" x14ac:dyDescent="0.2">
      <c r="A11" s="17" t="s">
        <v>142</v>
      </c>
      <c r="C11" s="28"/>
      <c r="D11" s="28"/>
      <c r="E11" s="29"/>
    </row>
    <row r="12" spans="1:13" x14ac:dyDescent="0.2">
      <c r="A12" s="17" t="s">
        <v>143</v>
      </c>
      <c r="C12" s="28"/>
      <c r="D12" s="28"/>
      <c r="E12" s="29"/>
    </row>
    <row r="13" spans="1:13" x14ac:dyDescent="0.2">
      <c r="A13" s="17" t="s">
        <v>144</v>
      </c>
      <c r="C13" s="28"/>
      <c r="D13" s="28"/>
      <c r="E13" s="29"/>
    </row>
    <row r="14" spans="1:13" x14ac:dyDescent="0.2">
      <c r="A14" s="17" t="s">
        <v>145</v>
      </c>
      <c r="C14" s="28"/>
      <c r="D14" s="28"/>
      <c r="E14" s="29"/>
    </row>
    <row r="15" spans="1:13" x14ac:dyDescent="0.2">
      <c r="A15" s="17" t="s">
        <v>146</v>
      </c>
      <c r="C15" s="28"/>
      <c r="D15" s="28"/>
      <c r="E15" s="29"/>
    </row>
    <row r="16" spans="1:13" x14ac:dyDescent="0.2">
      <c r="A16" s="17" t="s">
        <v>147</v>
      </c>
      <c r="C16" s="28"/>
      <c r="D16" s="28"/>
      <c r="E16" s="29"/>
    </row>
    <row r="17" spans="1:5" x14ac:dyDescent="0.2">
      <c r="A17" s="17" t="s">
        <v>148</v>
      </c>
      <c r="C17" s="28"/>
      <c r="D17" s="28"/>
      <c r="E17" s="29"/>
    </row>
    <row r="18" spans="1:5" x14ac:dyDescent="0.2">
      <c r="A18" s="17" t="s">
        <v>149</v>
      </c>
      <c r="C18" s="28"/>
      <c r="D18" s="28"/>
      <c r="E18" s="29"/>
    </row>
    <row r="19" spans="1:5" x14ac:dyDescent="0.2">
      <c r="A19" s="17" t="s">
        <v>150</v>
      </c>
      <c r="C19" s="28"/>
      <c r="D19" s="28"/>
      <c r="E19" s="29"/>
    </row>
    <row r="20" spans="1:5" x14ac:dyDescent="0.2">
      <c r="A20" s="17" t="s">
        <v>151</v>
      </c>
      <c r="C20" s="28"/>
      <c r="D20" s="28"/>
      <c r="E20" s="29"/>
    </row>
    <row r="21" spans="1:5" x14ac:dyDescent="0.2">
      <c r="A21" s="17" t="s">
        <v>152</v>
      </c>
      <c r="C21" s="28"/>
      <c r="D21" s="28"/>
      <c r="E21" s="29"/>
    </row>
    <row r="22" spans="1:5" x14ac:dyDescent="0.2">
      <c r="A22" s="17" t="s">
        <v>153</v>
      </c>
      <c r="C22" s="28"/>
      <c r="D22" s="28"/>
      <c r="E22" s="29"/>
    </row>
    <row r="23" spans="1:5" x14ac:dyDescent="0.2">
      <c r="A23" s="17" t="s">
        <v>154</v>
      </c>
      <c r="C23" s="28"/>
      <c r="D23" s="28"/>
      <c r="E23" s="29"/>
    </row>
    <row r="24" spans="1:5" x14ac:dyDescent="0.2">
      <c r="A24" s="17" t="s">
        <v>155</v>
      </c>
      <c r="C24" s="28"/>
      <c r="D24" s="28"/>
      <c r="E24" s="29"/>
    </row>
    <row r="25" spans="1:5" x14ac:dyDescent="0.2">
      <c r="A25" s="17" t="s">
        <v>156</v>
      </c>
      <c r="C25" s="28"/>
      <c r="D25" s="28"/>
      <c r="E25" s="29"/>
    </row>
    <row r="26" spans="1:5" x14ac:dyDescent="0.2">
      <c r="A26" s="17" t="s">
        <v>157</v>
      </c>
      <c r="C26" s="28"/>
      <c r="D26" s="28"/>
      <c r="E26" s="29"/>
    </row>
    <row r="27" spans="1:5" x14ac:dyDescent="0.2">
      <c r="A27" s="17" t="s">
        <v>158</v>
      </c>
      <c r="C27" s="28"/>
      <c r="D27" s="28"/>
      <c r="E27" s="29"/>
    </row>
    <row r="28" spans="1:5" x14ac:dyDescent="0.2">
      <c r="A28" s="17" t="s">
        <v>159</v>
      </c>
      <c r="C28" s="28"/>
      <c r="D28" s="28"/>
      <c r="E28" s="29"/>
    </row>
    <row r="29" spans="1:5" x14ac:dyDescent="0.2">
      <c r="A29" s="17" t="s">
        <v>160</v>
      </c>
      <c r="C29" s="28"/>
      <c r="D29" s="28"/>
      <c r="E29" s="29"/>
    </row>
    <row r="30" spans="1:5" x14ac:dyDescent="0.2">
      <c r="A30" s="17" t="s">
        <v>161</v>
      </c>
      <c r="C30" s="28"/>
      <c r="D30" s="28"/>
      <c r="E30" s="29"/>
    </row>
    <row r="31" spans="1:5" x14ac:dyDescent="0.2">
      <c r="A31" s="17" t="s">
        <v>162</v>
      </c>
      <c r="C31" s="28"/>
      <c r="D31" s="28"/>
    </row>
    <row r="32" spans="1:5" x14ac:dyDescent="0.2">
      <c r="A32" s="17" t="s">
        <v>163</v>
      </c>
      <c r="C32" s="28"/>
      <c r="D32" s="28"/>
    </row>
    <row r="33" spans="1:6" x14ac:dyDescent="0.2">
      <c r="A33" s="17" t="s">
        <v>164</v>
      </c>
      <c r="C33" s="28"/>
      <c r="D33" s="28"/>
    </row>
    <row r="34" spans="1:6" x14ac:dyDescent="0.2">
      <c r="A34" s="17" t="s">
        <v>165</v>
      </c>
      <c r="C34" s="28"/>
      <c r="D34" s="28"/>
      <c r="F34" s="30"/>
    </row>
    <row r="35" spans="1:6" x14ac:dyDescent="0.2">
      <c r="A35" s="17" t="s">
        <v>166</v>
      </c>
      <c r="C35" s="28"/>
      <c r="D35" s="28"/>
    </row>
    <row r="36" spans="1:6" x14ac:dyDescent="0.2">
      <c r="A36" s="17" t="s">
        <v>167</v>
      </c>
      <c r="C36" s="28"/>
      <c r="D36" s="28"/>
    </row>
    <row r="37" spans="1:6" x14ac:dyDescent="0.2">
      <c r="A37" s="17" t="s">
        <v>168</v>
      </c>
      <c r="C37" s="28"/>
      <c r="D37" s="28"/>
    </row>
    <row r="38" spans="1:6" x14ac:dyDescent="0.2">
      <c r="A38" s="17" t="s">
        <v>169</v>
      </c>
      <c r="C38" s="28"/>
      <c r="D38" s="28"/>
    </row>
    <row r="39" spans="1:6" x14ac:dyDescent="0.2">
      <c r="C39" s="28"/>
      <c r="D39" s="28"/>
    </row>
    <row r="40" spans="1:6" x14ac:dyDescent="0.2">
      <c r="C40" s="28"/>
      <c r="D40" s="28"/>
    </row>
    <row r="41" spans="1:6" x14ac:dyDescent="0.2">
      <c r="C41" s="28"/>
      <c r="D41" s="28"/>
    </row>
    <row r="42" spans="1:6" x14ac:dyDescent="0.2">
      <c r="C42" s="28"/>
      <c r="D42" s="28"/>
    </row>
    <row r="43" spans="1:6" x14ac:dyDescent="0.2">
      <c r="C43" s="28"/>
      <c r="D43" s="28"/>
    </row>
    <row r="44" spans="1:6" x14ac:dyDescent="0.2">
      <c r="C44" s="28"/>
      <c r="D44" s="28"/>
    </row>
    <row r="45" spans="1:6" x14ac:dyDescent="0.2">
      <c r="C45" s="28"/>
      <c r="D45" s="28"/>
    </row>
    <row r="46" spans="1:6" x14ac:dyDescent="0.2">
      <c r="C46" s="28"/>
      <c r="D46" s="28"/>
    </row>
    <row r="47" spans="1:6" x14ac:dyDescent="0.2">
      <c r="C47" s="28"/>
      <c r="D47" s="28"/>
    </row>
    <row r="48" spans="1:6" x14ac:dyDescent="0.2">
      <c r="C48" s="28"/>
      <c r="D48" s="28"/>
    </row>
    <row r="49" spans="3:4" x14ac:dyDescent="0.2">
      <c r="C49" s="28"/>
      <c r="D49" s="28"/>
    </row>
    <row r="50" spans="3:4" x14ac:dyDescent="0.2">
      <c r="C50" s="28"/>
      <c r="D50" s="28"/>
    </row>
    <row r="51" spans="3:4" x14ac:dyDescent="0.2">
      <c r="C51" s="28"/>
      <c r="D51" s="28"/>
    </row>
    <row r="52" spans="3:4" x14ac:dyDescent="0.2">
      <c r="C52" s="28"/>
      <c r="D52" s="28"/>
    </row>
    <row r="53" spans="3:4" x14ac:dyDescent="0.2">
      <c r="C53" s="28"/>
      <c r="D53" s="28"/>
    </row>
    <row r="54" spans="3:4" x14ac:dyDescent="0.2">
      <c r="C54" s="28"/>
      <c r="D54" s="28"/>
    </row>
    <row r="55" spans="3:4" x14ac:dyDescent="0.2">
      <c r="C55" s="28"/>
      <c r="D55" s="28"/>
    </row>
    <row r="56" spans="3:4" x14ac:dyDescent="0.2">
      <c r="C56" s="28"/>
      <c r="D56" s="28"/>
    </row>
    <row r="57" spans="3:4" x14ac:dyDescent="0.2">
      <c r="C57" s="28"/>
      <c r="D57" s="28"/>
    </row>
    <row r="58" spans="3:4" x14ac:dyDescent="0.2">
      <c r="C58" s="28"/>
      <c r="D58" s="28"/>
    </row>
    <row r="59" spans="3:4" x14ac:dyDescent="0.2">
      <c r="C59" s="28"/>
      <c r="D59" s="28"/>
    </row>
    <row r="60" spans="3:4" x14ac:dyDescent="0.2">
      <c r="C60" s="28"/>
      <c r="D60" s="28"/>
    </row>
    <row r="61" spans="3:4" x14ac:dyDescent="0.2">
      <c r="C61" s="28"/>
      <c r="D61" s="28"/>
    </row>
    <row r="62" spans="3:4" x14ac:dyDescent="0.2">
      <c r="C62" s="28"/>
      <c r="D62" s="28"/>
    </row>
    <row r="63" spans="3:4" x14ac:dyDescent="0.2">
      <c r="C63" s="28"/>
      <c r="D63" s="28"/>
    </row>
    <row r="64" spans="3:4" x14ac:dyDescent="0.2">
      <c r="C64" s="28"/>
      <c r="D64" s="28"/>
    </row>
    <row r="65" spans="3:4" x14ac:dyDescent="0.2">
      <c r="C65" s="28"/>
      <c r="D65" s="28"/>
    </row>
    <row r="66" spans="3:4" x14ac:dyDescent="0.2">
      <c r="C66" s="28"/>
      <c r="D66" s="28"/>
    </row>
    <row r="67" spans="3:4" x14ac:dyDescent="0.2">
      <c r="C67" s="28"/>
      <c r="D67" s="28"/>
    </row>
    <row r="68" spans="3:4" x14ac:dyDescent="0.2">
      <c r="C68" s="28"/>
      <c r="D68" s="28"/>
    </row>
    <row r="69" spans="3:4" x14ac:dyDescent="0.2">
      <c r="C69" s="28"/>
      <c r="D69" s="28"/>
    </row>
    <row r="70" spans="3:4" x14ac:dyDescent="0.2">
      <c r="C70" s="28"/>
      <c r="D70" s="28"/>
    </row>
    <row r="71" spans="3:4" x14ac:dyDescent="0.2">
      <c r="C71" s="28"/>
      <c r="D71" s="28"/>
    </row>
    <row r="72" spans="3:4" x14ac:dyDescent="0.2">
      <c r="C72" s="28"/>
      <c r="D72" s="28"/>
    </row>
    <row r="73" spans="3:4" x14ac:dyDescent="0.2">
      <c r="C73" s="28"/>
      <c r="D73" s="28"/>
    </row>
    <row r="74" spans="3:4" x14ac:dyDescent="0.2">
      <c r="C74" s="28"/>
      <c r="D74" s="28"/>
    </row>
    <row r="75" spans="3:4" x14ac:dyDescent="0.2">
      <c r="C75" s="28"/>
      <c r="D75" s="28"/>
    </row>
    <row r="76" spans="3:4" x14ac:dyDescent="0.2">
      <c r="C76" s="28"/>
      <c r="D76" s="28"/>
    </row>
    <row r="77" spans="3:4" x14ac:dyDescent="0.2">
      <c r="C77" s="28"/>
      <c r="D77" s="28"/>
    </row>
    <row r="78" spans="3:4" x14ac:dyDescent="0.2">
      <c r="C78" s="28"/>
      <c r="D78" s="28"/>
    </row>
    <row r="79" spans="3:4" x14ac:dyDescent="0.2">
      <c r="C79" s="28"/>
      <c r="D79" s="28"/>
    </row>
    <row r="80" spans="3:4" x14ac:dyDescent="0.2">
      <c r="C80" s="28"/>
      <c r="D80" s="28"/>
    </row>
    <row r="81" spans="3:4" x14ac:dyDescent="0.2">
      <c r="C81" s="28"/>
      <c r="D81" s="28"/>
    </row>
    <row r="82" spans="3:4" x14ac:dyDescent="0.2">
      <c r="C82" s="28"/>
      <c r="D82" s="28"/>
    </row>
    <row r="83" spans="3:4" x14ac:dyDescent="0.2">
      <c r="C83" s="28"/>
      <c r="D83" s="28"/>
    </row>
    <row r="84" spans="3:4" x14ac:dyDescent="0.2">
      <c r="C84" s="28"/>
      <c r="D84" s="28"/>
    </row>
    <row r="85" spans="3:4" x14ac:dyDescent="0.2">
      <c r="C85" s="28"/>
      <c r="D85" s="28"/>
    </row>
    <row r="86" spans="3:4" x14ac:dyDescent="0.2">
      <c r="C86" s="28"/>
      <c r="D86" s="28"/>
    </row>
    <row r="87" spans="3:4" x14ac:dyDescent="0.2">
      <c r="C87" s="28"/>
      <c r="D87" s="28"/>
    </row>
    <row r="88" spans="3:4" x14ac:dyDescent="0.2">
      <c r="C88" s="28"/>
      <c r="D88" s="28"/>
    </row>
    <row r="89" spans="3:4" x14ac:dyDescent="0.2">
      <c r="C89" s="28"/>
      <c r="D89" s="28"/>
    </row>
    <row r="90" spans="3:4" x14ac:dyDescent="0.2">
      <c r="C90" s="28"/>
      <c r="D90" s="28"/>
    </row>
    <row r="91" spans="3:4" x14ac:dyDescent="0.2">
      <c r="C91" s="28"/>
      <c r="D91" s="28"/>
    </row>
    <row r="92" spans="3:4" x14ac:dyDescent="0.2">
      <c r="C92" s="28"/>
      <c r="D92" s="28"/>
    </row>
    <row r="93" spans="3:4" x14ac:dyDescent="0.2">
      <c r="C93" s="28"/>
      <c r="D93" s="28"/>
    </row>
    <row r="94" spans="3:4" x14ac:dyDescent="0.2">
      <c r="C94" s="28"/>
      <c r="D94" s="28"/>
    </row>
    <row r="95" spans="3:4" x14ac:dyDescent="0.2">
      <c r="C95" s="28"/>
      <c r="D95" s="28"/>
    </row>
    <row r="96" spans="3:4" x14ac:dyDescent="0.2">
      <c r="C96" s="28"/>
      <c r="D96" s="28"/>
    </row>
    <row r="97" spans="3:6" x14ac:dyDescent="0.2">
      <c r="C97" s="28"/>
      <c r="D97" s="28"/>
    </row>
    <row r="98" spans="3:6" x14ac:dyDescent="0.2">
      <c r="C98" s="28"/>
      <c r="D98" s="28"/>
    </row>
    <row r="99" spans="3:6" x14ac:dyDescent="0.2">
      <c r="C99" s="28"/>
      <c r="D99" s="28"/>
    </row>
    <row r="100" spans="3:6" x14ac:dyDescent="0.2">
      <c r="C100" s="28"/>
      <c r="D100" s="28"/>
    </row>
    <row r="101" spans="3:6" x14ac:dyDescent="0.2">
      <c r="C101" s="28"/>
      <c r="D101" s="28"/>
      <c r="F101" s="30">
        <f ca="1">TODAY()</f>
        <v>44128</v>
      </c>
    </row>
    <row r="102" spans="3:6" x14ac:dyDescent="0.2">
      <c r="C102" s="28"/>
      <c r="D102" s="28"/>
    </row>
    <row r="103" spans="3:6" x14ac:dyDescent="0.2">
      <c r="C103" s="28"/>
      <c r="D103" s="28"/>
    </row>
    <row r="104" spans="3:6" x14ac:dyDescent="0.2">
      <c r="C104" s="28"/>
      <c r="D104" s="28"/>
    </row>
    <row r="105" spans="3:6" x14ac:dyDescent="0.2">
      <c r="C105" s="28"/>
      <c r="D105" s="28"/>
    </row>
    <row r="106" spans="3:6" x14ac:dyDescent="0.2">
      <c r="C106" s="28"/>
      <c r="D106" s="28"/>
    </row>
    <row r="107" spans="3:6" x14ac:dyDescent="0.2">
      <c r="C107" s="28"/>
      <c r="D107" s="28"/>
    </row>
    <row r="108" spans="3:6" x14ac:dyDescent="0.2">
      <c r="C108" s="28"/>
      <c r="D108" s="28"/>
    </row>
    <row r="109" spans="3:6" x14ac:dyDescent="0.2">
      <c r="C109" s="28"/>
      <c r="D109" s="28"/>
    </row>
    <row r="110" spans="3:6" x14ac:dyDescent="0.2">
      <c r="C110" s="28"/>
      <c r="D110" s="28"/>
    </row>
    <row r="111" spans="3:6" x14ac:dyDescent="0.2">
      <c r="C111" s="28"/>
      <c r="D111" s="28"/>
    </row>
    <row r="112" spans="3:6" x14ac:dyDescent="0.2">
      <c r="C112" s="28"/>
      <c r="D112" s="28"/>
    </row>
  </sheetData>
  <hyperlinks>
    <hyperlink ref="K2" r:id="rId1" xr:uid="{1DAC0783-D604-8E41-B0CB-6B322DD2D5D3}"/>
    <hyperlink ref="K3" r:id="rId2" xr:uid="{74B584A4-9B93-0041-99DD-358E5CC56108}"/>
    <hyperlink ref="K4" r:id="rId3" xr:uid="{A04B57AD-5181-CC45-A3B9-CC9F809027F3}"/>
    <hyperlink ref="K5" r:id="rId4" xr:uid="{B73F79B6-8084-7547-A3B3-48181B92BDFB}"/>
    <hyperlink ref="K6" r:id="rId5" xr:uid="{51649ABE-F55F-7349-91DB-E0C7920FC0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23618-FE09-9F48-B0C2-B2A037F34B61}">
  <dimension ref="A1:AS75"/>
  <sheetViews>
    <sheetView tabSelected="1" workbookViewId="0">
      <selection activeCell="G14" sqref="G14"/>
    </sheetView>
  </sheetViews>
  <sheetFormatPr baseColWidth="10" defaultRowHeight="16" x14ac:dyDescent="0.2"/>
  <cols>
    <col min="1" max="1" width="3.1640625" style="17" bestFit="1" customWidth="1"/>
    <col min="2" max="2" width="23.33203125" style="17" bestFit="1" customWidth="1"/>
    <col min="3" max="3" width="9.83203125" style="17" customWidth="1"/>
    <col min="4" max="4" width="7.6640625" style="17" bestFit="1" customWidth="1"/>
    <col min="5" max="5" width="10.6640625" style="17" bestFit="1" customWidth="1"/>
    <col min="6" max="6" width="8.1640625" style="17" bestFit="1" customWidth="1"/>
    <col min="7" max="7" width="8.83203125" style="17" bestFit="1" customWidth="1"/>
    <col min="8" max="8" width="4.6640625" style="17" bestFit="1" customWidth="1"/>
    <col min="9" max="9" width="27.1640625" style="17" bestFit="1" customWidth="1"/>
    <col min="10" max="10" width="11.33203125" style="17" bestFit="1" customWidth="1"/>
    <col min="11" max="11" width="12.1640625" style="17" bestFit="1" customWidth="1"/>
    <col min="12" max="12" width="4.83203125" style="17" bestFit="1" customWidth="1"/>
    <col min="13" max="13" width="28.6640625" style="17" bestFit="1" customWidth="1"/>
    <col min="14" max="14" width="19.33203125" style="17" bestFit="1" customWidth="1"/>
    <col min="15" max="15" width="11" style="17" customWidth="1"/>
    <col min="16" max="16" width="13" style="17" customWidth="1"/>
    <col min="17" max="17" width="12.33203125" style="17" customWidth="1"/>
    <col min="18" max="18" width="11.6640625" style="17" customWidth="1"/>
    <col min="19" max="19" width="11.1640625" style="17" customWidth="1"/>
    <col min="20" max="21" width="5.1640625" style="17" bestFit="1" customWidth="1"/>
    <col min="22" max="22" width="18.1640625" style="17" bestFit="1" customWidth="1"/>
    <col min="23" max="23" width="27.33203125" style="17" bestFit="1" customWidth="1"/>
    <col min="24" max="24" width="9.83203125" style="17" bestFit="1" customWidth="1"/>
    <col min="25" max="25" width="3.5" style="17" bestFit="1" customWidth="1"/>
    <col min="26" max="26" width="7.83203125" style="17" bestFit="1" customWidth="1"/>
    <col min="27" max="28" width="6" style="17" bestFit="1" customWidth="1"/>
    <col min="29" max="29" width="8" style="17" bestFit="1" customWidth="1"/>
    <col min="30" max="30" width="5.1640625" style="17" bestFit="1" customWidth="1"/>
    <col min="31" max="31" width="4.6640625" style="17" bestFit="1" customWidth="1"/>
    <col min="32" max="32" width="6.1640625" style="17" bestFit="1" customWidth="1"/>
    <col min="33" max="33" width="7.83203125" style="17" bestFit="1" customWidth="1"/>
    <col min="34" max="35" width="5.33203125" style="17" bestFit="1" customWidth="1"/>
    <col min="36" max="36" width="7" style="17" bestFit="1" customWidth="1"/>
    <col min="37" max="38" width="6.33203125" style="17" bestFit="1" customWidth="1"/>
    <col min="39" max="39" width="5.83203125" style="17" bestFit="1" customWidth="1"/>
    <col min="40" max="40" width="4.6640625" style="17" bestFit="1" customWidth="1"/>
    <col min="41" max="16384" width="10.83203125" style="17"/>
  </cols>
  <sheetData>
    <row r="1" spans="1:45" x14ac:dyDescent="0.2">
      <c r="A1" s="33" t="s">
        <v>170</v>
      </c>
      <c r="B1" s="26" t="s">
        <v>78</v>
      </c>
      <c r="C1" s="26" t="s">
        <v>79</v>
      </c>
      <c r="D1" s="26" t="s">
        <v>80</v>
      </c>
      <c r="E1" s="26" t="s">
        <v>81</v>
      </c>
      <c r="F1" s="26" t="s">
        <v>82</v>
      </c>
      <c r="G1" s="26" t="s">
        <v>83</v>
      </c>
      <c r="H1" s="26" t="s">
        <v>84</v>
      </c>
      <c r="I1" s="26" t="s">
        <v>85</v>
      </c>
      <c r="J1" s="26" t="s">
        <v>171</v>
      </c>
      <c r="K1" s="26" t="s">
        <v>172</v>
      </c>
      <c r="L1" s="26" t="s">
        <v>173</v>
      </c>
      <c r="M1" s="26" t="s">
        <v>174</v>
      </c>
      <c r="N1" s="26" t="s">
        <v>175</v>
      </c>
      <c r="O1" s="26" t="s">
        <v>176</v>
      </c>
      <c r="P1" s="26">
        <v>2021</v>
      </c>
      <c r="Q1" s="26">
        <v>2122</v>
      </c>
      <c r="R1" s="26">
        <v>2223</v>
      </c>
      <c r="S1" s="26">
        <v>2324</v>
      </c>
      <c r="T1" s="26">
        <v>2425</v>
      </c>
      <c r="U1" s="26">
        <v>2526</v>
      </c>
      <c r="V1" s="26" t="s">
        <v>177</v>
      </c>
      <c r="W1" s="26" t="s">
        <v>178</v>
      </c>
      <c r="X1" s="26" t="s">
        <v>179</v>
      </c>
      <c r="Y1" s="26" t="s">
        <v>180</v>
      </c>
      <c r="Z1" s="26" t="s">
        <v>181</v>
      </c>
      <c r="AA1" s="26" t="s">
        <v>182</v>
      </c>
      <c r="AB1" s="26" t="s">
        <v>183</v>
      </c>
      <c r="AC1" s="26" t="s">
        <v>184</v>
      </c>
      <c r="AD1" s="26" t="s">
        <v>185</v>
      </c>
      <c r="AE1" s="26" t="s">
        <v>186</v>
      </c>
      <c r="AF1" s="26" t="s">
        <v>187</v>
      </c>
      <c r="AG1" s="26" t="s">
        <v>188</v>
      </c>
      <c r="AH1" s="26" t="s">
        <v>189</v>
      </c>
      <c r="AI1" s="26" t="s">
        <v>190</v>
      </c>
      <c r="AJ1" s="26" t="s">
        <v>191</v>
      </c>
      <c r="AK1" s="26" t="s">
        <v>192</v>
      </c>
      <c r="AL1" s="26" t="s">
        <v>193</v>
      </c>
      <c r="AM1" s="26" t="s">
        <v>194</v>
      </c>
      <c r="AN1" s="26" t="s">
        <v>195</v>
      </c>
      <c r="AO1" s="33"/>
      <c r="AP1" s="33"/>
      <c r="AQ1" s="3"/>
      <c r="AR1" s="3"/>
      <c r="AS1" s="3"/>
    </row>
    <row r="2" spans="1:45" x14ac:dyDescent="0.2">
      <c r="A2" s="7" t="s">
        <v>196</v>
      </c>
      <c r="B2" s="3" t="s">
        <v>197</v>
      </c>
      <c r="C2" s="3" t="s">
        <v>198</v>
      </c>
      <c r="D2" s="34">
        <v>63</v>
      </c>
      <c r="E2" s="34">
        <v>67</v>
      </c>
      <c r="F2" s="35">
        <v>195</v>
      </c>
      <c r="G2" s="36">
        <v>32304</v>
      </c>
      <c r="H2" s="6">
        <f ca="1">ROUNDDOWN(YEARFRAC($G$75,G2),1)</f>
        <v>32.299999999999997</v>
      </c>
      <c r="I2" s="3" t="s">
        <v>199</v>
      </c>
      <c r="J2" s="3">
        <v>12</v>
      </c>
      <c r="K2" s="7">
        <v>2009</v>
      </c>
      <c r="L2" s="37">
        <v>19</v>
      </c>
      <c r="M2" s="3" t="s">
        <v>200</v>
      </c>
      <c r="N2" s="3"/>
      <c r="O2" s="3" t="s">
        <v>27</v>
      </c>
      <c r="P2" s="38">
        <f>28500000</f>
        <v>28500000</v>
      </c>
      <c r="Q2" s="3"/>
      <c r="R2" s="3"/>
      <c r="S2" s="3"/>
      <c r="T2" s="3"/>
      <c r="U2" s="3"/>
      <c r="V2" s="3"/>
      <c r="W2" s="3" t="s">
        <v>201</v>
      </c>
      <c r="X2" s="7">
        <v>2</v>
      </c>
      <c r="Y2" s="7">
        <v>25</v>
      </c>
      <c r="Z2" s="11">
        <f>10/25</f>
        <v>0.4</v>
      </c>
      <c r="AA2" s="6">
        <v>108.2</v>
      </c>
      <c r="AB2" s="6">
        <v>117</v>
      </c>
      <c r="AC2" s="6">
        <f>AA2-AB2</f>
        <v>-8.7999999999999972</v>
      </c>
      <c r="AD2" s="6">
        <v>20.8</v>
      </c>
      <c r="AE2" s="6">
        <v>12.2</v>
      </c>
      <c r="AF2" s="3">
        <v>0.51200000000000001</v>
      </c>
      <c r="AG2" s="3">
        <v>18.3</v>
      </c>
      <c r="AH2" s="3">
        <v>0.2</v>
      </c>
      <c r="AI2" s="3">
        <v>0.2</v>
      </c>
      <c r="AJ2" s="11">
        <v>3.5000000000000003E-2</v>
      </c>
      <c r="AK2" s="6">
        <v>-1.6</v>
      </c>
      <c r="AL2" s="6">
        <v>-1.5</v>
      </c>
      <c r="AM2" s="6">
        <v>-0.2</v>
      </c>
      <c r="AN2" s="6">
        <v>8.4</v>
      </c>
    </row>
    <row r="3" spans="1:45" x14ac:dyDescent="0.2">
      <c r="A3" s="7">
        <v>95</v>
      </c>
      <c r="B3" s="3" t="s">
        <v>202</v>
      </c>
      <c r="C3" s="3" t="s">
        <v>198</v>
      </c>
      <c r="D3" s="34">
        <v>65</v>
      </c>
      <c r="E3" s="34">
        <v>70</v>
      </c>
      <c r="F3" s="35">
        <v>210</v>
      </c>
      <c r="G3" s="36">
        <v>34519</v>
      </c>
      <c r="H3" s="6">
        <f t="shared" ref="H3:H66" ca="1" si="0">ROUNDDOWN(YEARFRAC($G$75,G3),1)</f>
        <v>26.3</v>
      </c>
      <c r="I3" s="3" t="s">
        <v>203</v>
      </c>
      <c r="J3" s="3">
        <v>5</v>
      </c>
      <c r="K3" s="7">
        <v>2016</v>
      </c>
      <c r="L3" s="37">
        <v>21</v>
      </c>
      <c r="M3" s="3" t="s">
        <v>204</v>
      </c>
      <c r="N3" s="3"/>
      <c r="O3" s="3" t="s">
        <v>27</v>
      </c>
      <c r="P3" s="39">
        <f>7811946</f>
        <v>7811946</v>
      </c>
      <c r="Q3" s="3"/>
      <c r="R3" s="3"/>
      <c r="S3" s="3"/>
      <c r="T3" s="3"/>
      <c r="U3" s="3"/>
      <c r="V3" s="3"/>
      <c r="W3" s="3" t="s">
        <v>205</v>
      </c>
      <c r="X3" s="7">
        <v>2</v>
      </c>
      <c r="Y3" s="7">
        <v>43</v>
      </c>
      <c r="Z3" s="11">
        <f>10/43</f>
        <v>0.23255813953488372</v>
      </c>
      <c r="AA3" s="6">
        <v>98.9</v>
      </c>
      <c r="AB3" s="6">
        <v>110.6</v>
      </c>
      <c r="AC3" s="6">
        <f t="shared" ref="AC3:AC33" si="1">AA3-AB3</f>
        <v>-11.699999999999989</v>
      </c>
      <c r="AD3" s="6">
        <v>21.3</v>
      </c>
      <c r="AE3" s="6">
        <v>9.6</v>
      </c>
      <c r="AF3" s="3">
        <v>0.5</v>
      </c>
      <c r="AG3" s="3">
        <v>14</v>
      </c>
      <c r="AH3" s="3">
        <v>-0.5</v>
      </c>
      <c r="AI3" s="3">
        <v>0.7</v>
      </c>
      <c r="AJ3" s="11">
        <v>1.0999999999999999E-2</v>
      </c>
      <c r="AK3" s="6">
        <v>-3.5</v>
      </c>
      <c r="AL3" s="6">
        <v>1</v>
      </c>
      <c r="AM3" s="6">
        <v>-0.1</v>
      </c>
      <c r="AN3" s="6">
        <v>6.9</v>
      </c>
    </row>
    <row r="4" spans="1:45" x14ac:dyDescent="0.2">
      <c r="A4" s="7">
        <v>7</v>
      </c>
      <c r="B4" s="3" t="s">
        <v>206</v>
      </c>
      <c r="C4" s="3" t="s">
        <v>207</v>
      </c>
      <c r="D4" s="34">
        <v>610</v>
      </c>
      <c r="E4" s="34">
        <v>72</v>
      </c>
      <c r="F4" s="35">
        <v>235</v>
      </c>
      <c r="G4" s="36">
        <v>35142</v>
      </c>
      <c r="H4" s="6">
        <f t="shared" ca="1" si="0"/>
        <v>24.6</v>
      </c>
      <c r="I4" s="3" t="s">
        <v>208</v>
      </c>
      <c r="J4" s="3">
        <v>5</v>
      </c>
      <c r="K4" s="7">
        <v>2016</v>
      </c>
      <c r="L4" s="37">
        <v>28</v>
      </c>
      <c r="M4" s="3" t="s">
        <v>209</v>
      </c>
      <c r="N4" s="3"/>
      <c r="O4" s="3" t="s">
        <v>27</v>
      </c>
      <c r="P4" s="39">
        <f>7016541</f>
        <v>7016541</v>
      </c>
      <c r="Q4" s="3"/>
      <c r="R4" s="3"/>
      <c r="S4" s="3"/>
      <c r="T4" s="3"/>
      <c r="U4" s="3"/>
      <c r="V4" s="3"/>
      <c r="W4" s="3" t="s">
        <v>210</v>
      </c>
      <c r="X4" s="7">
        <v>5</v>
      </c>
      <c r="Y4" s="7">
        <v>33</v>
      </c>
      <c r="Z4" s="11">
        <f>14/33</f>
        <v>0.42424242424242425</v>
      </c>
      <c r="AA4" s="6">
        <v>107.8</v>
      </c>
      <c r="AB4" s="6">
        <v>106.5</v>
      </c>
      <c r="AC4" s="6">
        <f t="shared" si="1"/>
        <v>1.2999999999999972</v>
      </c>
      <c r="AD4" s="6">
        <v>17.2</v>
      </c>
      <c r="AE4" s="6">
        <v>15.4</v>
      </c>
      <c r="AF4" s="3">
        <v>0.58799999999999997</v>
      </c>
      <c r="AG4" s="3">
        <v>14.3</v>
      </c>
      <c r="AH4" s="3">
        <v>1</v>
      </c>
      <c r="AI4" s="3">
        <v>0.4</v>
      </c>
      <c r="AJ4" s="11">
        <v>0.122</v>
      </c>
      <c r="AK4" s="6">
        <v>-1.5</v>
      </c>
      <c r="AL4" s="6">
        <v>0.3</v>
      </c>
      <c r="AM4" s="6">
        <v>0.1</v>
      </c>
      <c r="AN4" s="6">
        <v>9.3000000000000007</v>
      </c>
    </row>
    <row r="5" spans="1:45" x14ac:dyDescent="0.2">
      <c r="A5" s="7">
        <v>30</v>
      </c>
      <c r="B5" s="3" t="s">
        <v>211</v>
      </c>
      <c r="C5" s="3" t="s">
        <v>207</v>
      </c>
      <c r="D5" s="34">
        <v>611</v>
      </c>
      <c r="E5" s="34">
        <v>74</v>
      </c>
      <c r="F5" s="35">
        <v>245</v>
      </c>
      <c r="G5" s="36">
        <v>34880</v>
      </c>
      <c r="H5" s="6">
        <f t="shared" ca="1" si="0"/>
        <v>25.3</v>
      </c>
      <c r="I5" s="3" t="s">
        <v>212</v>
      </c>
      <c r="J5" s="3">
        <v>5</v>
      </c>
      <c r="K5" s="7">
        <v>2016</v>
      </c>
      <c r="L5" s="37">
        <v>30</v>
      </c>
      <c r="M5" s="3" t="s">
        <v>213</v>
      </c>
      <c r="N5" s="3"/>
      <c r="O5" s="3" t="s">
        <v>27</v>
      </c>
      <c r="P5" s="39">
        <f>6915172</f>
        <v>6915172</v>
      </c>
      <c r="Q5" s="3"/>
      <c r="R5" s="3"/>
      <c r="S5" s="3"/>
      <c r="T5" s="3"/>
      <c r="U5" s="3"/>
      <c r="V5" s="3"/>
      <c r="W5" s="3" t="s">
        <v>214</v>
      </c>
      <c r="X5" s="7">
        <v>5</v>
      </c>
      <c r="Y5" s="7">
        <v>55</v>
      </c>
      <c r="Z5" s="11">
        <f>15/55</f>
        <v>0.27272727272727271</v>
      </c>
      <c r="AA5" s="6">
        <v>104.7</v>
      </c>
      <c r="AB5" s="6">
        <v>117.3</v>
      </c>
      <c r="AC5" s="6">
        <f t="shared" si="1"/>
        <v>-12.599999999999994</v>
      </c>
      <c r="AD5" s="6">
        <v>16.100000000000001</v>
      </c>
      <c r="AE5" s="6">
        <v>15.5</v>
      </c>
      <c r="AF5" s="3">
        <v>0.71199999999999997</v>
      </c>
      <c r="AG5" s="3">
        <v>11.4</v>
      </c>
      <c r="AH5" s="3">
        <v>2.2000000000000002</v>
      </c>
      <c r="AI5" s="3">
        <v>0.6</v>
      </c>
      <c r="AJ5" s="11">
        <v>0.152</v>
      </c>
      <c r="AK5" s="6">
        <v>-1.6</v>
      </c>
      <c r="AL5" s="6">
        <v>0.1</v>
      </c>
      <c r="AM5" s="6">
        <v>0.1</v>
      </c>
      <c r="AN5" s="6">
        <v>8</v>
      </c>
    </row>
    <row r="6" spans="1:45" x14ac:dyDescent="0.2">
      <c r="A6" s="7">
        <v>0</v>
      </c>
      <c r="B6" s="3" t="s">
        <v>215</v>
      </c>
      <c r="C6" s="3" t="s">
        <v>198</v>
      </c>
      <c r="D6" s="34">
        <v>60</v>
      </c>
      <c r="E6" s="34"/>
      <c r="F6" s="35">
        <v>180</v>
      </c>
      <c r="G6" s="36">
        <v>34974</v>
      </c>
      <c r="H6" s="6">
        <f t="shared" ca="1" si="0"/>
        <v>25</v>
      </c>
      <c r="I6" s="3" t="s">
        <v>216</v>
      </c>
      <c r="J6" s="3">
        <v>3</v>
      </c>
      <c r="K6" s="7">
        <v>2018</v>
      </c>
      <c r="L6" s="37"/>
      <c r="M6" s="3" t="s">
        <v>217</v>
      </c>
      <c r="N6" s="3"/>
      <c r="O6" s="3" t="s">
        <v>27</v>
      </c>
      <c r="P6" s="40">
        <v>1701593</v>
      </c>
      <c r="Q6" s="39">
        <v>2126991</v>
      </c>
      <c r="R6" s="3"/>
      <c r="S6" s="3"/>
      <c r="T6" s="3"/>
      <c r="U6" s="3"/>
      <c r="V6" s="3"/>
      <c r="W6" s="41" t="s">
        <v>218</v>
      </c>
      <c r="X6" s="7">
        <v>1</v>
      </c>
      <c r="Y6" s="7">
        <v>34</v>
      </c>
      <c r="Z6" s="11">
        <f>13/34</f>
        <v>0.38235294117647056</v>
      </c>
      <c r="AA6" s="6">
        <v>94.5</v>
      </c>
      <c r="AB6" s="6">
        <v>108.2</v>
      </c>
      <c r="AC6" s="6">
        <f t="shared" si="1"/>
        <v>-13.700000000000003</v>
      </c>
      <c r="AD6" s="6">
        <v>12.7</v>
      </c>
      <c r="AE6" s="6">
        <v>11.7</v>
      </c>
      <c r="AF6" s="3">
        <v>0.50700000000000001</v>
      </c>
      <c r="AG6" s="3">
        <v>22.4</v>
      </c>
      <c r="AH6" s="3">
        <v>-0.1</v>
      </c>
      <c r="AI6" s="3">
        <v>0.2</v>
      </c>
      <c r="AJ6" s="11">
        <v>1.2999999999999999E-2</v>
      </c>
      <c r="AK6" s="6">
        <v>-1.5</v>
      </c>
      <c r="AL6" s="6">
        <v>-1.3</v>
      </c>
      <c r="AM6" s="6">
        <v>-0.1</v>
      </c>
      <c r="AN6" s="6">
        <v>9.4</v>
      </c>
      <c r="AO6" s="3"/>
      <c r="AP6" s="3"/>
      <c r="AQ6" s="3"/>
      <c r="AR6" s="3"/>
      <c r="AS6" s="3"/>
    </row>
    <row r="7" spans="1:45" x14ac:dyDescent="0.2">
      <c r="A7" s="7">
        <v>2</v>
      </c>
      <c r="B7" s="3" t="s">
        <v>219</v>
      </c>
      <c r="C7" s="3" t="s">
        <v>220</v>
      </c>
      <c r="D7" s="34">
        <v>65</v>
      </c>
      <c r="E7" s="34">
        <v>611</v>
      </c>
      <c r="F7" s="35">
        <v>219</v>
      </c>
      <c r="G7" s="36">
        <v>34270</v>
      </c>
      <c r="H7" s="6">
        <f t="shared" ca="1" si="0"/>
        <v>26.9</v>
      </c>
      <c r="I7" s="3" t="s">
        <v>221</v>
      </c>
      <c r="J7" s="3">
        <v>5</v>
      </c>
      <c r="K7" s="7">
        <v>2015</v>
      </c>
      <c r="L7" s="37"/>
      <c r="M7" s="3" t="s">
        <v>200</v>
      </c>
      <c r="N7" s="3"/>
      <c r="O7" s="3" t="s">
        <v>27</v>
      </c>
      <c r="P7" s="38">
        <v>1707576</v>
      </c>
      <c r="Q7" s="3"/>
      <c r="R7" s="3"/>
      <c r="S7" s="3"/>
      <c r="T7" s="3"/>
      <c r="U7" s="3"/>
      <c r="V7" s="3"/>
      <c r="W7" s="3" t="s">
        <v>222</v>
      </c>
      <c r="X7" s="7">
        <v>2</v>
      </c>
      <c r="Y7" s="7">
        <v>22</v>
      </c>
      <c r="Z7" s="11">
        <f>9/22</f>
        <v>0.40909090909090912</v>
      </c>
      <c r="AA7" s="6">
        <v>108.2</v>
      </c>
      <c r="AB7" s="6">
        <v>113.3</v>
      </c>
      <c r="AC7" s="6">
        <f t="shared" si="1"/>
        <v>-5.0999999999999943</v>
      </c>
      <c r="AD7" s="6">
        <v>12.1</v>
      </c>
      <c r="AE7" s="6">
        <v>8</v>
      </c>
      <c r="AF7" s="3">
        <v>0.47799999999999998</v>
      </c>
      <c r="AG7" s="3">
        <v>13.3</v>
      </c>
      <c r="AH7" s="3">
        <v>0</v>
      </c>
      <c r="AI7" s="3">
        <v>0.1</v>
      </c>
      <c r="AJ7" s="11">
        <v>2.1999999999999999E-2</v>
      </c>
      <c r="AK7" s="6">
        <v>-3.2</v>
      </c>
      <c r="AL7" s="6">
        <v>-1.7</v>
      </c>
      <c r="AM7" s="6">
        <v>-0.2</v>
      </c>
      <c r="AN7" s="6">
        <v>3.5</v>
      </c>
    </row>
    <row r="8" spans="1:45" x14ac:dyDescent="0.2">
      <c r="A8" s="7">
        <v>4</v>
      </c>
      <c r="B8" s="3" t="s">
        <v>223</v>
      </c>
      <c r="C8" s="3" t="s">
        <v>224</v>
      </c>
      <c r="D8" s="34">
        <v>66</v>
      </c>
      <c r="E8" s="34">
        <v>67</v>
      </c>
      <c r="F8" s="35">
        <v>199</v>
      </c>
      <c r="G8" s="36">
        <v>35463</v>
      </c>
      <c r="H8" s="6">
        <f t="shared" ca="1" si="0"/>
        <v>23.7</v>
      </c>
      <c r="I8" s="3" t="s">
        <v>225</v>
      </c>
      <c r="J8" s="3">
        <v>2</v>
      </c>
      <c r="K8" s="7">
        <v>2019</v>
      </c>
      <c r="L8" s="7"/>
      <c r="M8" s="3" t="s">
        <v>226</v>
      </c>
      <c r="N8" s="3"/>
      <c r="O8" s="3" t="s">
        <v>27</v>
      </c>
      <c r="P8" s="42">
        <v>1445697</v>
      </c>
      <c r="Q8" s="3"/>
      <c r="R8" s="3"/>
      <c r="S8" s="3"/>
      <c r="T8" s="3"/>
      <c r="U8" s="3"/>
      <c r="V8" s="3"/>
      <c r="W8" s="3" t="s">
        <v>227</v>
      </c>
      <c r="X8" s="7">
        <v>2</v>
      </c>
      <c r="Y8" s="7">
        <v>10</v>
      </c>
      <c r="Z8" s="11">
        <f>1/10</f>
        <v>0.1</v>
      </c>
      <c r="AA8" s="6">
        <v>106.9</v>
      </c>
      <c r="AB8" s="6">
        <v>73</v>
      </c>
      <c r="AC8" s="6">
        <f t="shared" si="1"/>
        <v>33.900000000000006</v>
      </c>
      <c r="AD8" s="6">
        <v>4</v>
      </c>
      <c r="AE8" s="6">
        <v>11.1</v>
      </c>
      <c r="AF8" s="3">
        <v>0.47199999999999998</v>
      </c>
      <c r="AG8" s="3">
        <v>25.1</v>
      </c>
      <c r="AH8" s="3">
        <v>0</v>
      </c>
      <c r="AI8" s="3">
        <v>0</v>
      </c>
      <c r="AJ8" s="11">
        <v>-2.8000000000000001E-2</v>
      </c>
      <c r="AK8" s="6">
        <v>-1.1000000000000001</v>
      </c>
      <c r="AL8" s="6">
        <v>-1.4</v>
      </c>
      <c r="AM8" s="6">
        <v>0</v>
      </c>
      <c r="AN8" s="6">
        <v>7.8</v>
      </c>
    </row>
    <row r="9" spans="1:45" x14ac:dyDescent="0.2">
      <c r="A9" s="7">
        <v>20</v>
      </c>
      <c r="B9" s="43" t="s">
        <v>228</v>
      </c>
      <c r="C9" s="3" t="s">
        <v>220</v>
      </c>
      <c r="D9" s="34">
        <v>67</v>
      </c>
      <c r="E9" s="34">
        <v>68</v>
      </c>
      <c r="F9" s="35">
        <v>225</v>
      </c>
      <c r="G9" s="36">
        <v>32955</v>
      </c>
      <c r="H9" s="6">
        <f t="shared" ca="1" si="0"/>
        <v>30.5</v>
      </c>
      <c r="I9" s="3" t="s">
        <v>229</v>
      </c>
      <c r="J9" s="3">
        <v>11</v>
      </c>
      <c r="K9" s="7">
        <v>2010</v>
      </c>
      <c r="L9" s="37">
        <v>9</v>
      </c>
      <c r="M9" s="3" t="s">
        <v>230</v>
      </c>
      <c r="N9" s="3"/>
      <c r="O9" s="3" t="s">
        <v>29</v>
      </c>
      <c r="P9" s="44">
        <v>34187085</v>
      </c>
      <c r="Q9" s="38">
        <v>43365000</v>
      </c>
      <c r="R9" s="3"/>
      <c r="S9" s="3"/>
      <c r="T9" s="3"/>
      <c r="U9" s="3"/>
      <c r="V9" s="3" t="s">
        <v>231</v>
      </c>
      <c r="W9" s="3" t="s">
        <v>232</v>
      </c>
      <c r="X9" s="7">
        <v>3</v>
      </c>
      <c r="Y9" s="7">
        <v>45</v>
      </c>
      <c r="Z9" s="11">
        <f>29/45</f>
        <v>0.64444444444444449</v>
      </c>
      <c r="AA9" s="6">
        <v>113</v>
      </c>
      <c r="AB9" s="6">
        <v>104.9</v>
      </c>
      <c r="AC9" s="6">
        <f t="shared" si="1"/>
        <v>8.0999999999999943</v>
      </c>
      <c r="AD9" s="6">
        <v>33.4</v>
      </c>
      <c r="AE9" s="6">
        <v>18.2</v>
      </c>
      <c r="AF9" s="11">
        <v>0.59299999999999997</v>
      </c>
      <c r="AG9" s="6">
        <v>20.9</v>
      </c>
      <c r="AH9" s="6">
        <v>3.1</v>
      </c>
      <c r="AI9" s="6">
        <v>1.9</v>
      </c>
      <c r="AJ9" s="11">
        <v>0.16</v>
      </c>
      <c r="AK9" s="6">
        <v>2.6</v>
      </c>
      <c r="AL9" s="6">
        <v>0.3</v>
      </c>
      <c r="AM9" s="6">
        <v>1.8</v>
      </c>
      <c r="AN9" s="6">
        <v>13.3</v>
      </c>
      <c r="AO9" s="3"/>
    </row>
    <row r="10" spans="1:45" x14ac:dyDescent="0.2">
      <c r="A10" s="7">
        <v>11</v>
      </c>
      <c r="B10" s="43" t="s">
        <v>233</v>
      </c>
      <c r="C10" s="3" t="s">
        <v>207</v>
      </c>
      <c r="D10" s="34">
        <v>610</v>
      </c>
      <c r="E10" s="34">
        <v>71</v>
      </c>
      <c r="F10" s="35">
        <v>250</v>
      </c>
      <c r="G10" s="36">
        <v>33744</v>
      </c>
      <c r="H10" s="6">
        <f t="shared" ca="1" si="0"/>
        <v>28.4</v>
      </c>
      <c r="I10" s="3" t="s">
        <v>208</v>
      </c>
      <c r="J10" s="3">
        <v>10</v>
      </c>
      <c r="K10" s="7">
        <v>2011</v>
      </c>
      <c r="L10" s="37">
        <v>3</v>
      </c>
      <c r="M10" s="3" t="s">
        <v>234</v>
      </c>
      <c r="N10" s="3"/>
      <c r="O10" s="3" t="s">
        <v>29</v>
      </c>
      <c r="P10" s="44">
        <v>5005350</v>
      </c>
      <c r="Q10" s="38">
        <f>P10*1.3</f>
        <v>6506955</v>
      </c>
      <c r="R10" s="3"/>
      <c r="S10" s="3"/>
      <c r="T10" s="3"/>
      <c r="U10" s="3"/>
      <c r="V10" s="3"/>
      <c r="W10" s="41" t="s">
        <v>235</v>
      </c>
      <c r="X10" s="7">
        <v>5</v>
      </c>
      <c r="Y10" s="7">
        <v>51</v>
      </c>
      <c r="Z10" s="11">
        <f>32/51</f>
        <v>0.62745098039215685</v>
      </c>
      <c r="AA10" s="6">
        <v>112</v>
      </c>
      <c r="AB10" s="6">
        <v>103.7</v>
      </c>
      <c r="AC10" s="6">
        <f t="shared" si="1"/>
        <v>8.2999999999999972</v>
      </c>
      <c r="AD10" s="6">
        <v>17.5</v>
      </c>
      <c r="AE10" s="6">
        <v>22</v>
      </c>
      <c r="AF10" s="11">
        <v>0.59399999999999997</v>
      </c>
      <c r="AG10" s="6">
        <v>19.3</v>
      </c>
      <c r="AH10" s="6">
        <v>2.1</v>
      </c>
      <c r="AI10" s="6">
        <v>1.7</v>
      </c>
      <c r="AJ10" s="11">
        <v>0.20699999999999999</v>
      </c>
      <c r="AK10" s="6">
        <v>1.6</v>
      </c>
      <c r="AL10" s="6">
        <v>-0.1</v>
      </c>
      <c r="AM10" s="6">
        <v>0.8</v>
      </c>
      <c r="AN10" s="6">
        <v>15.5</v>
      </c>
      <c r="AO10" s="3"/>
      <c r="AP10" s="3"/>
      <c r="AQ10" s="3"/>
      <c r="AR10" s="3"/>
    </row>
    <row r="11" spans="1:45" x14ac:dyDescent="0.2">
      <c r="A11" s="7">
        <v>27</v>
      </c>
      <c r="B11" s="43" t="s">
        <v>236</v>
      </c>
      <c r="C11" s="3" t="s">
        <v>207</v>
      </c>
      <c r="D11" s="34">
        <v>68</v>
      </c>
      <c r="E11" s="34">
        <v>611</v>
      </c>
      <c r="F11" s="35">
        <v>245</v>
      </c>
      <c r="G11" s="36">
        <v>33698</v>
      </c>
      <c r="H11" s="6">
        <f t="shared" ca="1" si="0"/>
        <v>28.5</v>
      </c>
      <c r="I11" s="3" t="s">
        <v>237</v>
      </c>
      <c r="J11" s="3">
        <v>4</v>
      </c>
      <c r="K11" s="7">
        <v>2013</v>
      </c>
      <c r="L11" s="37"/>
      <c r="M11" s="3" t="s">
        <v>238</v>
      </c>
      <c r="N11" s="3"/>
      <c r="O11" s="3" t="s">
        <v>29</v>
      </c>
      <c r="P11" s="40">
        <v>5000000</v>
      </c>
      <c r="Q11" s="38">
        <f>P11*1.9</f>
        <v>9500000</v>
      </c>
      <c r="R11" s="3"/>
      <c r="S11" s="3"/>
      <c r="T11" s="3"/>
      <c r="U11" s="3"/>
      <c r="V11" s="3"/>
      <c r="W11" s="41" t="s">
        <v>235</v>
      </c>
      <c r="X11" s="7">
        <v>5</v>
      </c>
      <c r="Y11" s="7">
        <v>58</v>
      </c>
      <c r="Z11" s="11">
        <f>37/58</f>
        <v>0.63793103448275867</v>
      </c>
      <c r="AA11" s="6">
        <v>111.8</v>
      </c>
      <c r="AB11" s="6">
        <v>104.1</v>
      </c>
      <c r="AC11" s="6">
        <f t="shared" si="1"/>
        <v>7.7000000000000028</v>
      </c>
      <c r="AD11" s="6">
        <v>23.8</v>
      </c>
      <c r="AE11" s="6">
        <v>18.2</v>
      </c>
      <c r="AF11" s="11">
        <v>0.629</v>
      </c>
      <c r="AG11" s="6">
        <v>14.7</v>
      </c>
      <c r="AH11" s="6">
        <v>3.6</v>
      </c>
      <c r="AI11" s="6">
        <v>2.2999999999999998</v>
      </c>
      <c r="AJ11" s="11">
        <v>0.20499999999999999</v>
      </c>
      <c r="AK11" s="6">
        <v>0.4</v>
      </c>
      <c r="AL11" s="6">
        <v>1.8</v>
      </c>
      <c r="AM11" s="6">
        <v>1.5</v>
      </c>
      <c r="AN11" s="6">
        <v>10.7</v>
      </c>
      <c r="AO11" s="3"/>
      <c r="AP11" s="3"/>
      <c r="AQ11" s="3"/>
      <c r="AR11" s="3"/>
    </row>
    <row r="12" spans="1:45" x14ac:dyDescent="0.2">
      <c r="A12" s="7">
        <v>9</v>
      </c>
      <c r="B12" s="3" t="s">
        <v>239</v>
      </c>
      <c r="C12" s="3" t="s">
        <v>198</v>
      </c>
      <c r="D12" s="34">
        <v>63</v>
      </c>
      <c r="E12" s="34">
        <v>68</v>
      </c>
      <c r="F12" s="35">
        <v>210</v>
      </c>
      <c r="G12" s="36">
        <v>32714</v>
      </c>
      <c r="H12" s="6">
        <f t="shared" ca="1" si="0"/>
        <v>31.2</v>
      </c>
      <c r="I12" s="3" t="s">
        <v>240</v>
      </c>
      <c r="J12" s="3">
        <v>3</v>
      </c>
      <c r="K12" s="7">
        <v>2011</v>
      </c>
      <c r="L12" s="37"/>
      <c r="M12" s="3" t="s">
        <v>241</v>
      </c>
      <c r="N12" s="3"/>
      <c r="O12" s="3" t="s">
        <v>29</v>
      </c>
      <c r="P12" s="45">
        <v>1907576</v>
      </c>
      <c r="Q12" s="3"/>
      <c r="R12" s="3"/>
      <c r="S12" s="3"/>
      <c r="T12" s="46"/>
      <c r="U12" s="3"/>
      <c r="V12" s="3"/>
      <c r="W12" s="3" t="s">
        <v>242</v>
      </c>
      <c r="X12" s="7">
        <v>1</v>
      </c>
      <c r="Y12" s="7">
        <v>63</v>
      </c>
      <c r="Z12" s="11">
        <f>43/63</f>
        <v>0.68253968253968256</v>
      </c>
      <c r="AA12" s="6">
        <v>107.7</v>
      </c>
      <c r="AB12" s="6">
        <v>104.8</v>
      </c>
      <c r="AC12" s="6">
        <f t="shared" si="1"/>
        <v>2.9000000000000057</v>
      </c>
      <c r="AD12" s="6">
        <v>19.3</v>
      </c>
      <c r="AE12" s="6">
        <v>11.8</v>
      </c>
      <c r="AF12" s="11">
        <v>0.56000000000000005</v>
      </c>
      <c r="AG12" s="6">
        <v>15.4</v>
      </c>
      <c r="AH12" s="6">
        <v>1.2</v>
      </c>
      <c r="AI12" s="6">
        <v>1.5</v>
      </c>
      <c r="AJ12" s="11">
        <v>0.108</v>
      </c>
      <c r="AK12" s="6">
        <v>-2.5</v>
      </c>
      <c r="AL12" s="6">
        <v>1.2</v>
      </c>
      <c r="AM12" s="6">
        <v>0.2</v>
      </c>
      <c r="AN12" s="6">
        <v>8.1</v>
      </c>
    </row>
    <row r="13" spans="1:45" x14ac:dyDescent="0.2">
      <c r="A13" s="7">
        <v>37</v>
      </c>
      <c r="B13" s="43" t="s">
        <v>243</v>
      </c>
      <c r="C13" s="3" t="s">
        <v>207</v>
      </c>
      <c r="D13" s="34">
        <v>66</v>
      </c>
      <c r="E13" s="34">
        <v>610</v>
      </c>
      <c r="F13" s="35">
        <v>240</v>
      </c>
      <c r="G13" s="36">
        <v>34673</v>
      </c>
      <c r="H13" s="6">
        <f t="shared" ca="1" si="0"/>
        <v>25.8</v>
      </c>
      <c r="I13" s="3" t="s">
        <v>244</v>
      </c>
      <c r="J13" s="3">
        <v>4</v>
      </c>
      <c r="K13" s="7">
        <v>2017</v>
      </c>
      <c r="L13" s="37">
        <v>37</v>
      </c>
      <c r="M13" s="3" t="s">
        <v>245</v>
      </c>
      <c r="N13" s="3"/>
      <c r="O13" s="3" t="s">
        <v>29</v>
      </c>
      <c r="P13" s="47">
        <v>1752950</v>
      </c>
      <c r="Q13" s="48">
        <v>1856061</v>
      </c>
      <c r="R13" s="3"/>
      <c r="S13" s="3"/>
      <c r="T13" s="3"/>
      <c r="U13" s="3"/>
      <c r="V13" s="3"/>
      <c r="W13" s="3" t="s">
        <v>246</v>
      </c>
      <c r="X13" s="7">
        <v>3</v>
      </c>
      <c r="Y13" s="7">
        <v>61</v>
      </c>
      <c r="Z13" s="11">
        <f>41/61</f>
        <v>0.67213114754098358</v>
      </c>
      <c r="AA13" s="6">
        <v>104.1</v>
      </c>
      <c r="AB13" s="6">
        <v>104.5</v>
      </c>
      <c r="AC13" s="6">
        <f t="shared" si="1"/>
        <v>-0.40000000000000568</v>
      </c>
      <c r="AD13" s="6">
        <v>14.6</v>
      </c>
      <c r="AE13" s="6">
        <v>7.6</v>
      </c>
      <c r="AF13" s="11">
        <v>0.55700000000000005</v>
      </c>
      <c r="AG13" s="6">
        <v>8.8000000000000007</v>
      </c>
      <c r="AH13" s="6">
        <v>0.8</v>
      </c>
      <c r="AI13" s="6">
        <v>0.9</v>
      </c>
      <c r="AJ13" s="11">
        <v>9.0999999999999998E-2</v>
      </c>
      <c r="AK13" s="6">
        <v>-2.1</v>
      </c>
      <c r="AL13" s="6">
        <v>0.5</v>
      </c>
      <c r="AM13" s="6">
        <v>0.1</v>
      </c>
      <c r="AN13" s="6">
        <v>5.7</v>
      </c>
      <c r="AO13" s="3"/>
      <c r="AP13" s="3"/>
    </row>
    <row r="14" spans="1:45" x14ac:dyDescent="0.2">
      <c r="A14" s="7">
        <v>43</v>
      </c>
      <c r="B14" s="3" t="s">
        <v>247</v>
      </c>
      <c r="C14" s="3" t="s">
        <v>224</v>
      </c>
      <c r="D14" s="34">
        <v>64</v>
      </c>
      <c r="E14" s="34"/>
      <c r="F14" s="35">
        <v>205</v>
      </c>
      <c r="G14" s="36">
        <v>34173</v>
      </c>
      <c r="H14" s="6">
        <f t="shared" ca="1" si="0"/>
        <v>27.2</v>
      </c>
      <c r="I14" s="3" t="s">
        <v>129</v>
      </c>
      <c r="J14" s="3">
        <v>2</v>
      </c>
      <c r="K14" s="7">
        <v>2015</v>
      </c>
      <c r="L14" s="37"/>
      <c r="M14" s="3" t="s">
        <v>248</v>
      </c>
      <c r="N14" s="3"/>
      <c r="O14" s="3" t="s">
        <v>29</v>
      </c>
      <c r="P14" s="40">
        <v>1517981</v>
      </c>
      <c r="Q14" s="39">
        <v>2056061</v>
      </c>
      <c r="R14" s="3"/>
      <c r="S14" s="3"/>
      <c r="T14" s="46"/>
      <c r="U14" s="3"/>
      <c r="V14" s="3"/>
      <c r="W14" s="3" t="s">
        <v>249</v>
      </c>
      <c r="X14" s="7">
        <v>3</v>
      </c>
      <c r="Y14" s="7">
        <v>44</v>
      </c>
      <c r="Z14" s="11">
        <f>30/44</f>
        <v>0.68181818181818177</v>
      </c>
      <c r="AA14" s="6">
        <v>105.1</v>
      </c>
      <c r="AB14" s="6">
        <v>105.1</v>
      </c>
      <c r="AC14" s="6">
        <f t="shared" si="1"/>
        <v>0</v>
      </c>
      <c r="AD14" s="6">
        <v>9.4</v>
      </c>
      <c r="AE14" s="6">
        <v>12.3</v>
      </c>
      <c r="AF14" s="11">
        <v>0.55800000000000005</v>
      </c>
      <c r="AG14" s="6">
        <v>13.6</v>
      </c>
      <c r="AH14" s="6">
        <v>0.3</v>
      </c>
      <c r="AI14" s="6">
        <v>0.7</v>
      </c>
      <c r="AJ14" s="11">
        <v>0.112</v>
      </c>
      <c r="AK14" s="6">
        <v>-2.4</v>
      </c>
      <c r="AL14" s="6">
        <v>1.8</v>
      </c>
      <c r="AM14" s="6">
        <v>0.1</v>
      </c>
      <c r="AN14" s="6">
        <v>8.3000000000000007</v>
      </c>
      <c r="AO14" s="3"/>
      <c r="AP14" s="3"/>
      <c r="AQ14" s="3"/>
    </row>
    <row r="15" spans="1:45" x14ac:dyDescent="0.2">
      <c r="A15" s="7">
        <v>51</v>
      </c>
      <c r="B15" s="3" t="s">
        <v>250</v>
      </c>
      <c r="C15" s="3" t="s">
        <v>251</v>
      </c>
      <c r="D15" s="34">
        <v>510</v>
      </c>
      <c r="E15" s="34">
        <v>62</v>
      </c>
      <c r="F15" s="35">
        <v>175</v>
      </c>
      <c r="G15" s="36">
        <v>35805</v>
      </c>
      <c r="H15" s="6">
        <f t="shared" ca="1" si="0"/>
        <v>22.7</v>
      </c>
      <c r="I15" s="3" t="s">
        <v>252</v>
      </c>
      <c r="J15" s="3">
        <v>2</v>
      </c>
      <c r="K15" s="7">
        <v>2019</v>
      </c>
      <c r="L15" s="7">
        <v>51</v>
      </c>
      <c r="M15" s="3" t="s">
        <v>253</v>
      </c>
      <c r="N15" s="3"/>
      <c r="O15" s="3" t="s">
        <v>29</v>
      </c>
      <c r="P15" s="42">
        <v>1445697</v>
      </c>
      <c r="Q15" s="3"/>
      <c r="R15" s="3"/>
      <c r="S15" s="3"/>
      <c r="T15" s="3"/>
      <c r="U15" s="3"/>
      <c r="V15" s="3"/>
      <c r="W15" s="41" t="s">
        <v>218</v>
      </c>
      <c r="X15" s="7">
        <v>1</v>
      </c>
      <c r="Y15" s="7">
        <v>10</v>
      </c>
      <c r="Z15" s="11">
        <f>8/10</f>
        <v>0.8</v>
      </c>
      <c r="AA15" s="6">
        <v>114.3</v>
      </c>
      <c r="AB15" s="6">
        <v>99.5</v>
      </c>
      <c r="AC15" s="6">
        <f t="shared" si="1"/>
        <v>14.799999999999997</v>
      </c>
      <c r="AD15" s="6">
        <v>8.9</v>
      </c>
      <c r="AE15" s="6">
        <v>6.5</v>
      </c>
      <c r="AF15" s="11">
        <v>0.438</v>
      </c>
      <c r="AG15" s="6">
        <v>22.9</v>
      </c>
      <c r="AH15" s="6">
        <v>-0.2</v>
      </c>
      <c r="AI15" s="6">
        <v>0.1</v>
      </c>
      <c r="AJ15" s="11">
        <v>-4.4999999999999998E-2</v>
      </c>
      <c r="AK15" s="6">
        <v>-6.6</v>
      </c>
      <c r="AL15" s="6">
        <v>0.1</v>
      </c>
      <c r="AM15" s="6">
        <v>-0.1</v>
      </c>
      <c r="AN15" s="6">
        <v>4.7</v>
      </c>
    </row>
    <row r="16" spans="1:45" x14ac:dyDescent="0.2">
      <c r="A16" s="7">
        <v>99</v>
      </c>
      <c r="B16" s="3" t="s">
        <v>254</v>
      </c>
      <c r="C16" s="3" t="s">
        <v>207</v>
      </c>
      <c r="D16" s="34">
        <v>75</v>
      </c>
      <c r="E16" s="34">
        <v>84</v>
      </c>
      <c r="F16" s="35">
        <v>311</v>
      </c>
      <c r="G16" s="36">
        <v>35043</v>
      </c>
      <c r="H16" s="6">
        <f t="shared" ca="1" si="0"/>
        <v>24.8</v>
      </c>
      <c r="I16" s="3" t="s">
        <v>255</v>
      </c>
      <c r="J16" s="3">
        <v>2</v>
      </c>
      <c r="K16" s="7">
        <v>2019</v>
      </c>
      <c r="L16" s="7"/>
      <c r="M16" s="3" t="s">
        <v>248</v>
      </c>
      <c r="N16" s="3"/>
      <c r="O16" s="3" t="s">
        <v>29</v>
      </c>
      <c r="P16" s="42">
        <v>1445697</v>
      </c>
      <c r="Q16" s="3"/>
      <c r="R16" s="3"/>
      <c r="S16" s="3"/>
      <c r="T16" s="3"/>
      <c r="U16" s="3"/>
      <c r="V16" s="3"/>
      <c r="W16" s="41" t="s">
        <v>235</v>
      </c>
      <c r="X16" s="7">
        <v>5</v>
      </c>
      <c r="Y16" s="7">
        <v>6</v>
      </c>
      <c r="Z16" s="11">
        <f>5/6</f>
        <v>0.83333333333333337</v>
      </c>
      <c r="AA16" s="6">
        <v>103.6</v>
      </c>
      <c r="AB16" s="6">
        <v>90.9</v>
      </c>
      <c r="AC16" s="6">
        <f t="shared" si="1"/>
        <v>12.699999999999989</v>
      </c>
      <c r="AD16" s="6">
        <v>4</v>
      </c>
      <c r="AE16" s="6">
        <v>23.9</v>
      </c>
      <c r="AF16" s="11">
        <v>0.71299999999999997</v>
      </c>
      <c r="AG16" s="6">
        <v>29</v>
      </c>
      <c r="AH16" s="6">
        <v>0</v>
      </c>
      <c r="AI16" s="6">
        <v>0.1</v>
      </c>
      <c r="AJ16" s="11">
        <v>0.10199999999999999</v>
      </c>
      <c r="AK16" s="6">
        <v>-2</v>
      </c>
      <c r="AL16" s="6">
        <v>3.1</v>
      </c>
      <c r="AM16" s="6">
        <v>0</v>
      </c>
      <c r="AN16" s="6">
        <v>20</v>
      </c>
    </row>
    <row r="17" spans="1:41" x14ac:dyDescent="0.2">
      <c r="A17" s="3">
        <v>12</v>
      </c>
      <c r="B17" s="3" t="s">
        <v>256</v>
      </c>
      <c r="C17" s="3" t="s">
        <v>224</v>
      </c>
      <c r="D17" s="34">
        <v>66</v>
      </c>
      <c r="E17" s="34">
        <v>66</v>
      </c>
      <c r="F17" s="35">
        <v>220</v>
      </c>
      <c r="G17" s="36">
        <v>33487</v>
      </c>
      <c r="H17" s="6">
        <f t="shared" ca="1" si="0"/>
        <v>29.1</v>
      </c>
      <c r="I17" s="3" t="s">
        <v>257</v>
      </c>
      <c r="J17" s="3">
        <v>7</v>
      </c>
      <c r="K17" s="7">
        <v>2014</v>
      </c>
      <c r="L17" s="7">
        <v>33</v>
      </c>
      <c r="M17" s="3" t="s">
        <v>258</v>
      </c>
      <c r="N17" s="3"/>
      <c r="O17" s="3" t="s">
        <v>31</v>
      </c>
      <c r="P17" s="49">
        <v>14566667</v>
      </c>
      <c r="Q17" s="50"/>
      <c r="R17" s="50"/>
      <c r="S17" s="50"/>
      <c r="T17" s="50"/>
      <c r="U17" s="3"/>
      <c r="V17" s="3"/>
      <c r="W17" s="3" t="s">
        <v>259</v>
      </c>
      <c r="X17" s="7">
        <v>3</v>
      </c>
      <c r="Y17" s="7">
        <v>63</v>
      </c>
      <c r="Z17" s="11">
        <f>30/63</f>
        <v>0.47619047619047616</v>
      </c>
      <c r="AA17" s="6">
        <v>109.9</v>
      </c>
      <c r="AB17" s="6">
        <v>108.3</v>
      </c>
      <c r="AC17" s="6">
        <f t="shared" si="1"/>
        <v>1.6000000000000085</v>
      </c>
      <c r="AD17" s="6">
        <v>30.9</v>
      </c>
      <c r="AE17" s="6">
        <v>12.7</v>
      </c>
      <c r="AF17" s="11">
        <v>0.59199999999999997</v>
      </c>
      <c r="AG17" s="6">
        <v>17.899999999999999</v>
      </c>
      <c r="AH17" s="6">
        <v>2.1</v>
      </c>
      <c r="AI17" s="6">
        <v>1.7</v>
      </c>
      <c r="AJ17" s="11">
        <v>9.4E-2</v>
      </c>
      <c r="AK17" s="6">
        <v>0</v>
      </c>
      <c r="AL17" s="6">
        <v>-0.5</v>
      </c>
      <c r="AM17" s="6">
        <v>0.8</v>
      </c>
      <c r="AN17" s="6">
        <v>8.6</v>
      </c>
    </row>
    <row r="18" spans="1:41" x14ac:dyDescent="0.2">
      <c r="A18" s="3">
        <v>17</v>
      </c>
      <c r="B18" s="3" t="s">
        <v>260</v>
      </c>
      <c r="C18" s="3" t="s">
        <v>224</v>
      </c>
      <c r="D18" s="34">
        <v>65</v>
      </c>
      <c r="E18" s="34"/>
      <c r="F18" s="35">
        <v>195</v>
      </c>
      <c r="G18" s="36">
        <v>31540</v>
      </c>
      <c r="H18" s="6">
        <f t="shared" ca="1" si="0"/>
        <v>34.4</v>
      </c>
      <c r="I18" s="3" t="s">
        <v>252</v>
      </c>
      <c r="J18" s="3">
        <v>11</v>
      </c>
      <c r="K18" s="7">
        <v>2009</v>
      </c>
      <c r="L18" s="7"/>
      <c r="M18" s="3" t="s">
        <v>261</v>
      </c>
      <c r="N18" s="3"/>
      <c r="O18" s="3" t="s">
        <v>31</v>
      </c>
      <c r="P18" s="51">
        <v>5005350</v>
      </c>
      <c r="Q18" s="49">
        <f>P18*1.3</f>
        <v>6506955</v>
      </c>
      <c r="R18" s="50"/>
      <c r="S18" s="50"/>
      <c r="T18" s="50"/>
      <c r="U18" s="3"/>
      <c r="V18" s="3"/>
      <c r="W18" s="3" t="s">
        <v>262</v>
      </c>
      <c r="X18" s="7">
        <v>1</v>
      </c>
      <c r="Y18" s="7">
        <v>55</v>
      </c>
      <c r="Z18" s="11">
        <f>26/55</f>
        <v>0.47272727272727272</v>
      </c>
      <c r="AA18" s="6">
        <v>104.2</v>
      </c>
      <c r="AB18" s="6">
        <v>105.7</v>
      </c>
      <c r="AC18" s="6">
        <f t="shared" si="1"/>
        <v>-1.5</v>
      </c>
      <c r="AD18" s="6">
        <v>28.1</v>
      </c>
      <c r="AE18" s="6">
        <v>10.3</v>
      </c>
      <c r="AF18" s="11">
        <v>0.50700000000000001</v>
      </c>
      <c r="AG18" s="6">
        <v>16.600000000000001</v>
      </c>
      <c r="AH18" s="6">
        <v>0.5</v>
      </c>
      <c r="AI18" s="6">
        <v>1.6</v>
      </c>
      <c r="AJ18" s="11">
        <v>6.5000000000000002E-2</v>
      </c>
      <c r="AK18" s="6">
        <v>1.5</v>
      </c>
      <c r="AL18" s="6">
        <v>0.4</v>
      </c>
      <c r="AM18" s="6">
        <v>0.4</v>
      </c>
      <c r="AN18" s="6">
        <v>7.6</v>
      </c>
      <c r="AO18" s="3"/>
    </row>
    <row r="19" spans="1:41" x14ac:dyDescent="0.2">
      <c r="A19" s="3">
        <v>9</v>
      </c>
      <c r="B19" s="3" t="s">
        <v>263</v>
      </c>
      <c r="C19" s="3" t="s">
        <v>224</v>
      </c>
      <c r="D19" s="34">
        <v>67</v>
      </c>
      <c r="E19" s="34">
        <v>72</v>
      </c>
      <c r="F19" s="35">
        <v>220</v>
      </c>
      <c r="G19" s="36">
        <v>34828</v>
      </c>
      <c r="H19" s="6">
        <f t="shared" ca="1" si="0"/>
        <v>25.4</v>
      </c>
      <c r="I19" s="3" t="s">
        <v>264</v>
      </c>
      <c r="J19" s="3">
        <v>5</v>
      </c>
      <c r="K19" s="7">
        <v>2016</v>
      </c>
      <c r="L19" s="7">
        <v>24</v>
      </c>
      <c r="M19" s="3" t="s">
        <v>265</v>
      </c>
      <c r="N19" s="3"/>
      <c r="O19" s="3" t="s">
        <v>31</v>
      </c>
      <c r="P19" s="52">
        <v>1824003</v>
      </c>
      <c r="Q19" s="53">
        <v>1856061</v>
      </c>
      <c r="R19" s="3"/>
      <c r="S19" s="50"/>
      <c r="T19" s="50"/>
      <c r="U19" s="3"/>
      <c r="V19" s="3"/>
      <c r="W19" s="3" t="s">
        <v>266</v>
      </c>
      <c r="X19" s="7">
        <v>3</v>
      </c>
      <c r="Y19" s="7">
        <v>39</v>
      </c>
      <c r="Z19" s="11">
        <f>15/39</f>
        <v>0.38461538461538464</v>
      </c>
      <c r="AA19" s="6">
        <v>99.9</v>
      </c>
      <c r="AB19" s="6">
        <v>103.8</v>
      </c>
      <c r="AC19" s="6">
        <f t="shared" si="1"/>
        <v>-3.8999999999999915</v>
      </c>
      <c r="AD19" s="6">
        <v>17.2</v>
      </c>
      <c r="AE19" s="6">
        <v>8.9</v>
      </c>
      <c r="AF19" s="11">
        <v>0.56299999999999994</v>
      </c>
      <c r="AG19" s="6">
        <v>15.7</v>
      </c>
      <c r="AH19" s="6">
        <v>0.4</v>
      </c>
      <c r="AI19" s="6">
        <v>0.6</v>
      </c>
      <c r="AJ19" s="11">
        <v>6.9000000000000006E-2</v>
      </c>
      <c r="AK19" s="6">
        <v>-3</v>
      </c>
      <c r="AL19" s="6">
        <v>-0.2</v>
      </c>
      <c r="AM19" s="6">
        <v>-0.2</v>
      </c>
      <c r="AN19" s="6">
        <v>5.5</v>
      </c>
    </row>
    <row r="20" spans="1:41" x14ac:dyDescent="0.2">
      <c r="A20" s="3">
        <v>21</v>
      </c>
      <c r="B20" s="3" t="s">
        <v>267</v>
      </c>
      <c r="C20" s="3" t="s">
        <v>207</v>
      </c>
      <c r="D20" s="34">
        <v>68</v>
      </c>
      <c r="E20" s="34">
        <v>611</v>
      </c>
      <c r="F20" s="35">
        <v>235</v>
      </c>
      <c r="G20" s="36">
        <v>31907</v>
      </c>
      <c r="H20" s="6">
        <f t="shared" ca="1" si="0"/>
        <v>33.4</v>
      </c>
      <c r="I20" s="3" t="s">
        <v>268</v>
      </c>
      <c r="J20" s="3">
        <v>14</v>
      </c>
      <c r="K20" s="7">
        <v>2007</v>
      </c>
      <c r="L20" s="7">
        <v>23</v>
      </c>
      <c r="M20" s="3" t="s">
        <v>261</v>
      </c>
      <c r="N20" s="3"/>
      <c r="O20" s="3" t="s">
        <v>31</v>
      </c>
      <c r="P20" s="49">
        <v>1707576</v>
      </c>
      <c r="Q20" s="50"/>
      <c r="R20" s="50"/>
      <c r="S20" s="50"/>
      <c r="T20" s="54"/>
      <c r="U20" s="3"/>
      <c r="V20" s="3"/>
      <c r="W20" s="3" t="s">
        <v>269</v>
      </c>
      <c r="X20" s="7">
        <v>4</v>
      </c>
      <c r="Y20" s="7">
        <v>35</v>
      </c>
      <c r="Z20" s="11">
        <f>16/35</f>
        <v>0.45714285714285713</v>
      </c>
      <c r="AA20" s="6">
        <v>101.7</v>
      </c>
      <c r="AB20" s="6">
        <v>108.2</v>
      </c>
      <c r="AC20" s="6">
        <f t="shared" si="1"/>
        <v>-6.5</v>
      </c>
      <c r="AD20" s="6">
        <v>21</v>
      </c>
      <c r="AE20" s="6">
        <v>7.4</v>
      </c>
      <c r="AF20" s="11">
        <v>0.53100000000000003</v>
      </c>
      <c r="AG20" s="6">
        <v>13</v>
      </c>
      <c r="AH20" s="6">
        <v>-0.1</v>
      </c>
      <c r="AI20" s="6">
        <v>0.9</v>
      </c>
      <c r="AJ20" s="11">
        <v>0.05</v>
      </c>
      <c r="AK20" s="6">
        <v>-3.9</v>
      </c>
      <c r="AL20" s="6">
        <v>1</v>
      </c>
      <c r="AM20" s="6">
        <v>-0.2</v>
      </c>
      <c r="AN20" s="6">
        <v>6.5</v>
      </c>
    </row>
    <row r="21" spans="1:41" x14ac:dyDescent="0.2">
      <c r="A21" s="3">
        <v>8</v>
      </c>
      <c r="B21" s="3" t="s">
        <v>270</v>
      </c>
      <c r="C21" s="3" t="s">
        <v>198</v>
      </c>
      <c r="D21" s="34">
        <v>63</v>
      </c>
      <c r="E21" s="34">
        <v>66</v>
      </c>
      <c r="F21" s="35">
        <v>186</v>
      </c>
      <c r="G21" s="36">
        <v>33731</v>
      </c>
      <c r="H21" s="6">
        <f t="shared" ca="1" si="0"/>
        <v>28.4</v>
      </c>
      <c r="I21" s="3" t="s">
        <v>271</v>
      </c>
      <c r="J21" s="3">
        <v>7</v>
      </c>
      <c r="K21" s="7">
        <v>2014</v>
      </c>
      <c r="L21" s="7"/>
      <c r="M21" s="3" t="s">
        <v>272</v>
      </c>
      <c r="N21" s="3"/>
      <c r="O21" s="3" t="s">
        <v>31</v>
      </c>
      <c r="P21" s="49">
        <v>1707576</v>
      </c>
      <c r="Q21" s="10"/>
      <c r="R21" s="3"/>
      <c r="S21" s="50"/>
      <c r="T21" s="50"/>
      <c r="U21" s="3"/>
      <c r="V21" s="3"/>
      <c r="W21" s="3" t="s">
        <v>273</v>
      </c>
      <c r="X21" s="7">
        <v>2</v>
      </c>
      <c r="Y21" s="7">
        <v>31</v>
      </c>
      <c r="Z21" s="11">
        <f>11/31</f>
        <v>0.35483870967741937</v>
      </c>
      <c r="AA21" s="6">
        <v>99.1</v>
      </c>
      <c r="AB21" s="6">
        <v>107.2</v>
      </c>
      <c r="AC21" s="6">
        <f t="shared" si="1"/>
        <v>-8.1000000000000085</v>
      </c>
      <c r="AD21" s="6">
        <v>16.600000000000001</v>
      </c>
      <c r="AE21" s="6">
        <v>8.1</v>
      </c>
      <c r="AF21" s="11">
        <v>0.48099999999999998</v>
      </c>
      <c r="AG21" s="6">
        <v>17.3</v>
      </c>
      <c r="AH21" s="6">
        <v>-0.2</v>
      </c>
      <c r="AI21" s="6">
        <v>0.3</v>
      </c>
      <c r="AJ21" s="11">
        <v>1.0999999999999999E-2</v>
      </c>
      <c r="AK21" s="6">
        <v>-3</v>
      </c>
      <c r="AL21" s="6">
        <v>-0.7</v>
      </c>
      <c r="AM21" s="6">
        <v>-0.2</v>
      </c>
      <c r="AN21" s="6">
        <v>5.6</v>
      </c>
    </row>
    <row r="22" spans="1:41" x14ac:dyDescent="0.2">
      <c r="A22" s="3">
        <v>4</v>
      </c>
      <c r="B22" s="3" t="s">
        <v>274</v>
      </c>
      <c r="C22" s="3" t="s">
        <v>251</v>
      </c>
      <c r="D22" s="34">
        <v>511</v>
      </c>
      <c r="E22" s="34">
        <v>61</v>
      </c>
      <c r="F22" s="35">
        <v>175</v>
      </c>
      <c r="G22" s="36">
        <v>35028</v>
      </c>
      <c r="H22" s="6">
        <f t="shared" ca="1" si="0"/>
        <v>24.9</v>
      </c>
      <c r="I22" s="3" t="s">
        <v>275</v>
      </c>
      <c r="J22" s="3">
        <v>3</v>
      </c>
      <c r="K22" s="7">
        <v>2018</v>
      </c>
      <c r="L22" s="55"/>
      <c r="M22" s="3" t="s">
        <v>276</v>
      </c>
      <c r="N22" s="3"/>
      <c r="O22" s="3" t="s">
        <v>31</v>
      </c>
      <c r="P22" s="42">
        <v>1445697</v>
      </c>
      <c r="Q22" s="50"/>
      <c r="R22" s="50"/>
      <c r="S22" s="50"/>
      <c r="T22" s="50"/>
      <c r="U22" s="3"/>
      <c r="V22" s="3"/>
      <c r="W22" s="41" t="s">
        <v>218</v>
      </c>
      <c r="X22" s="7">
        <v>1</v>
      </c>
      <c r="Y22" s="7">
        <v>11</v>
      </c>
      <c r="Z22" s="11">
        <f>7/11</f>
        <v>0.63636363636363635</v>
      </c>
      <c r="AA22" s="6">
        <v>105.4</v>
      </c>
      <c r="AB22" s="6">
        <v>101.8</v>
      </c>
      <c r="AC22" s="6">
        <f t="shared" si="1"/>
        <v>3.6000000000000085</v>
      </c>
      <c r="AD22" s="6">
        <v>11.5</v>
      </c>
      <c r="AE22" s="6">
        <v>16.5</v>
      </c>
      <c r="AF22" s="11">
        <v>0.621</v>
      </c>
      <c r="AG22" s="6">
        <v>17.899999999999999</v>
      </c>
      <c r="AH22" s="6">
        <v>0.3</v>
      </c>
      <c r="AI22" s="6">
        <v>0.1</v>
      </c>
      <c r="AJ22" s="11">
        <v>0.154</v>
      </c>
      <c r="AK22" s="6">
        <v>1.8</v>
      </c>
      <c r="AL22" s="6">
        <v>1.1000000000000001</v>
      </c>
      <c r="AM22" s="6">
        <v>0.2</v>
      </c>
      <c r="AN22" s="6">
        <v>12.2</v>
      </c>
    </row>
    <row r="23" spans="1:41" x14ac:dyDescent="0.2">
      <c r="A23" s="3">
        <v>10</v>
      </c>
      <c r="B23" s="3" t="s">
        <v>277</v>
      </c>
      <c r="C23" s="3" t="s">
        <v>224</v>
      </c>
      <c r="D23" s="34">
        <v>65</v>
      </c>
      <c r="E23" s="34">
        <v>611</v>
      </c>
      <c r="F23" s="35">
        <v>231</v>
      </c>
      <c r="G23" s="36">
        <v>34292</v>
      </c>
      <c r="H23" s="6">
        <f t="shared" ca="1" si="0"/>
        <v>26.9</v>
      </c>
      <c r="I23" s="3" t="s">
        <v>257</v>
      </c>
      <c r="J23" s="3">
        <v>6</v>
      </c>
      <c r="K23" s="7">
        <v>2015</v>
      </c>
      <c r="L23" s="7">
        <v>21</v>
      </c>
      <c r="M23" s="3" t="s">
        <v>278</v>
      </c>
      <c r="N23" s="3"/>
      <c r="O23" s="3" t="s">
        <v>31</v>
      </c>
      <c r="P23" s="49">
        <v>1707576</v>
      </c>
      <c r="Q23" s="10"/>
      <c r="R23" s="3"/>
      <c r="S23" s="50"/>
      <c r="T23" s="50"/>
      <c r="U23" s="3"/>
      <c r="V23" s="3"/>
      <c r="W23" s="3" t="s">
        <v>279</v>
      </c>
      <c r="X23" s="7">
        <v>3</v>
      </c>
      <c r="Y23" s="7">
        <v>3</v>
      </c>
      <c r="Z23" s="11">
        <f>2/3</f>
        <v>0.66666666666666663</v>
      </c>
      <c r="AA23" s="6">
        <v>69.2</v>
      </c>
      <c r="AB23" s="6">
        <v>94.6</v>
      </c>
      <c r="AC23" s="6">
        <f t="shared" si="1"/>
        <v>-25.399999999999991</v>
      </c>
      <c r="AD23" s="6">
        <v>5.6</v>
      </c>
      <c r="AE23" s="6">
        <v>-3.8</v>
      </c>
      <c r="AF23" s="11">
        <v>0.218</v>
      </c>
      <c r="AG23" s="6">
        <v>16.899999999999999</v>
      </c>
      <c r="AH23" s="6">
        <v>-0.1</v>
      </c>
      <c r="AI23" s="6">
        <v>0</v>
      </c>
      <c r="AJ23" s="11">
        <v>-0.16700000000000001</v>
      </c>
      <c r="AK23" s="6">
        <v>-12.8</v>
      </c>
      <c r="AL23" s="6">
        <v>-2.2999999999999998</v>
      </c>
      <c r="AM23" s="6">
        <v>-0.1</v>
      </c>
      <c r="AN23" s="6">
        <v>-4.7</v>
      </c>
    </row>
    <row r="24" spans="1:41" x14ac:dyDescent="0.2">
      <c r="A24" s="3">
        <v>45</v>
      </c>
      <c r="B24" s="3" t="s">
        <v>280</v>
      </c>
      <c r="C24" s="3" t="s">
        <v>207</v>
      </c>
      <c r="D24" s="34">
        <v>69</v>
      </c>
      <c r="E24" s="34">
        <v>72</v>
      </c>
      <c r="F24" s="35">
        <v>229</v>
      </c>
      <c r="G24" s="36">
        <v>35649</v>
      </c>
      <c r="H24" s="6">
        <f t="shared" ca="1" si="0"/>
        <v>23.2</v>
      </c>
      <c r="I24" s="3" t="s">
        <v>281</v>
      </c>
      <c r="J24" s="3">
        <v>2</v>
      </c>
      <c r="K24" s="3">
        <v>2019</v>
      </c>
      <c r="L24" s="7"/>
      <c r="M24" s="56" t="s">
        <v>282</v>
      </c>
      <c r="N24" s="3"/>
      <c r="O24" s="3" t="s">
        <v>31</v>
      </c>
      <c r="P24" s="49">
        <v>1707576</v>
      </c>
      <c r="Q24" s="56"/>
      <c r="R24" s="3"/>
      <c r="S24" s="3"/>
      <c r="T24" s="3"/>
      <c r="U24" s="3"/>
      <c r="V24" s="3"/>
      <c r="W24" s="3"/>
      <c r="X24" s="3"/>
      <c r="Y24" s="3"/>
      <c r="Z24" s="3"/>
      <c r="AA24" s="3"/>
      <c r="AB24" s="3"/>
      <c r="AC24" s="3"/>
      <c r="AD24" s="3"/>
      <c r="AE24" s="3"/>
      <c r="AF24" s="3"/>
      <c r="AG24" s="3"/>
      <c r="AH24" s="3"/>
      <c r="AI24" s="3"/>
      <c r="AJ24" s="3"/>
      <c r="AK24" s="3"/>
      <c r="AL24" s="3"/>
      <c r="AM24" s="3"/>
      <c r="AN24" s="3"/>
    </row>
    <row r="25" spans="1:41" x14ac:dyDescent="0.2">
      <c r="A25" s="3">
        <v>42</v>
      </c>
      <c r="B25" s="3" t="s">
        <v>283</v>
      </c>
      <c r="C25" s="3" t="s">
        <v>207</v>
      </c>
      <c r="D25" s="34">
        <v>68</v>
      </c>
      <c r="E25" s="34">
        <v>73</v>
      </c>
      <c r="F25" s="35">
        <v>225</v>
      </c>
      <c r="G25" s="36">
        <v>32257</v>
      </c>
      <c r="H25" s="6">
        <f t="shared" ca="1" si="0"/>
        <v>32.5</v>
      </c>
      <c r="I25" s="3" t="s">
        <v>284</v>
      </c>
      <c r="J25" s="3">
        <v>10</v>
      </c>
      <c r="K25" s="3">
        <v>2010</v>
      </c>
      <c r="L25" s="7"/>
      <c r="M25" s="56" t="s">
        <v>285</v>
      </c>
      <c r="N25" s="3"/>
      <c r="O25" s="3" t="s">
        <v>31</v>
      </c>
      <c r="P25" s="49">
        <v>1707576</v>
      </c>
      <c r="Q25" s="56"/>
      <c r="R25" s="3"/>
      <c r="S25" s="3"/>
      <c r="T25" s="3"/>
      <c r="U25" s="3"/>
      <c r="V25" s="3"/>
      <c r="W25" s="3"/>
      <c r="X25" s="3"/>
      <c r="Y25" s="3"/>
      <c r="Z25" s="3"/>
      <c r="AA25" s="3"/>
      <c r="AB25" s="3"/>
      <c r="AC25" s="3"/>
      <c r="AD25" s="3"/>
      <c r="AE25" s="3"/>
      <c r="AF25" s="3"/>
      <c r="AG25" s="3"/>
      <c r="AH25" s="3"/>
      <c r="AI25" s="3"/>
      <c r="AJ25" s="3"/>
      <c r="AK25" s="3"/>
      <c r="AL25" s="3"/>
      <c r="AM25" s="3"/>
      <c r="AN25" s="3"/>
    </row>
    <row r="26" spans="1:41" x14ac:dyDescent="0.2">
      <c r="A26" s="3">
        <v>1</v>
      </c>
      <c r="B26" s="3" t="s">
        <v>286</v>
      </c>
      <c r="C26" s="3" t="s">
        <v>224</v>
      </c>
      <c r="D26" s="34">
        <v>65</v>
      </c>
      <c r="E26" s="34">
        <v>610</v>
      </c>
      <c r="F26" s="35">
        <v>200</v>
      </c>
      <c r="G26" s="36">
        <v>29300</v>
      </c>
      <c r="H26" s="6">
        <f t="shared" ca="1" si="0"/>
        <v>40.5</v>
      </c>
      <c r="I26" s="3" t="s">
        <v>287</v>
      </c>
      <c r="J26" s="3">
        <v>21</v>
      </c>
      <c r="K26" s="3">
        <v>2000</v>
      </c>
      <c r="L26" s="7">
        <v>8</v>
      </c>
      <c r="M26" s="56" t="s">
        <v>288</v>
      </c>
      <c r="N26" s="3"/>
      <c r="O26" s="3" t="s">
        <v>31</v>
      </c>
      <c r="P26" s="49">
        <v>1707576</v>
      </c>
      <c r="Q26" s="56"/>
      <c r="R26" s="3"/>
      <c r="S26" s="3"/>
      <c r="T26" s="3"/>
      <c r="U26" s="3"/>
      <c r="V26" s="3"/>
      <c r="W26" s="3"/>
      <c r="X26" s="3"/>
      <c r="Y26" s="3"/>
      <c r="Z26" s="3"/>
      <c r="AA26" s="3"/>
      <c r="AB26" s="3"/>
      <c r="AC26" s="3"/>
      <c r="AD26" s="3"/>
      <c r="AE26" s="3"/>
      <c r="AF26" s="3"/>
      <c r="AG26" s="3"/>
      <c r="AH26" s="3"/>
      <c r="AI26" s="3"/>
      <c r="AJ26" s="3"/>
      <c r="AK26" s="3"/>
      <c r="AL26" s="3"/>
      <c r="AM26" s="3"/>
      <c r="AN26" s="3"/>
    </row>
    <row r="27" spans="1:41" x14ac:dyDescent="0.2">
      <c r="A27" s="3">
        <v>5</v>
      </c>
      <c r="B27" s="3" t="s">
        <v>289</v>
      </c>
      <c r="C27" s="3" t="s">
        <v>224</v>
      </c>
      <c r="D27" s="34">
        <v>69</v>
      </c>
      <c r="E27" s="34">
        <v>74</v>
      </c>
      <c r="F27" s="35">
        <v>230</v>
      </c>
      <c r="G27" s="36">
        <v>32491</v>
      </c>
      <c r="H27" s="6">
        <f t="shared" ca="1" si="0"/>
        <v>31.8</v>
      </c>
      <c r="I27" s="3" t="s">
        <v>290</v>
      </c>
      <c r="J27" s="3">
        <v>13</v>
      </c>
      <c r="K27" s="7">
        <v>2008</v>
      </c>
      <c r="L27" s="7">
        <v>25</v>
      </c>
      <c r="M27" s="3" t="s">
        <v>291</v>
      </c>
      <c r="N27" s="3"/>
      <c r="O27" s="3" t="s">
        <v>32</v>
      </c>
      <c r="P27" s="57">
        <v>27130434</v>
      </c>
      <c r="Q27" s="49">
        <f>P27*1.5</f>
        <v>40695651</v>
      </c>
      <c r="R27" s="50"/>
      <c r="S27" s="50"/>
      <c r="T27" s="50"/>
      <c r="W27" s="17" t="s">
        <v>292</v>
      </c>
      <c r="X27" s="22">
        <v>3</v>
      </c>
      <c r="Y27" s="22">
        <v>22</v>
      </c>
      <c r="Z27" s="19">
        <f>6/22</f>
        <v>0.27272727272727271</v>
      </c>
      <c r="AA27" s="58">
        <v>108.6</v>
      </c>
      <c r="AB27" s="58">
        <v>111.9</v>
      </c>
      <c r="AC27" s="58">
        <f t="shared" ref="AC27" si="2">AA27-AB27</f>
        <v>-3.3000000000000114</v>
      </c>
      <c r="AD27" s="58">
        <v>23</v>
      </c>
      <c r="AE27" s="58">
        <v>9.1999999999999993</v>
      </c>
      <c r="AF27" s="19">
        <v>0.46300000000000002</v>
      </c>
      <c r="AG27" s="58">
        <v>9.4</v>
      </c>
      <c r="AH27" s="58">
        <v>0.2</v>
      </c>
      <c r="AI27" s="58">
        <v>0.4</v>
      </c>
      <c r="AJ27" s="19">
        <v>5.5E-2</v>
      </c>
      <c r="AK27" s="58">
        <v>-2.7</v>
      </c>
      <c r="AL27" s="58">
        <v>0.9</v>
      </c>
      <c r="AM27" s="58">
        <v>0</v>
      </c>
      <c r="AN27" s="58">
        <v>6.8</v>
      </c>
    </row>
    <row r="28" spans="1:41" x14ac:dyDescent="0.2">
      <c r="A28" s="3">
        <v>8</v>
      </c>
      <c r="B28" s="3" t="s">
        <v>293</v>
      </c>
      <c r="C28" s="3" t="s">
        <v>207</v>
      </c>
      <c r="D28" s="34">
        <v>68</v>
      </c>
      <c r="E28" s="34">
        <v>77</v>
      </c>
      <c r="F28" s="35">
        <v>255</v>
      </c>
      <c r="G28" s="36">
        <v>33844</v>
      </c>
      <c r="H28" s="6">
        <f t="shared" ca="1" si="0"/>
        <v>28.1</v>
      </c>
      <c r="I28" s="3" t="s">
        <v>294</v>
      </c>
      <c r="J28" s="3">
        <v>10</v>
      </c>
      <c r="K28" s="7">
        <v>2011</v>
      </c>
      <c r="L28" s="7">
        <v>7</v>
      </c>
      <c r="M28" s="3" t="s">
        <v>295</v>
      </c>
      <c r="N28" s="3"/>
      <c r="O28" s="3" t="s">
        <v>32</v>
      </c>
      <c r="P28" s="49">
        <v>25500000</v>
      </c>
      <c r="Q28" s="50"/>
      <c r="R28" s="50"/>
      <c r="S28" s="50"/>
      <c r="T28" s="50"/>
      <c r="W28" s="17" t="s">
        <v>296</v>
      </c>
      <c r="X28" s="22">
        <v>5</v>
      </c>
      <c r="Y28" s="22">
        <v>53</v>
      </c>
      <c r="Z28" s="19">
        <f>18/53</f>
        <v>0.33962264150943394</v>
      </c>
      <c r="AA28" s="58">
        <v>104.1</v>
      </c>
      <c r="AB28" s="58">
        <v>110.8</v>
      </c>
      <c r="AC28" s="58">
        <f t="shared" si="1"/>
        <v>-6.7000000000000028</v>
      </c>
      <c r="AD28" s="58">
        <v>19.399999999999999</v>
      </c>
      <c r="AE28" s="58">
        <v>16.100000000000001</v>
      </c>
      <c r="AF28" s="19">
        <v>0.56999999999999995</v>
      </c>
      <c r="AG28" s="58">
        <v>16.8</v>
      </c>
      <c r="AH28" s="58">
        <v>1.5</v>
      </c>
      <c r="AI28" s="58">
        <v>0.9</v>
      </c>
      <c r="AJ28" s="19">
        <v>0.113</v>
      </c>
      <c r="AK28" s="58">
        <v>-1.8</v>
      </c>
      <c r="AL28" s="58">
        <v>-0.7</v>
      </c>
      <c r="AM28" s="58">
        <v>-0.1</v>
      </c>
      <c r="AN28" s="58">
        <v>9.6999999999999993</v>
      </c>
    </row>
    <row r="29" spans="1:41" x14ac:dyDescent="0.2">
      <c r="A29" s="3">
        <v>9</v>
      </c>
      <c r="B29" s="3" t="s">
        <v>297</v>
      </c>
      <c r="C29" s="3" t="s">
        <v>207</v>
      </c>
      <c r="D29" s="34">
        <v>611</v>
      </c>
      <c r="E29" s="34">
        <v>72</v>
      </c>
      <c r="F29" s="35">
        <v>250</v>
      </c>
      <c r="G29" s="36">
        <v>34481</v>
      </c>
      <c r="H29" s="6">
        <f t="shared" ca="1" si="0"/>
        <v>26.4</v>
      </c>
      <c r="I29" s="3" t="s">
        <v>298</v>
      </c>
      <c r="J29" s="3">
        <v>5</v>
      </c>
      <c r="K29" s="7">
        <v>2015</v>
      </c>
      <c r="L29" s="7">
        <v>35</v>
      </c>
      <c r="M29" s="3" t="s">
        <v>299</v>
      </c>
      <c r="N29" s="3"/>
      <c r="O29" s="3" t="s">
        <v>32</v>
      </c>
      <c r="P29" s="49">
        <v>1707576</v>
      </c>
      <c r="Q29" s="50"/>
      <c r="R29" s="50"/>
      <c r="S29" s="50"/>
      <c r="T29" s="50"/>
      <c r="W29" s="59" t="s">
        <v>235</v>
      </c>
      <c r="X29" s="22">
        <v>5</v>
      </c>
      <c r="Y29" s="22">
        <v>31</v>
      </c>
      <c r="Z29" s="19">
        <f>7/31</f>
        <v>0.22580645161290322</v>
      </c>
      <c r="AA29" s="58">
        <v>102.2</v>
      </c>
      <c r="AB29" s="58">
        <v>104.8</v>
      </c>
      <c r="AC29" s="58">
        <f t="shared" si="1"/>
        <v>-2.5999999999999943</v>
      </c>
      <c r="AD29" s="58">
        <v>23</v>
      </c>
      <c r="AE29" s="58">
        <v>19.2</v>
      </c>
      <c r="AF29" s="19">
        <v>0.57599999999999996</v>
      </c>
      <c r="AG29" s="58">
        <v>22.9</v>
      </c>
      <c r="AH29" s="58">
        <v>0.4</v>
      </c>
      <c r="AI29" s="58">
        <v>0.4</v>
      </c>
      <c r="AJ29" s="19">
        <v>0.107</v>
      </c>
      <c r="AK29" s="58">
        <v>0.6</v>
      </c>
      <c r="AL29" s="58">
        <v>-0.5</v>
      </c>
      <c r="AM29" s="58">
        <v>0.2</v>
      </c>
      <c r="AN29" s="58">
        <v>14.4</v>
      </c>
    </row>
    <row r="30" spans="1:41" x14ac:dyDescent="0.2">
      <c r="A30" s="3">
        <v>7</v>
      </c>
      <c r="B30" s="3" t="s">
        <v>300</v>
      </c>
      <c r="C30" s="3" t="s">
        <v>224</v>
      </c>
      <c r="D30" s="34">
        <v>66</v>
      </c>
      <c r="E30" s="34">
        <v>610</v>
      </c>
      <c r="F30" s="35">
        <v>221</v>
      </c>
      <c r="G30" s="36">
        <v>34941</v>
      </c>
      <c r="H30" s="6">
        <f t="shared" ca="1" si="0"/>
        <v>25.1</v>
      </c>
      <c r="I30" s="3" t="s">
        <v>301</v>
      </c>
      <c r="J30" s="3">
        <v>4</v>
      </c>
      <c r="K30" s="7">
        <v>2017</v>
      </c>
      <c r="L30" s="7">
        <v>40</v>
      </c>
      <c r="M30" s="3" t="s">
        <v>302</v>
      </c>
      <c r="N30" s="3"/>
      <c r="O30" s="3" t="s">
        <v>32</v>
      </c>
      <c r="P30" s="60">
        <v>2023150</v>
      </c>
      <c r="Q30" s="50"/>
      <c r="R30" s="50"/>
      <c r="S30" s="50"/>
      <c r="T30" s="50"/>
      <c r="W30" s="17" t="s">
        <v>303</v>
      </c>
      <c r="X30" s="22">
        <v>3</v>
      </c>
      <c r="Y30" s="22">
        <v>39</v>
      </c>
      <c r="Z30" s="19">
        <f>10/39</f>
        <v>0.25641025641025639</v>
      </c>
      <c r="AA30" s="58">
        <v>100.9</v>
      </c>
      <c r="AB30" s="58">
        <v>109.1</v>
      </c>
      <c r="AC30" s="58">
        <f t="shared" si="1"/>
        <v>-8.1999999999999886</v>
      </c>
      <c r="AD30" s="58">
        <v>17.600000000000001</v>
      </c>
      <c r="AE30" s="58">
        <v>6.1</v>
      </c>
      <c r="AF30" s="19">
        <v>0.41899999999999998</v>
      </c>
      <c r="AG30" s="58">
        <v>19.5</v>
      </c>
      <c r="AH30" s="58">
        <v>-1.2</v>
      </c>
      <c r="AI30" s="58">
        <v>0.4</v>
      </c>
      <c r="AJ30" s="19">
        <v>-5.2999999999999999E-2</v>
      </c>
      <c r="AK30" s="58">
        <v>-5.9</v>
      </c>
      <c r="AL30" s="58">
        <v>-0.9</v>
      </c>
      <c r="AM30" s="58">
        <v>-0.8</v>
      </c>
      <c r="AN30" s="58">
        <v>4.9000000000000004</v>
      </c>
    </row>
    <row r="31" spans="1:41" x14ac:dyDescent="0.2">
      <c r="A31" s="3">
        <v>4</v>
      </c>
      <c r="B31" s="3" t="s">
        <v>304</v>
      </c>
      <c r="C31" s="3" t="s">
        <v>251</v>
      </c>
      <c r="D31" s="34">
        <v>61</v>
      </c>
      <c r="E31" s="34">
        <v>66</v>
      </c>
      <c r="F31" s="35">
        <v>195</v>
      </c>
      <c r="G31" s="36">
        <v>34752</v>
      </c>
      <c r="H31" s="6">
        <f t="shared" ca="1" si="0"/>
        <v>25.6</v>
      </c>
      <c r="I31" s="3" t="s">
        <v>305</v>
      </c>
      <c r="J31" s="3">
        <v>3</v>
      </c>
      <c r="K31" s="7">
        <v>2018</v>
      </c>
      <c r="L31" s="7">
        <v>34</v>
      </c>
      <c r="M31" s="3" t="s">
        <v>306</v>
      </c>
      <c r="N31" s="3"/>
      <c r="O31" s="3" t="s">
        <v>32</v>
      </c>
      <c r="P31" s="52">
        <v>1663861</v>
      </c>
      <c r="Q31" s="60">
        <v>2122822</v>
      </c>
      <c r="R31" s="50"/>
      <c r="S31" s="50"/>
      <c r="T31" s="50"/>
      <c r="W31" s="59" t="s">
        <v>218</v>
      </c>
      <c r="X31" s="22">
        <v>1</v>
      </c>
      <c r="Y31" s="22">
        <v>63</v>
      </c>
      <c r="Z31" s="19">
        <f>23/63</f>
        <v>0.36507936507936506</v>
      </c>
      <c r="AA31" s="58">
        <v>107.4</v>
      </c>
      <c r="AB31" s="58">
        <v>111.8</v>
      </c>
      <c r="AC31" s="58">
        <f t="shared" si="1"/>
        <v>-4.3999999999999915</v>
      </c>
      <c r="AD31" s="58">
        <v>35.1</v>
      </c>
      <c r="AE31" s="58">
        <v>15.8</v>
      </c>
      <c r="AF31" s="19">
        <v>0.53700000000000003</v>
      </c>
      <c r="AG31" s="58">
        <v>24.8</v>
      </c>
      <c r="AH31" s="58">
        <v>2.5</v>
      </c>
      <c r="AI31" s="58">
        <v>0.9</v>
      </c>
      <c r="AJ31" s="19">
        <v>7.2999999999999995E-2</v>
      </c>
      <c r="AK31" s="58">
        <v>2.6</v>
      </c>
      <c r="AL31" s="58">
        <v>-2.1</v>
      </c>
      <c r="AM31" s="58">
        <v>1.4</v>
      </c>
      <c r="AN31" s="58">
        <v>10.9</v>
      </c>
    </row>
    <row r="32" spans="1:41" x14ac:dyDescent="0.2">
      <c r="A32" s="3">
        <v>10</v>
      </c>
      <c r="B32" s="3" t="s">
        <v>307</v>
      </c>
      <c r="C32" s="3" t="s">
        <v>224</v>
      </c>
      <c r="D32" s="34">
        <v>65</v>
      </c>
      <c r="E32" s="34">
        <v>610</v>
      </c>
      <c r="F32" s="35">
        <v>205</v>
      </c>
      <c r="G32" s="36">
        <v>34970</v>
      </c>
      <c r="H32" s="6">
        <f t="shared" ca="1" si="0"/>
        <v>25</v>
      </c>
      <c r="I32" s="3" t="s">
        <v>308</v>
      </c>
      <c r="J32" s="3">
        <v>2</v>
      </c>
      <c r="K32" s="7">
        <v>2019</v>
      </c>
      <c r="L32" s="7"/>
      <c r="M32" s="3" t="s">
        <v>309</v>
      </c>
      <c r="N32" s="3"/>
      <c r="O32" s="3" t="s">
        <v>32</v>
      </c>
      <c r="P32" s="52">
        <v>1517981</v>
      </c>
      <c r="Q32" s="52">
        <v>1782621</v>
      </c>
      <c r="R32" s="60">
        <v>2228276</v>
      </c>
      <c r="S32" s="50"/>
      <c r="T32" s="50"/>
      <c r="W32" s="17" t="s">
        <v>310</v>
      </c>
      <c r="X32" s="22">
        <v>2</v>
      </c>
      <c r="Y32" s="22">
        <v>18</v>
      </c>
      <c r="Z32" s="19">
        <f>6/18</f>
        <v>0.33333333333333331</v>
      </c>
      <c r="AA32" s="58">
        <v>103.2</v>
      </c>
      <c r="AB32" s="58">
        <v>102.4</v>
      </c>
      <c r="AC32" s="58">
        <f t="shared" si="1"/>
        <v>0.79999999999999716</v>
      </c>
      <c r="AD32" s="58">
        <v>17.600000000000001</v>
      </c>
      <c r="AE32" s="58">
        <v>12</v>
      </c>
      <c r="AF32" s="19">
        <v>0.59499999999999997</v>
      </c>
      <c r="AG32" s="58">
        <v>15</v>
      </c>
      <c r="AH32" s="58">
        <v>0.3</v>
      </c>
      <c r="AI32" s="58">
        <v>0.2</v>
      </c>
      <c r="AJ32" s="19">
        <v>8.1000000000000003E-2</v>
      </c>
      <c r="AK32" s="58">
        <v>-1.6</v>
      </c>
      <c r="AL32" s="58">
        <v>0.5</v>
      </c>
      <c r="AM32" s="58">
        <v>0.1</v>
      </c>
      <c r="AN32" s="58">
        <v>7.7</v>
      </c>
    </row>
    <row r="33" spans="1:40" x14ac:dyDescent="0.2">
      <c r="A33" s="3">
        <v>6</v>
      </c>
      <c r="B33" s="3" t="s">
        <v>311</v>
      </c>
      <c r="C33" s="3" t="s">
        <v>224</v>
      </c>
      <c r="D33" s="34">
        <v>610</v>
      </c>
      <c r="E33" s="34">
        <v>71</v>
      </c>
      <c r="F33" s="35">
        <v>205</v>
      </c>
      <c r="G33" s="36">
        <v>35826</v>
      </c>
      <c r="H33" s="6">
        <f t="shared" ca="1" si="0"/>
        <v>22.7</v>
      </c>
      <c r="I33" s="3" t="s">
        <v>312</v>
      </c>
      <c r="J33" s="3">
        <v>2</v>
      </c>
      <c r="K33" s="7">
        <v>2019</v>
      </c>
      <c r="L33" s="7">
        <v>52</v>
      </c>
      <c r="M33" s="3" t="s">
        <v>313</v>
      </c>
      <c r="N33" s="3"/>
      <c r="O33" s="3" t="s">
        <v>32</v>
      </c>
      <c r="P33" s="52">
        <v>1517981</v>
      </c>
      <c r="Q33" s="52">
        <v>1782621</v>
      </c>
      <c r="R33" s="51">
        <v>1930681</v>
      </c>
      <c r="S33" s="49">
        <v>2046307</v>
      </c>
      <c r="T33" s="3"/>
      <c r="W33" s="17" t="s">
        <v>314</v>
      </c>
      <c r="X33" s="22">
        <v>4</v>
      </c>
      <c r="Y33" s="22">
        <v>16</v>
      </c>
      <c r="Z33" s="19">
        <f>7/16</f>
        <v>0.4375</v>
      </c>
      <c r="AA33" s="58">
        <v>105.3</v>
      </c>
      <c r="AB33" s="58">
        <v>108.8</v>
      </c>
      <c r="AC33" s="58">
        <f t="shared" si="1"/>
        <v>-3.5</v>
      </c>
      <c r="AD33" s="58">
        <v>18.3</v>
      </c>
      <c r="AE33" s="58">
        <v>10.7</v>
      </c>
      <c r="AF33" s="19">
        <v>0.57399999999999995</v>
      </c>
      <c r="AG33" s="58">
        <v>13.3</v>
      </c>
      <c r="AH33" s="58">
        <v>0.2</v>
      </c>
      <c r="AI33" s="58">
        <v>0.2</v>
      </c>
      <c r="AJ33" s="19">
        <v>7.8E-2</v>
      </c>
      <c r="AK33" s="58">
        <v>-3.3</v>
      </c>
      <c r="AL33" s="58">
        <v>0</v>
      </c>
      <c r="AM33" s="58">
        <v>-0.1</v>
      </c>
      <c r="AN33" s="58">
        <v>7.5</v>
      </c>
    </row>
    <row r="34" spans="1:40" x14ac:dyDescent="0.2">
      <c r="A34" s="3">
        <v>23</v>
      </c>
      <c r="B34" s="3" t="s">
        <v>315</v>
      </c>
      <c r="C34" s="3" t="s">
        <v>224</v>
      </c>
      <c r="D34" s="34">
        <v>65</v>
      </c>
      <c r="E34" s="34">
        <v>66</v>
      </c>
      <c r="F34" s="35">
        <v>180</v>
      </c>
      <c r="G34" s="36">
        <v>35615</v>
      </c>
      <c r="H34" s="6">
        <f t="shared" ca="1" si="0"/>
        <v>23.3</v>
      </c>
      <c r="I34" s="3" t="s">
        <v>316</v>
      </c>
      <c r="J34" s="3">
        <v>4</v>
      </c>
      <c r="K34" s="7">
        <v>2017</v>
      </c>
      <c r="L34" s="55"/>
      <c r="M34" s="3" t="s">
        <v>317</v>
      </c>
      <c r="N34" s="3"/>
      <c r="O34" s="3" t="s">
        <v>32</v>
      </c>
      <c r="P34" s="60">
        <v>1445697</v>
      </c>
      <c r="Q34" s="50"/>
      <c r="R34" s="50"/>
      <c r="S34" s="50"/>
      <c r="T34" s="50"/>
      <c r="X34" s="22"/>
      <c r="Y34" s="22"/>
      <c r="Z34" s="19"/>
      <c r="AA34" s="58"/>
      <c r="AB34" s="58"/>
      <c r="AC34" s="58"/>
      <c r="AD34" s="58"/>
      <c r="AE34" s="58"/>
      <c r="AF34" s="19"/>
      <c r="AG34" s="58"/>
      <c r="AH34" s="58"/>
      <c r="AI34" s="58"/>
      <c r="AJ34" s="19"/>
      <c r="AK34" s="58"/>
      <c r="AL34" s="58"/>
      <c r="AM34" s="58"/>
      <c r="AN34" s="58"/>
    </row>
    <row r="35" spans="1:40" x14ac:dyDescent="0.2">
      <c r="A35" s="3">
        <v>22</v>
      </c>
      <c r="B35" s="3" t="s">
        <v>318</v>
      </c>
      <c r="C35" s="3" t="s">
        <v>220</v>
      </c>
      <c r="D35" s="34">
        <v>68</v>
      </c>
      <c r="E35" s="34">
        <v>71</v>
      </c>
      <c r="F35" s="35">
        <v>198</v>
      </c>
      <c r="G35" s="36">
        <v>34123</v>
      </c>
      <c r="H35" s="6">
        <f t="shared" ca="1" si="0"/>
        <v>27.3</v>
      </c>
      <c r="I35" s="3" t="s">
        <v>319</v>
      </c>
      <c r="J35" s="3">
        <v>8</v>
      </c>
      <c r="K35" s="7">
        <v>2013</v>
      </c>
      <c r="L35" s="7">
        <v>3</v>
      </c>
      <c r="M35" s="3" t="s">
        <v>320</v>
      </c>
      <c r="N35" s="3"/>
      <c r="O35" s="3" t="s">
        <v>33</v>
      </c>
      <c r="P35" s="61">
        <v>28489239</v>
      </c>
      <c r="Q35" s="48">
        <v>37500000</v>
      </c>
      <c r="R35" s="10"/>
      <c r="S35" s="10"/>
      <c r="T35" s="10"/>
      <c r="V35" s="17" t="s">
        <v>321</v>
      </c>
      <c r="W35" s="62" t="s">
        <v>322</v>
      </c>
      <c r="X35" s="22">
        <v>3</v>
      </c>
      <c r="Y35" s="22">
        <v>14</v>
      </c>
      <c r="Z35" s="19">
        <f>5/14</f>
        <v>0.35714285714285715</v>
      </c>
      <c r="AA35" s="58">
        <v>110.2</v>
      </c>
      <c r="AB35" s="58">
        <v>107</v>
      </c>
      <c r="AC35" s="58">
        <f t="shared" ref="AC35:AC61" si="3">AA35-AB35</f>
        <v>3.2000000000000028</v>
      </c>
      <c r="AD35" s="58">
        <v>23.6</v>
      </c>
      <c r="AE35" s="58">
        <v>15.8</v>
      </c>
      <c r="AF35" s="19">
        <v>0.55000000000000004</v>
      </c>
      <c r="AG35" s="58">
        <v>21</v>
      </c>
      <c r="AH35" s="58">
        <v>0.4</v>
      </c>
      <c r="AI35" s="58">
        <v>0.4</v>
      </c>
      <c r="AJ35" s="19">
        <v>0.112</v>
      </c>
      <c r="AK35" s="58">
        <v>0.9</v>
      </c>
      <c r="AL35" s="58">
        <v>0.2</v>
      </c>
      <c r="AM35" s="58">
        <v>0.3</v>
      </c>
      <c r="AN35" s="58">
        <v>9.5</v>
      </c>
    </row>
    <row r="36" spans="1:40" x14ac:dyDescent="0.2">
      <c r="A36" s="3">
        <v>32</v>
      </c>
      <c r="B36" s="3" t="s">
        <v>323</v>
      </c>
      <c r="C36" s="3" t="s">
        <v>251</v>
      </c>
      <c r="D36" s="34">
        <v>63</v>
      </c>
      <c r="E36" s="34">
        <v>69</v>
      </c>
      <c r="F36" s="35">
        <v>205</v>
      </c>
      <c r="G36" s="36">
        <v>34411</v>
      </c>
      <c r="H36" s="6">
        <f t="shared" ca="1" si="0"/>
        <v>26.6</v>
      </c>
      <c r="I36" s="3" t="s">
        <v>324</v>
      </c>
      <c r="J36" s="3">
        <v>5</v>
      </c>
      <c r="K36" s="7">
        <v>2016</v>
      </c>
      <c r="L36" s="7">
        <v>5</v>
      </c>
      <c r="M36" s="3" t="s">
        <v>325</v>
      </c>
      <c r="N36" s="3"/>
      <c r="O36" s="3" t="s">
        <v>33</v>
      </c>
      <c r="P36" s="60">
        <f>16044021</f>
        <v>16044021</v>
      </c>
      <c r="Q36" s="50"/>
      <c r="R36" s="50"/>
      <c r="S36" s="50"/>
      <c r="T36" s="10"/>
      <c r="W36" s="17" t="s">
        <v>326</v>
      </c>
      <c r="X36" s="22">
        <v>1</v>
      </c>
      <c r="Y36" s="22">
        <v>51</v>
      </c>
      <c r="Z36" s="19">
        <f>19/51</f>
        <v>0.37254901960784315</v>
      </c>
      <c r="AA36" s="58">
        <v>103.5</v>
      </c>
      <c r="AB36" s="58">
        <v>103.6</v>
      </c>
      <c r="AC36" s="58">
        <f t="shared" si="3"/>
        <v>-9.9999999999994316E-2</v>
      </c>
      <c r="AD36" s="58">
        <v>24.9</v>
      </c>
      <c r="AE36" s="58">
        <v>12.1</v>
      </c>
      <c r="AF36" s="19">
        <v>0.51</v>
      </c>
      <c r="AG36" s="58">
        <v>14.6</v>
      </c>
      <c r="AH36" s="58">
        <v>0.3</v>
      </c>
      <c r="AI36" s="58">
        <v>2</v>
      </c>
      <c r="AJ36" s="19">
        <v>8.5000000000000006E-2</v>
      </c>
      <c r="AK36" s="58">
        <v>-3.7</v>
      </c>
      <c r="AL36" s="58">
        <v>3.1</v>
      </c>
      <c r="AM36" s="58">
        <v>0.4</v>
      </c>
      <c r="AN36" s="58">
        <v>8.1999999999999993</v>
      </c>
    </row>
    <row r="37" spans="1:40" ht="17" x14ac:dyDescent="0.2">
      <c r="A37" s="3">
        <v>45</v>
      </c>
      <c r="B37" s="3" t="s">
        <v>327</v>
      </c>
      <c r="C37" s="3" t="s">
        <v>224</v>
      </c>
      <c r="D37" s="34">
        <v>64</v>
      </c>
      <c r="E37" s="34">
        <v>610</v>
      </c>
      <c r="F37" s="35">
        <v>220</v>
      </c>
      <c r="G37" s="36">
        <v>34289</v>
      </c>
      <c r="H37" s="6">
        <f t="shared" ca="1" si="0"/>
        <v>26.9</v>
      </c>
      <c r="I37" s="3" t="s">
        <v>328</v>
      </c>
      <c r="J37" s="3">
        <v>5</v>
      </c>
      <c r="K37" s="7">
        <v>2016</v>
      </c>
      <c r="L37" s="7">
        <v>14</v>
      </c>
      <c r="M37" s="3" t="s">
        <v>329</v>
      </c>
      <c r="N37" s="3"/>
      <c r="O37" s="3" t="s">
        <v>33</v>
      </c>
      <c r="P37" s="60">
        <v>10132706</v>
      </c>
      <c r="Q37" s="63"/>
      <c r="R37" s="50"/>
      <c r="S37" s="50"/>
      <c r="T37" s="10"/>
      <c r="W37" s="17" t="s">
        <v>330</v>
      </c>
      <c r="X37" s="22">
        <v>3</v>
      </c>
      <c r="Y37" s="22">
        <v>36</v>
      </c>
      <c r="Z37" s="19">
        <f>12/36</f>
        <v>0.33333333333333331</v>
      </c>
      <c r="AA37" s="58">
        <v>99.7</v>
      </c>
      <c r="AB37" s="58">
        <v>104.7</v>
      </c>
      <c r="AC37" s="58">
        <f t="shared" si="3"/>
        <v>-5</v>
      </c>
      <c r="AD37" s="58">
        <v>13.6</v>
      </c>
      <c r="AE37" s="58">
        <v>13</v>
      </c>
      <c r="AF37" s="19">
        <v>0.51100000000000001</v>
      </c>
      <c r="AG37" s="58">
        <v>23.3</v>
      </c>
      <c r="AH37" s="58">
        <v>-0.1</v>
      </c>
      <c r="AI37" s="58">
        <v>0.6</v>
      </c>
      <c r="AJ37" s="19">
        <v>4.8000000000000001E-2</v>
      </c>
      <c r="AK37" s="58">
        <v>-0.7</v>
      </c>
      <c r="AL37" s="58">
        <v>0.2</v>
      </c>
      <c r="AM37" s="58">
        <v>0.2</v>
      </c>
      <c r="AN37" s="58">
        <v>9.4</v>
      </c>
    </row>
    <row r="38" spans="1:40" x14ac:dyDescent="0.2">
      <c r="A38" s="3">
        <v>3</v>
      </c>
      <c r="B38" s="3" t="s">
        <v>331</v>
      </c>
      <c r="C38" s="3" t="s">
        <v>224</v>
      </c>
      <c r="D38" s="34">
        <v>67</v>
      </c>
      <c r="E38" s="34"/>
      <c r="F38" s="35">
        <v>190</v>
      </c>
      <c r="G38" s="36">
        <v>34248</v>
      </c>
      <c r="H38" s="6">
        <f t="shared" ca="1" si="0"/>
        <v>27</v>
      </c>
      <c r="I38" s="3" t="s">
        <v>332</v>
      </c>
      <c r="J38" s="3">
        <v>4</v>
      </c>
      <c r="K38" s="7">
        <v>2016</v>
      </c>
      <c r="L38" s="7"/>
      <c r="M38" s="3" t="s">
        <v>333</v>
      </c>
      <c r="N38" s="3"/>
      <c r="O38" s="3" t="s">
        <v>33</v>
      </c>
      <c r="P38" s="60">
        <v>2025705</v>
      </c>
      <c r="Q38" s="50"/>
      <c r="R38" s="50"/>
      <c r="S38" s="50"/>
      <c r="T38" s="10"/>
      <c r="W38" s="17" t="s">
        <v>334</v>
      </c>
      <c r="X38" s="22">
        <v>3</v>
      </c>
      <c r="Y38" s="22">
        <v>43</v>
      </c>
      <c r="Z38" s="19">
        <f>14/43</f>
        <v>0.32558139534883723</v>
      </c>
      <c r="AA38" s="58">
        <v>106.5</v>
      </c>
      <c r="AB38" s="58">
        <v>99.7</v>
      </c>
      <c r="AC38" s="58">
        <f t="shared" si="3"/>
        <v>6.7999999999999972</v>
      </c>
      <c r="AD38" s="58">
        <v>11.3</v>
      </c>
      <c r="AE38" s="58">
        <v>17.8</v>
      </c>
      <c r="AF38" s="19">
        <v>0.55900000000000005</v>
      </c>
      <c r="AG38" s="58">
        <v>18.100000000000001</v>
      </c>
      <c r="AH38" s="58">
        <v>0.8</v>
      </c>
      <c r="AI38" s="58">
        <v>0.8</v>
      </c>
      <c r="AJ38" s="19">
        <v>0.153</v>
      </c>
      <c r="AK38" s="58">
        <v>0.4</v>
      </c>
      <c r="AL38" s="58">
        <v>2.4</v>
      </c>
      <c r="AM38" s="58">
        <v>0.6</v>
      </c>
      <c r="AN38" s="58">
        <v>11.4</v>
      </c>
    </row>
    <row r="39" spans="1:40" x14ac:dyDescent="0.2">
      <c r="A39" s="3">
        <v>20</v>
      </c>
      <c r="B39" s="3" t="s">
        <v>335</v>
      </c>
      <c r="C39" s="3" t="s">
        <v>220</v>
      </c>
      <c r="D39" s="34">
        <v>65</v>
      </c>
      <c r="E39" s="34">
        <v>610</v>
      </c>
      <c r="F39" s="35">
        <v>190</v>
      </c>
      <c r="G39" s="36">
        <v>35994</v>
      </c>
      <c r="H39" s="6">
        <f t="shared" ca="1" si="0"/>
        <v>22.2</v>
      </c>
      <c r="I39" s="3" t="s">
        <v>336</v>
      </c>
      <c r="J39" s="3">
        <v>2</v>
      </c>
      <c r="K39" s="7">
        <v>2019</v>
      </c>
      <c r="L39" s="7"/>
      <c r="M39" s="3" t="s">
        <v>337</v>
      </c>
      <c r="N39" s="3"/>
      <c r="O39" s="3" t="s">
        <v>33</v>
      </c>
      <c r="P39" s="42">
        <v>1445697</v>
      </c>
      <c r="Q39" s="50"/>
      <c r="R39" s="50"/>
      <c r="S39" s="3"/>
      <c r="T39" s="10"/>
      <c r="W39" s="17" t="s">
        <v>338</v>
      </c>
      <c r="X39" s="22">
        <v>3</v>
      </c>
      <c r="Y39" s="22">
        <v>11</v>
      </c>
      <c r="Z39" s="19">
        <f>3/11</f>
        <v>0.27272727272727271</v>
      </c>
      <c r="AA39" s="58">
        <v>121.4</v>
      </c>
      <c r="AB39" s="58">
        <v>104.4</v>
      </c>
      <c r="AC39" s="58">
        <f t="shared" si="3"/>
        <v>17</v>
      </c>
      <c r="AD39" s="58">
        <v>10.199999999999999</v>
      </c>
      <c r="AE39" s="58">
        <v>8.1999999999999993</v>
      </c>
      <c r="AF39" s="19">
        <v>0.53800000000000003</v>
      </c>
      <c r="AG39" s="58">
        <v>12.1</v>
      </c>
      <c r="AH39" s="58">
        <v>0.1</v>
      </c>
      <c r="AI39" s="58">
        <v>0.1</v>
      </c>
      <c r="AJ39" s="19">
        <v>7.2999999999999995E-2</v>
      </c>
      <c r="AK39" s="58">
        <v>-3.1</v>
      </c>
      <c r="AL39" s="58">
        <v>-1</v>
      </c>
      <c r="AM39" s="58">
        <v>-0.1</v>
      </c>
      <c r="AN39" s="58">
        <v>2.2999999999999998</v>
      </c>
    </row>
    <row r="40" spans="1:40" x14ac:dyDescent="0.2">
      <c r="A40" s="3">
        <v>28</v>
      </c>
      <c r="B40" s="3" t="s">
        <v>339</v>
      </c>
      <c r="C40" s="3" t="s">
        <v>220</v>
      </c>
      <c r="D40" s="34">
        <v>65</v>
      </c>
      <c r="E40" s="34">
        <v>69</v>
      </c>
      <c r="F40" s="35">
        <v>215</v>
      </c>
      <c r="G40" s="36">
        <v>35152</v>
      </c>
      <c r="H40" s="6">
        <f t="shared" ca="1" si="0"/>
        <v>24.5</v>
      </c>
      <c r="I40" s="3" t="s">
        <v>268</v>
      </c>
      <c r="J40" s="3">
        <v>2</v>
      </c>
      <c r="K40" s="7">
        <v>2019</v>
      </c>
      <c r="L40" s="7"/>
      <c r="M40" s="3" t="s">
        <v>340</v>
      </c>
      <c r="N40" s="3"/>
      <c r="O40" s="3" t="s">
        <v>33</v>
      </c>
      <c r="P40" s="42">
        <v>1445697</v>
      </c>
      <c r="Q40" s="50"/>
      <c r="R40" s="50"/>
      <c r="S40" s="50"/>
      <c r="T40" s="10"/>
      <c r="W40" s="59" t="s">
        <v>341</v>
      </c>
      <c r="X40" s="22">
        <v>2</v>
      </c>
      <c r="Y40" s="22">
        <v>2</v>
      </c>
      <c r="Z40" s="19">
        <f>0/2</f>
        <v>0</v>
      </c>
      <c r="AA40" s="58">
        <v>193.3</v>
      </c>
      <c r="AB40" s="58">
        <v>87.5</v>
      </c>
      <c r="AC40" s="58">
        <f t="shared" si="3"/>
        <v>105.80000000000001</v>
      </c>
      <c r="AD40" s="58">
        <v>3.1</v>
      </c>
      <c r="AE40" s="58">
        <v>30.7</v>
      </c>
      <c r="AF40" s="19">
        <v>0.72699999999999998</v>
      </c>
      <c r="AG40" s="58">
        <v>24.4</v>
      </c>
      <c r="AH40" s="58">
        <v>0</v>
      </c>
      <c r="AI40" s="58">
        <v>0</v>
      </c>
      <c r="AJ40" s="19">
        <v>0.317</v>
      </c>
      <c r="AK40" s="58">
        <v>5.4</v>
      </c>
      <c r="AL40" s="58">
        <v>-1</v>
      </c>
      <c r="AM40" s="58">
        <v>0</v>
      </c>
      <c r="AN40" s="58">
        <v>12.3</v>
      </c>
    </row>
    <row r="41" spans="1:40" x14ac:dyDescent="0.2">
      <c r="A41" s="3">
        <v>32</v>
      </c>
      <c r="B41" s="3" t="s">
        <v>342</v>
      </c>
      <c r="C41" s="3" t="s">
        <v>207</v>
      </c>
      <c r="D41" s="34">
        <v>69</v>
      </c>
      <c r="E41" s="34">
        <v>71</v>
      </c>
      <c r="F41" s="35">
        <v>240</v>
      </c>
      <c r="G41" s="36">
        <v>35613</v>
      </c>
      <c r="H41" s="6">
        <f t="shared" ca="1" si="0"/>
        <v>23.3</v>
      </c>
      <c r="I41" s="3" t="s">
        <v>343</v>
      </c>
      <c r="J41" s="3">
        <v>5</v>
      </c>
      <c r="K41" s="7">
        <v>2016</v>
      </c>
      <c r="L41" s="7">
        <v>8</v>
      </c>
      <c r="M41" s="3" t="s">
        <v>344</v>
      </c>
      <c r="N41" s="3"/>
      <c r="O41" s="3" t="s">
        <v>42</v>
      </c>
      <c r="P41" s="52">
        <v>1824003</v>
      </c>
      <c r="Q41" s="53">
        <v>1856061</v>
      </c>
      <c r="R41" s="3"/>
      <c r="S41" s="3"/>
      <c r="T41" s="64"/>
      <c r="W41" s="17" t="s">
        <v>296</v>
      </c>
      <c r="X41" s="22">
        <v>5</v>
      </c>
      <c r="Y41" s="22">
        <v>59</v>
      </c>
      <c r="Z41" s="19">
        <f>15/59</f>
        <v>0.25423728813559321</v>
      </c>
      <c r="AA41" s="58">
        <v>103.7</v>
      </c>
      <c r="AB41" s="58">
        <v>113.2</v>
      </c>
      <c r="AC41" s="58">
        <f t="shared" si="3"/>
        <v>-9.5</v>
      </c>
      <c r="AD41" s="58">
        <v>20.3</v>
      </c>
      <c r="AE41" s="58">
        <v>9.4</v>
      </c>
      <c r="AF41" s="19">
        <v>0.60399999999999998</v>
      </c>
      <c r="AG41" s="58">
        <v>19</v>
      </c>
      <c r="AH41" s="58">
        <v>2.1</v>
      </c>
      <c r="AI41" s="58">
        <v>1.3</v>
      </c>
      <c r="AJ41" s="19">
        <v>0.13600000000000001</v>
      </c>
      <c r="AK41" s="58">
        <v>0.1</v>
      </c>
      <c r="AL41" s="58">
        <v>0.5</v>
      </c>
      <c r="AM41" s="58">
        <v>0.8</v>
      </c>
      <c r="AN41" s="58">
        <v>12.7</v>
      </c>
    </row>
    <row r="42" spans="1:40" x14ac:dyDescent="0.2">
      <c r="A42" s="3">
        <v>1</v>
      </c>
      <c r="B42" s="3" t="s">
        <v>345</v>
      </c>
      <c r="C42" s="3" t="s">
        <v>198</v>
      </c>
      <c r="D42" s="34">
        <v>65</v>
      </c>
      <c r="E42" s="34"/>
      <c r="F42" s="35">
        <v>210</v>
      </c>
      <c r="G42" s="36">
        <v>33898</v>
      </c>
      <c r="H42" s="6">
        <f t="shared" ca="1" si="0"/>
        <v>28</v>
      </c>
      <c r="I42" s="3" t="s">
        <v>346</v>
      </c>
      <c r="J42" s="3">
        <v>4</v>
      </c>
      <c r="K42" s="7">
        <v>2016</v>
      </c>
      <c r="L42" s="7"/>
      <c r="M42" s="3" t="s">
        <v>347</v>
      </c>
      <c r="N42" s="3"/>
      <c r="O42" s="3" t="s">
        <v>42</v>
      </c>
      <c r="P42" s="52">
        <v>1762796</v>
      </c>
      <c r="Q42" s="52">
        <v>1910860</v>
      </c>
      <c r="R42" s="53">
        <v>1948864</v>
      </c>
      <c r="S42" s="3"/>
      <c r="T42" s="50"/>
      <c r="W42" s="17" t="s">
        <v>348</v>
      </c>
      <c r="X42" s="22">
        <v>2</v>
      </c>
      <c r="Y42" s="22">
        <v>49</v>
      </c>
      <c r="Z42" s="19">
        <f>12/49</f>
        <v>0.24489795918367346</v>
      </c>
      <c r="AA42" s="58">
        <v>105.6</v>
      </c>
      <c r="AB42" s="58">
        <v>109.7</v>
      </c>
      <c r="AC42" s="58">
        <f t="shared" si="3"/>
        <v>-4.1000000000000085</v>
      </c>
      <c r="AD42" s="58">
        <v>29</v>
      </c>
      <c r="AE42" s="58">
        <v>12.7</v>
      </c>
      <c r="AF42" s="19">
        <v>0.54800000000000004</v>
      </c>
      <c r="AG42" s="58">
        <v>19</v>
      </c>
      <c r="AH42" s="58">
        <v>0.9</v>
      </c>
      <c r="AI42" s="58">
        <v>0.8</v>
      </c>
      <c r="AJ42" s="19">
        <v>5.8000000000000003E-2</v>
      </c>
      <c r="AK42" s="58">
        <v>-1.5</v>
      </c>
      <c r="AL42" s="58">
        <v>-0.8</v>
      </c>
      <c r="AM42" s="58">
        <v>-0.1</v>
      </c>
      <c r="AN42" s="58">
        <v>8.9</v>
      </c>
    </row>
    <row r="43" spans="1:40" x14ac:dyDescent="0.2">
      <c r="A43" s="3">
        <v>12</v>
      </c>
      <c r="B43" s="3" t="s">
        <v>349</v>
      </c>
      <c r="C43" s="3" t="s">
        <v>251</v>
      </c>
      <c r="D43" s="34">
        <v>61</v>
      </c>
      <c r="E43" s="34">
        <v>67</v>
      </c>
      <c r="F43" s="35">
        <v>187</v>
      </c>
      <c r="G43" s="36">
        <v>35598</v>
      </c>
      <c r="H43" s="6">
        <f t="shared" ca="1" si="0"/>
        <v>23.3</v>
      </c>
      <c r="I43" s="3" t="s">
        <v>350</v>
      </c>
      <c r="J43" s="3">
        <v>2</v>
      </c>
      <c r="K43" s="7">
        <v>2019</v>
      </c>
      <c r="L43" s="7"/>
      <c r="M43" s="3" t="s">
        <v>265</v>
      </c>
      <c r="N43" s="3"/>
      <c r="O43" s="3" t="s">
        <v>42</v>
      </c>
      <c r="P43" s="52">
        <v>1517981</v>
      </c>
      <c r="Q43" s="52">
        <v>1782621</v>
      </c>
      <c r="R43" s="42">
        <v>2228276</v>
      </c>
      <c r="S43" s="3"/>
      <c r="T43" s="50"/>
      <c r="W43" s="65" t="s">
        <v>218</v>
      </c>
      <c r="X43" s="22">
        <v>1</v>
      </c>
      <c r="Y43" s="22">
        <v>45</v>
      </c>
      <c r="Z43" s="19">
        <f>9/45</f>
        <v>0.2</v>
      </c>
      <c r="AA43" s="58">
        <v>99.8</v>
      </c>
      <c r="AB43" s="58">
        <v>108.2</v>
      </c>
      <c r="AC43" s="58">
        <f t="shared" si="3"/>
        <v>-8.4000000000000057</v>
      </c>
      <c r="AD43" s="58">
        <v>22.6</v>
      </c>
      <c r="AE43" s="58">
        <v>9.1999999999999993</v>
      </c>
      <c r="AF43" s="19">
        <v>0.49399999999999999</v>
      </c>
      <c r="AG43" s="58">
        <v>17.2</v>
      </c>
      <c r="AH43" s="58">
        <v>-0.6</v>
      </c>
      <c r="AI43" s="58">
        <v>0.6</v>
      </c>
      <c r="AJ43" s="19">
        <v>-3.0000000000000001E-3</v>
      </c>
      <c r="AK43" s="58">
        <v>-4</v>
      </c>
      <c r="AL43" s="58">
        <v>-0.3</v>
      </c>
      <c r="AM43" s="58">
        <v>-0.6</v>
      </c>
      <c r="AN43" s="58">
        <v>6.7</v>
      </c>
    </row>
    <row r="44" spans="1:40" x14ac:dyDescent="0.2">
      <c r="A44" s="3">
        <v>95</v>
      </c>
      <c r="B44" s="3" t="s">
        <v>351</v>
      </c>
      <c r="C44" s="3" t="s">
        <v>224</v>
      </c>
      <c r="D44" s="34">
        <v>66</v>
      </c>
      <c r="E44" s="34">
        <v>610</v>
      </c>
      <c r="F44" s="35">
        <v>209</v>
      </c>
      <c r="G44" s="36">
        <v>34038</v>
      </c>
      <c r="H44" s="6">
        <f t="shared" ca="1" si="0"/>
        <v>27.6</v>
      </c>
      <c r="I44" s="3" t="s">
        <v>352</v>
      </c>
      <c r="J44" s="3">
        <v>2</v>
      </c>
      <c r="K44" s="7">
        <v>2015</v>
      </c>
      <c r="L44" s="7"/>
      <c r="M44" s="3" t="s">
        <v>265</v>
      </c>
      <c r="N44" s="3"/>
      <c r="O44" s="3" t="s">
        <v>42</v>
      </c>
      <c r="P44" s="52">
        <v>1517981</v>
      </c>
      <c r="Q44" s="52">
        <v>1782621</v>
      </c>
      <c r="R44" s="42">
        <v>2228276</v>
      </c>
      <c r="S44" s="50"/>
      <c r="W44" s="17" t="s">
        <v>353</v>
      </c>
      <c r="X44" s="22">
        <v>3</v>
      </c>
      <c r="Y44" s="22">
        <v>13</v>
      </c>
      <c r="Z44" s="19">
        <f>3/13</f>
        <v>0.23076923076923078</v>
      </c>
      <c r="AA44" s="58">
        <v>99.5</v>
      </c>
      <c r="AB44" s="58">
        <v>111.5</v>
      </c>
      <c r="AC44" s="58">
        <f t="shared" si="3"/>
        <v>-12</v>
      </c>
      <c r="AD44" s="58">
        <v>20.9</v>
      </c>
      <c r="AE44" s="58">
        <v>9.4</v>
      </c>
      <c r="AF44" s="19">
        <v>0.52900000000000003</v>
      </c>
      <c r="AG44" s="58">
        <v>12.7</v>
      </c>
      <c r="AH44" s="58">
        <v>-0.1</v>
      </c>
      <c r="AI44" s="58">
        <v>0.2</v>
      </c>
      <c r="AJ44" s="19">
        <v>0.03</v>
      </c>
      <c r="AK44" s="58">
        <v>-3.9</v>
      </c>
      <c r="AL44" s="58">
        <v>0.4</v>
      </c>
      <c r="AM44" s="58">
        <v>-0.1</v>
      </c>
      <c r="AN44" s="58">
        <v>7.4</v>
      </c>
    </row>
    <row r="45" spans="1:40" x14ac:dyDescent="0.2">
      <c r="A45" s="3">
        <v>12</v>
      </c>
      <c r="B45" s="3" t="s">
        <v>354</v>
      </c>
      <c r="C45" s="3" t="s">
        <v>224</v>
      </c>
      <c r="D45" s="34">
        <v>63</v>
      </c>
      <c r="E45" s="34">
        <v>68</v>
      </c>
      <c r="F45" s="35">
        <v>184</v>
      </c>
      <c r="G45" s="36">
        <v>34497</v>
      </c>
      <c r="H45" s="6">
        <f t="shared" ca="1" si="0"/>
        <v>26.3</v>
      </c>
      <c r="I45" s="3" t="s">
        <v>208</v>
      </c>
      <c r="J45" s="3">
        <v>2</v>
      </c>
      <c r="K45" s="7">
        <v>2017</v>
      </c>
      <c r="L45" s="7"/>
      <c r="M45" s="3" t="s">
        <v>355</v>
      </c>
      <c r="N45" s="3"/>
      <c r="O45" s="3" t="s">
        <v>42</v>
      </c>
      <c r="P45" s="52">
        <v>1517981</v>
      </c>
      <c r="Q45" s="52">
        <v>1782621</v>
      </c>
      <c r="R45" s="42">
        <v>2228276</v>
      </c>
      <c r="S45" s="3"/>
      <c r="T45" s="50"/>
      <c r="W45" s="17" t="s">
        <v>356</v>
      </c>
      <c r="X45" s="22">
        <v>1</v>
      </c>
      <c r="Y45" s="22">
        <v>7</v>
      </c>
      <c r="Z45" s="19">
        <f>3.7</f>
        <v>3.7</v>
      </c>
      <c r="AA45" s="58">
        <v>113.3</v>
      </c>
      <c r="AB45" s="58">
        <v>107.1</v>
      </c>
      <c r="AC45" s="58">
        <f t="shared" si="3"/>
        <v>6.2000000000000028</v>
      </c>
      <c r="AD45" s="58">
        <v>29.1</v>
      </c>
      <c r="AE45" s="58">
        <v>7.8</v>
      </c>
      <c r="AF45" s="19">
        <v>0.55300000000000005</v>
      </c>
      <c r="AG45" s="58">
        <v>16.2</v>
      </c>
      <c r="AH45" s="58">
        <v>0.1</v>
      </c>
      <c r="AI45" s="58">
        <v>0</v>
      </c>
      <c r="AJ45" s="19">
        <v>1.7000000000000001E-2</v>
      </c>
      <c r="AK45" s="58">
        <v>-3.3</v>
      </c>
      <c r="AL45" s="58">
        <v>-2.9</v>
      </c>
      <c r="AM45" s="58">
        <v>-0.2</v>
      </c>
      <c r="AN45" s="58">
        <v>5</v>
      </c>
    </row>
    <row r="46" spans="1:40" x14ac:dyDescent="0.2">
      <c r="A46" s="7">
        <v>8</v>
      </c>
      <c r="B46" s="3" t="s">
        <v>357</v>
      </c>
      <c r="C46" s="3" t="s">
        <v>207</v>
      </c>
      <c r="D46" s="34">
        <v>610</v>
      </c>
      <c r="E46" s="34">
        <v>71</v>
      </c>
      <c r="F46" s="35">
        <v>233</v>
      </c>
      <c r="G46" s="36">
        <v>32363</v>
      </c>
      <c r="H46" s="6">
        <f t="shared" ca="1" si="0"/>
        <v>32.200000000000003</v>
      </c>
      <c r="I46" s="17" t="s">
        <v>358</v>
      </c>
      <c r="J46" s="3">
        <v>13</v>
      </c>
      <c r="K46" s="7">
        <v>2008</v>
      </c>
      <c r="L46" s="7">
        <v>6</v>
      </c>
      <c r="M46" s="3" t="s">
        <v>359</v>
      </c>
      <c r="N46" s="3"/>
      <c r="O46" s="3" t="s">
        <v>61</v>
      </c>
      <c r="P46" s="49">
        <v>33923339</v>
      </c>
      <c r="Q46" s="50"/>
      <c r="R46" s="50"/>
      <c r="S46" s="50"/>
      <c r="T46" s="50"/>
      <c r="W46" s="17" t="s">
        <v>360</v>
      </c>
      <c r="X46" s="22">
        <v>4</v>
      </c>
      <c r="Y46" s="22">
        <v>55</v>
      </c>
      <c r="Z46" s="19">
        <f>33/55</f>
        <v>0.6</v>
      </c>
      <c r="AA46" s="58">
        <v>116.8</v>
      </c>
      <c r="AB46" s="58">
        <v>111.8</v>
      </c>
      <c r="AC46" s="58">
        <f t="shared" si="3"/>
        <v>5</v>
      </c>
      <c r="AD46" s="58">
        <v>30.7</v>
      </c>
      <c r="AE46" s="58">
        <v>19.399999999999999</v>
      </c>
      <c r="AF46" s="19">
        <v>0.61099999999999999</v>
      </c>
      <c r="AG46" s="58">
        <v>24.4</v>
      </c>
      <c r="AH46" s="58">
        <v>4.0999999999999996</v>
      </c>
      <c r="AI46" s="58">
        <v>1.6</v>
      </c>
      <c r="AJ46" s="19">
        <v>0.16300000000000001</v>
      </c>
      <c r="AK46" s="58">
        <v>4.0999999999999996</v>
      </c>
      <c r="AL46" s="58">
        <v>-0.9</v>
      </c>
      <c r="AM46" s="58">
        <v>2.2000000000000002</v>
      </c>
      <c r="AN46" s="58">
        <v>13</v>
      </c>
    </row>
    <row r="47" spans="1:40" x14ac:dyDescent="0.2">
      <c r="A47" s="7">
        <v>21</v>
      </c>
      <c r="B47" s="3" t="s">
        <v>361</v>
      </c>
      <c r="C47" s="3" t="s">
        <v>224</v>
      </c>
      <c r="D47" s="34">
        <v>67</v>
      </c>
      <c r="E47" s="34">
        <v>611</v>
      </c>
      <c r="F47" s="35">
        <v>210</v>
      </c>
      <c r="G47" s="36">
        <v>33576</v>
      </c>
      <c r="H47" s="6">
        <f t="shared" ca="1" si="0"/>
        <v>28.8</v>
      </c>
      <c r="I47" s="17" t="s">
        <v>362</v>
      </c>
      <c r="J47" s="3">
        <v>8</v>
      </c>
      <c r="K47" s="7">
        <v>2013</v>
      </c>
      <c r="L47" s="7">
        <v>26</v>
      </c>
      <c r="M47" s="3" t="s">
        <v>363</v>
      </c>
      <c r="N47" s="3"/>
      <c r="O47" s="3" t="s">
        <v>61</v>
      </c>
      <c r="P47" s="49">
        <v>16111110</v>
      </c>
      <c r="Q47" s="50"/>
      <c r="R47" s="50"/>
      <c r="S47" s="50"/>
      <c r="T47" s="50"/>
      <c r="W47" s="17" t="s">
        <v>364</v>
      </c>
      <c r="X47" s="22">
        <v>2</v>
      </c>
      <c r="Y47" s="22">
        <v>39</v>
      </c>
      <c r="Z47" s="19">
        <f>24/39</f>
        <v>0.61538461538461542</v>
      </c>
      <c r="AA47" s="58">
        <v>106.7</v>
      </c>
      <c r="AB47" s="58">
        <v>97.3</v>
      </c>
      <c r="AC47" s="58">
        <f t="shared" si="3"/>
        <v>9.4000000000000057</v>
      </c>
      <c r="AD47" s="58">
        <v>26.6</v>
      </c>
      <c r="AE47" s="58">
        <v>10.9</v>
      </c>
      <c r="AF47" s="19">
        <v>0.54300000000000004</v>
      </c>
      <c r="AG47" s="58">
        <v>8.6</v>
      </c>
      <c r="AH47" s="58">
        <v>0.8</v>
      </c>
      <c r="AI47" s="58">
        <v>1.3</v>
      </c>
      <c r="AJ47" s="19">
        <v>0.1</v>
      </c>
      <c r="AK47" s="58">
        <v>-1.9</v>
      </c>
      <c r="AL47" s="58">
        <v>1.8</v>
      </c>
      <c r="AM47" s="58">
        <v>0.5</v>
      </c>
      <c r="AN47" s="58">
        <v>6.5</v>
      </c>
    </row>
    <row r="48" spans="1:40" x14ac:dyDescent="0.2">
      <c r="A48" s="7">
        <v>33</v>
      </c>
      <c r="B48" s="3" t="s">
        <v>365</v>
      </c>
      <c r="C48" s="3" t="s">
        <v>207</v>
      </c>
      <c r="D48" s="34">
        <v>610</v>
      </c>
      <c r="E48" s="34">
        <v>71</v>
      </c>
      <c r="F48" s="35">
        <v>240</v>
      </c>
      <c r="G48" s="36">
        <v>33420</v>
      </c>
      <c r="H48" s="6">
        <f t="shared" ca="1" si="0"/>
        <v>29.3</v>
      </c>
      <c r="I48" s="17" t="s">
        <v>366</v>
      </c>
      <c r="J48" s="3">
        <v>8</v>
      </c>
      <c r="K48" s="7">
        <v>2013</v>
      </c>
      <c r="L48" s="7">
        <v>44</v>
      </c>
      <c r="M48" s="3" t="s">
        <v>367</v>
      </c>
      <c r="N48" s="3"/>
      <c r="O48" s="3" t="s">
        <v>61</v>
      </c>
      <c r="P48" s="57">
        <v>2283034</v>
      </c>
      <c r="Q48" s="49">
        <v>1856061</v>
      </c>
      <c r="R48" s="50"/>
      <c r="S48" s="50"/>
      <c r="T48" s="50"/>
      <c r="W48" s="17" t="s">
        <v>368</v>
      </c>
      <c r="X48" s="22">
        <v>5</v>
      </c>
      <c r="Y48" s="22">
        <v>41</v>
      </c>
      <c r="Z48" s="19">
        <f>23/41</f>
        <v>0.56097560975609762</v>
      </c>
      <c r="AA48" s="58">
        <v>102.3</v>
      </c>
      <c r="AB48" s="58">
        <v>104.9</v>
      </c>
      <c r="AC48" s="58">
        <f t="shared" si="3"/>
        <v>-2.6000000000000085</v>
      </c>
      <c r="AD48" s="58">
        <v>12</v>
      </c>
      <c r="AE48" s="58">
        <v>12.2</v>
      </c>
      <c r="AF48" s="19">
        <v>0.56000000000000005</v>
      </c>
      <c r="AG48" s="58">
        <v>16.399999999999999</v>
      </c>
      <c r="AH48" s="58">
        <v>0.5</v>
      </c>
      <c r="AI48" s="58">
        <v>0.5</v>
      </c>
      <c r="AJ48" s="19">
        <v>0.10199999999999999</v>
      </c>
      <c r="AK48" s="58">
        <v>-0.1</v>
      </c>
      <c r="AL48" s="58">
        <v>-0.1</v>
      </c>
      <c r="AM48" s="58">
        <v>0.2</v>
      </c>
      <c r="AN48" s="58">
        <v>8.1999999999999993</v>
      </c>
    </row>
    <row r="49" spans="1:42" x14ac:dyDescent="0.2">
      <c r="A49" s="7">
        <v>11</v>
      </c>
      <c r="B49" s="3" t="s">
        <v>369</v>
      </c>
      <c r="C49" s="3" t="s">
        <v>220</v>
      </c>
      <c r="D49" s="34">
        <v>65</v>
      </c>
      <c r="E49" s="34">
        <v>71</v>
      </c>
      <c r="F49" s="35">
        <v>225</v>
      </c>
      <c r="G49" s="36">
        <v>34237</v>
      </c>
      <c r="H49" s="6">
        <f t="shared" ca="1" si="0"/>
        <v>27</v>
      </c>
      <c r="I49" s="17" t="s">
        <v>138</v>
      </c>
      <c r="J49" s="3">
        <v>4</v>
      </c>
      <c r="K49" s="7">
        <v>2016</v>
      </c>
      <c r="L49" s="7">
        <v>58</v>
      </c>
      <c r="M49" s="3" t="s">
        <v>370</v>
      </c>
      <c r="N49" s="3"/>
      <c r="O49" s="3" t="s">
        <v>61</v>
      </c>
      <c r="P49" s="51">
        <v>1752950</v>
      </c>
      <c r="Q49" s="49">
        <v>1856061</v>
      </c>
      <c r="R49" s="50"/>
      <c r="S49" s="50"/>
      <c r="T49" s="50"/>
      <c r="W49" s="17" t="s">
        <v>371</v>
      </c>
      <c r="X49" s="22">
        <v>3</v>
      </c>
      <c r="Y49" s="22">
        <v>48</v>
      </c>
      <c r="Z49" s="19">
        <f>33/48</f>
        <v>0.6875</v>
      </c>
      <c r="AA49" s="58">
        <v>100.6</v>
      </c>
      <c r="AB49" s="58">
        <v>103.9</v>
      </c>
      <c r="AC49" s="58">
        <f t="shared" si="3"/>
        <v>-3.3000000000000114</v>
      </c>
      <c r="AD49" s="58">
        <v>15.8</v>
      </c>
      <c r="AE49" s="58">
        <v>11.2</v>
      </c>
      <c r="AF49" s="19">
        <v>0.57999999999999996</v>
      </c>
      <c r="AG49" s="58">
        <v>16.5</v>
      </c>
      <c r="AH49" s="58">
        <v>0.4</v>
      </c>
      <c r="AI49" s="58">
        <v>0.7</v>
      </c>
      <c r="AJ49" s="19">
        <v>7.1999999999999995E-2</v>
      </c>
      <c r="AK49" s="58">
        <v>-1.1000000000000001</v>
      </c>
      <c r="AL49" s="58">
        <v>0.2</v>
      </c>
      <c r="AM49" s="58">
        <v>0.2</v>
      </c>
      <c r="AN49" s="58">
        <v>7.1</v>
      </c>
    </row>
    <row r="50" spans="1:42" x14ac:dyDescent="0.2">
      <c r="A50" s="7">
        <v>6</v>
      </c>
      <c r="B50" s="3" t="s">
        <v>372</v>
      </c>
      <c r="C50" s="3" t="s">
        <v>224</v>
      </c>
      <c r="D50" s="34">
        <v>65</v>
      </c>
      <c r="E50" s="34">
        <v>611</v>
      </c>
      <c r="F50" s="35">
        <v>202</v>
      </c>
      <c r="G50" s="36">
        <v>36007</v>
      </c>
      <c r="H50" s="6">
        <f t="shared" ca="1" si="0"/>
        <v>22.2</v>
      </c>
      <c r="I50" s="17" t="s">
        <v>208</v>
      </c>
      <c r="J50" s="3">
        <v>3</v>
      </c>
      <c r="K50" s="7">
        <v>2018</v>
      </c>
      <c r="L50" s="7">
        <v>45</v>
      </c>
      <c r="M50" s="3" t="s">
        <v>373</v>
      </c>
      <c r="N50" s="3"/>
      <c r="O50" s="3" t="s">
        <v>61</v>
      </c>
      <c r="P50" s="47">
        <v>1663861</v>
      </c>
      <c r="Q50" s="60">
        <v>2122822</v>
      </c>
      <c r="R50" s="50"/>
      <c r="S50" s="50"/>
      <c r="T50" s="50"/>
      <c r="W50" s="17" t="s">
        <v>374</v>
      </c>
      <c r="X50" s="22">
        <v>3</v>
      </c>
      <c r="Y50" s="22">
        <v>38</v>
      </c>
      <c r="Z50" s="19">
        <f>21/38</f>
        <v>0.55263157894736847</v>
      </c>
      <c r="AA50" s="58">
        <v>104.3</v>
      </c>
      <c r="AB50" s="58">
        <v>102.4</v>
      </c>
      <c r="AC50" s="58">
        <f t="shared" si="3"/>
        <v>1.8999999999999915</v>
      </c>
      <c r="AD50" s="58">
        <v>18.399999999999999</v>
      </c>
      <c r="AE50" s="58">
        <v>8.4</v>
      </c>
      <c r="AF50" s="19">
        <v>0.48799999999999999</v>
      </c>
      <c r="AG50" s="58">
        <v>17.399999999999999</v>
      </c>
      <c r="AH50" s="58">
        <v>-0.6</v>
      </c>
      <c r="AI50" s="58">
        <v>0.8</v>
      </c>
      <c r="AJ50" s="19">
        <v>1.4E-2</v>
      </c>
      <c r="AK50" s="58">
        <v>-5</v>
      </c>
      <c r="AL50" s="58">
        <v>0.3</v>
      </c>
      <c r="AM50" s="58">
        <v>-0.5</v>
      </c>
      <c r="AN50" s="58">
        <v>5.3</v>
      </c>
    </row>
    <row r="51" spans="1:42" x14ac:dyDescent="0.2">
      <c r="A51" s="7">
        <v>30</v>
      </c>
      <c r="B51" s="3" t="s">
        <v>375</v>
      </c>
      <c r="C51" s="3" t="s">
        <v>220</v>
      </c>
      <c r="D51" s="34">
        <v>64</v>
      </c>
      <c r="E51" s="34">
        <v>70</v>
      </c>
      <c r="F51" s="35">
        <v>240</v>
      </c>
      <c r="G51" s="36">
        <v>34365</v>
      </c>
      <c r="H51" s="6">
        <f t="shared" ca="1" si="0"/>
        <v>26.7</v>
      </c>
      <c r="I51" s="17" t="s">
        <v>376</v>
      </c>
      <c r="J51" s="3">
        <v>3</v>
      </c>
      <c r="K51" s="7">
        <v>2017</v>
      </c>
      <c r="L51" s="7"/>
      <c r="M51" s="3" t="s">
        <v>377</v>
      </c>
      <c r="N51" s="3"/>
      <c r="O51" s="3" t="s">
        <v>61</v>
      </c>
      <c r="P51" s="51">
        <v>1663861</v>
      </c>
      <c r="Q51" s="60">
        <v>2122822</v>
      </c>
      <c r="R51" s="50"/>
      <c r="S51" s="50"/>
      <c r="T51" s="50"/>
      <c r="W51" s="17" t="s">
        <v>378</v>
      </c>
      <c r="X51" s="22">
        <v>3</v>
      </c>
      <c r="Y51" s="22">
        <v>34</v>
      </c>
      <c r="Z51" s="19">
        <f>20/34</f>
        <v>0.58823529411764708</v>
      </c>
      <c r="AA51" s="58">
        <v>93.2</v>
      </c>
      <c r="AB51" s="58">
        <v>105.2</v>
      </c>
      <c r="AC51" s="58">
        <f t="shared" si="3"/>
        <v>-12</v>
      </c>
      <c r="AD51" s="58">
        <v>8.4</v>
      </c>
      <c r="AE51" s="58">
        <v>5.9</v>
      </c>
      <c r="AF51" s="19">
        <v>0.42599999999999999</v>
      </c>
      <c r="AG51" s="58">
        <v>19.3</v>
      </c>
      <c r="AH51" s="58">
        <v>-0.6</v>
      </c>
      <c r="AI51" s="58">
        <v>0.3</v>
      </c>
      <c r="AJ51" s="19">
        <v>-4.5999999999999999E-2</v>
      </c>
      <c r="AK51" s="58">
        <v>-5.5</v>
      </c>
      <c r="AL51" s="58">
        <v>-0.4</v>
      </c>
      <c r="AM51" s="58">
        <v>-0.3</v>
      </c>
      <c r="AN51" s="58">
        <v>4.3</v>
      </c>
    </row>
    <row r="52" spans="1:42" x14ac:dyDescent="0.2">
      <c r="A52" s="7">
        <v>9</v>
      </c>
      <c r="B52" s="3" t="s">
        <v>379</v>
      </c>
      <c r="C52" s="3" t="s">
        <v>207</v>
      </c>
      <c r="D52" s="34">
        <v>610</v>
      </c>
      <c r="E52" s="34">
        <v>74</v>
      </c>
      <c r="F52" s="35">
        <v>220</v>
      </c>
      <c r="G52" s="36">
        <v>34434</v>
      </c>
      <c r="H52" s="6">
        <f t="shared" ca="1" si="0"/>
        <v>26.5</v>
      </c>
      <c r="I52" s="17" t="s">
        <v>208</v>
      </c>
      <c r="J52" s="3">
        <v>8</v>
      </c>
      <c r="K52" s="7">
        <v>2013</v>
      </c>
      <c r="L52" s="7">
        <v>6</v>
      </c>
      <c r="M52" s="3" t="s">
        <v>380</v>
      </c>
      <c r="N52" s="3"/>
      <c r="O52" s="3" t="s">
        <v>61</v>
      </c>
      <c r="P52" s="49">
        <v>1707576</v>
      </c>
      <c r="Q52" s="50"/>
      <c r="R52" s="50"/>
      <c r="S52" s="50"/>
      <c r="T52" s="50"/>
      <c r="W52" s="59" t="s">
        <v>381</v>
      </c>
      <c r="X52" s="22">
        <v>5</v>
      </c>
      <c r="Y52" s="22">
        <v>55</v>
      </c>
      <c r="Z52" s="19">
        <f>35/55</f>
        <v>0.63636363636363635</v>
      </c>
      <c r="AA52" s="58">
        <v>107.5</v>
      </c>
      <c r="AB52" s="58">
        <v>105.7</v>
      </c>
      <c r="AC52" s="58">
        <f t="shared" si="3"/>
        <v>1.7999999999999972</v>
      </c>
      <c r="AD52" s="58">
        <v>18.399999999999999</v>
      </c>
      <c r="AE52" s="58">
        <v>21.7</v>
      </c>
      <c r="AF52" s="19">
        <v>0.71399999999999997</v>
      </c>
      <c r="AG52" s="58">
        <v>15.3</v>
      </c>
      <c r="AH52" s="58">
        <v>2.7</v>
      </c>
      <c r="AI52" s="58">
        <v>2.1</v>
      </c>
      <c r="AJ52" s="19">
        <v>0.22500000000000001</v>
      </c>
      <c r="AK52" s="58">
        <v>0.5</v>
      </c>
      <c r="AL52" s="58">
        <v>3.4</v>
      </c>
      <c r="AM52" s="58">
        <v>1.5</v>
      </c>
      <c r="AN52" s="58">
        <v>13.2</v>
      </c>
    </row>
    <row r="53" spans="1:42" x14ac:dyDescent="0.2">
      <c r="A53" s="7">
        <v>15</v>
      </c>
      <c r="B53" s="3" t="s">
        <v>382</v>
      </c>
      <c r="C53" s="3" t="s">
        <v>207</v>
      </c>
      <c r="D53" s="34">
        <v>69</v>
      </c>
      <c r="E53" s="34">
        <v>74</v>
      </c>
      <c r="F53" s="35">
        <v>230</v>
      </c>
      <c r="G53" s="36">
        <v>35255</v>
      </c>
      <c r="H53" s="6">
        <f t="shared" ca="1" si="0"/>
        <v>24.2</v>
      </c>
      <c r="I53" s="17" t="s">
        <v>383</v>
      </c>
      <c r="J53" s="3">
        <v>2</v>
      </c>
      <c r="K53" s="7">
        <v>2018</v>
      </c>
      <c r="L53" s="7">
        <v>57</v>
      </c>
      <c r="M53" s="3" t="s">
        <v>384</v>
      </c>
      <c r="N53" s="3"/>
      <c r="O53" s="3" t="s">
        <v>61</v>
      </c>
      <c r="P53" s="42">
        <v>1445697</v>
      </c>
      <c r="Q53" s="50"/>
      <c r="R53" s="50"/>
      <c r="S53" s="50"/>
      <c r="T53" s="50"/>
      <c r="W53" s="17" t="s">
        <v>385</v>
      </c>
      <c r="X53" s="22">
        <v>5</v>
      </c>
      <c r="Y53" s="22">
        <v>7</v>
      </c>
      <c r="Z53" s="19">
        <f>3/7</f>
        <v>0.42857142857142855</v>
      </c>
      <c r="AA53" s="58">
        <v>73.3</v>
      </c>
      <c r="AB53" s="58">
        <v>86.7</v>
      </c>
      <c r="AC53" s="58">
        <f t="shared" si="3"/>
        <v>-13.400000000000006</v>
      </c>
      <c r="AD53" s="58">
        <v>2.8</v>
      </c>
      <c r="AE53" s="58"/>
      <c r="AF53" s="19"/>
      <c r="AG53" s="58"/>
      <c r="AH53" s="58"/>
      <c r="AI53" s="58"/>
      <c r="AJ53" s="19"/>
      <c r="AK53" s="58"/>
      <c r="AL53" s="58"/>
      <c r="AM53" s="58"/>
      <c r="AN53" s="58"/>
    </row>
    <row r="54" spans="1:42" x14ac:dyDescent="0.2">
      <c r="A54" s="7">
        <v>14</v>
      </c>
      <c r="B54" s="3" t="s">
        <v>386</v>
      </c>
      <c r="C54" s="3" t="s">
        <v>224</v>
      </c>
      <c r="D54" s="34">
        <v>65</v>
      </c>
      <c r="E54" s="34">
        <v>68</v>
      </c>
      <c r="F54" s="35">
        <v>215</v>
      </c>
      <c r="G54" s="36">
        <v>34887</v>
      </c>
      <c r="H54" s="6">
        <f t="shared" ca="1" si="0"/>
        <v>25.2</v>
      </c>
      <c r="I54" s="17" t="s">
        <v>387</v>
      </c>
      <c r="J54" s="3">
        <v>2</v>
      </c>
      <c r="K54" s="7">
        <v>2018</v>
      </c>
      <c r="L54" s="7">
        <v>53</v>
      </c>
      <c r="M54" s="3" t="s">
        <v>388</v>
      </c>
      <c r="N54" s="3"/>
      <c r="O54" s="3" t="s">
        <v>61</v>
      </c>
      <c r="P54" s="42">
        <v>1445697</v>
      </c>
      <c r="Q54" s="50"/>
      <c r="R54" s="50"/>
      <c r="S54" s="50"/>
      <c r="T54" s="50"/>
      <c r="X54" s="22"/>
      <c r="Y54" s="22">
        <v>5</v>
      </c>
      <c r="Z54" s="19">
        <f>3/5</f>
        <v>0.6</v>
      </c>
      <c r="AA54" s="58">
        <v>134.9</v>
      </c>
      <c r="AB54" s="58">
        <v>88.4</v>
      </c>
      <c r="AC54" s="58">
        <f t="shared" si="3"/>
        <v>46.5</v>
      </c>
      <c r="AD54" s="58">
        <v>3.9</v>
      </c>
      <c r="AE54" s="58"/>
      <c r="AF54" s="19"/>
      <c r="AG54" s="58"/>
      <c r="AH54" s="58"/>
      <c r="AI54" s="58"/>
      <c r="AJ54" s="19"/>
      <c r="AK54" s="58"/>
      <c r="AL54" s="58"/>
      <c r="AM54" s="58"/>
      <c r="AN54" s="58"/>
      <c r="AP54" s="66"/>
    </row>
    <row r="55" spans="1:42" x14ac:dyDescent="0.2">
      <c r="A55" s="3">
        <v>26</v>
      </c>
      <c r="B55" s="3" t="s">
        <v>389</v>
      </c>
      <c r="C55" s="3" t="s">
        <v>220</v>
      </c>
      <c r="D55" s="34">
        <v>64</v>
      </c>
      <c r="E55" s="34">
        <v>70</v>
      </c>
      <c r="F55" s="35">
        <v>195</v>
      </c>
      <c r="G55" s="36">
        <v>32690</v>
      </c>
      <c r="H55" s="6">
        <f t="shared" ca="1" si="0"/>
        <v>31.3</v>
      </c>
      <c r="I55" s="3" t="s">
        <v>390</v>
      </c>
      <c r="J55" s="3">
        <v>9</v>
      </c>
      <c r="K55" s="3">
        <v>2012</v>
      </c>
      <c r="L55" s="3"/>
      <c r="M55" s="3" t="s">
        <v>391</v>
      </c>
      <c r="N55" s="3"/>
      <c r="O55" s="3" t="s">
        <v>69</v>
      </c>
      <c r="P55" s="49">
        <v>28904493</v>
      </c>
      <c r="Q55" s="50"/>
      <c r="R55" s="50"/>
      <c r="S55" s="50"/>
      <c r="T55" s="50"/>
      <c r="U55" s="3"/>
      <c r="V55" s="3"/>
      <c r="W55" s="3" t="s">
        <v>392</v>
      </c>
      <c r="X55" s="7">
        <v>2</v>
      </c>
      <c r="Y55" s="7">
        <v>21</v>
      </c>
      <c r="Z55" s="11">
        <f>13/21</f>
        <v>0.61904761904761907</v>
      </c>
      <c r="AA55" s="6">
        <v>107</v>
      </c>
      <c r="AB55" s="6">
        <v>104.3</v>
      </c>
      <c r="AC55" s="6">
        <f t="shared" si="3"/>
        <v>2.7000000000000028</v>
      </c>
      <c r="AD55" s="6">
        <v>23.5</v>
      </c>
      <c r="AE55" s="6">
        <v>13</v>
      </c>
      <c r="AF55" s="11">
        <v>0.54300000000000004</v>
      </c>
      <c r="AG55" s="6">
        <v>19.899999999999999</v>
      </c>
      <c r="AH55" s="6">
        <v>0.2</v>
      </c>
      <c r="AI55" s="6">
        <v>0.6</v>
      </c>
      <c r="AJ55" s="11">
        <v>7.6999999999999999E-2</v>
      </c>
      <c r="AK55" s="6">
        <v>-3</v>
      </c>
      <c r="AL55" s="6">
        <v>0.4</v>
      </c>
      <c r="AM55" s="6">
        <v>-0.1</v>
      </c>
      <c r="AN55" s="6">
        <v>9.1</v>
      </c>
    </row>
    <row r="56" spans="1:42" x14ac:dyDescent="0.2">
      <c r="A56" s="3">
        <v>8</v>
      </c>
      <c r="B56" s="3" t="s">
        <v>393</v>
      </c>
      <c r="C56" s="3" t="s">
        <v>224</v>
      </c>
      <c r="D56" s="34">
        <v>66</v>
      </c>
      <c r="E56" s="34">
        <v>611</v>
      </c>
      <c r="F56" s="35">
        <v>220</v>
      </c>
      <c r="G56" s="36">
        <v>33834</v>
      </c>
      <c r="H56" s="6">
        <f t="shared" ca="1" si="0"/>
        <v>28.1</v>
      </c>
      <c r="I56" s="3" t="s">
        <v>240</v>
      </c>
      <c r="J56" s="3">
        <v>4</v>
      </c>
      <c r="K56" s="3">
        <v>2014</v>
      </c>
      <c r="L56" s="3">
        <v>27</v>
      </c>
      <c r="M56" s="3" t="s">
        <v>394</v>
      </c>
      <c r="N56" s="3"/>
      <c r="O56" s="3" t="s">
        <v>69</v>
      </c>
      <c r="P56" s="60">
        <v>16205833</v>
      </c>
      <c r="Q56" s="50"/>
      <c r="R56" s="50"/>
      <c r="S56" s="50"/>
      <c r="T56" s="50"/>
      <c r="U56" s="3"/>
      <c r="V56" s="3"/>
      <c r="W56" s="3" t="s">
        <v>395</v>
      </c>
      <c r="X56" s="7">
        <v>3</v>
      </c>
      <c r="Y56" s="7">
        <v>53</v>
      </c>
      <c r="Z56" s="11">
        <f>26/53</f>
        <v>0.49056603773584906</v>
      </c>
      <c r="AA56" s="6">
        <v>108.1</v>
      </c>
      <c r="AB56" s="6">
        <v>110.3</v>
      </c>
      <c r="AC56" s="6">
        <f t="shared" si="3"/>
        <v>-2.2000000000000028</v>
      </c>
      <c r="AD56" s="6">
        <v>28.5</v>
      </c>
      <c r="AE56" s="6">
        <v>14.3</v>
      </c>
      <c r="AF56" s="11">
        <v>0.56000000000000005</v>
      </c>
      <c r="AG56" s="6">
        <v>22.3</v>
      </c>
      <c r="AH56" s="6">
        <v>1.2</v>
      </c>
      <c r="AI56" s="6">
        <v>1.1000000000000001</v>
      </c>
      <c r="AJ56" s="11">
        <v>7.4999999999999997E-2</v>
      </c>
      <c r="AK56" s="6">
        <v>0.7</v>
      </c>
      <c r="AL56" s="6">
        <v>-0.3</v>
      </c>
      <c r="AM56" s="6">
        <v>0.9</v>
      </c>
      <c r="AN56" s="6">
        <v>9.8000000000000007</v>
      </c>
    </row>
    <row r="57" spans="1:42" x14ac:dyDescent="0.2">
      <c r="A57" s="3">
        <v>88</v>
      </c>
      <c r="B57" s="3" t="s">
        <v>396</v>
      </c>
      <c r="C57" s="3" t="s">
        <v>207</v>
      </c>
      <c r="D57" s="34">
        <v>610</v>
      </c>
      <c r="E57" s="34">
        <v>70</v>
      </c>
      <c r="F57" s="35">
        <v>234</v>
      </c>
      <c r="G57" s="36">
        <v>32272</v>
      </c>
      <c r="H57" s="6">
        <f t="shared" ca="1" si="0"/>
        <v>32.4</v>
      </c>
      <c r="I57" s="3" t="s">
        <v>240</v>
      </c>
      <c r="J57" s="3">
        <v>6</v>
      </c>
      <c r="K57" s="3">
        <v>2010</v>
      </c>
      <c r="L57" s="3">
        <v>35</v>
      </c>
      <c r="M57" s="3" t="s">
        <v>397</v>
      </c>
      <c r="N57" s="3"/>
      <c r="O57" s="3" t="s">
        <v>69</v>
      </c>
      <c r="P57" s="52">
        <v>7150000</v>
      </c>
      <c r="Q57" s="49">
        <f>P57*1.9</f>
        <v>13585000</v>
      </c>
      <c r="R57" s="50"/>
      <c r="S57" s="50"/>
      <c r="T57" s="50"/>
      <c r="U57" s="3"/>
      <c r="V57" s="3"/>
      <c r="W57" s="3" t="s">
        <v>398</v>
      </c>
      <c r="X57" s="7">
        <v>4</v>
      </c>
      <c r="Y57" s="7">
        <v>64</v>
      </c>
      <c r="Z57" s="11">
        <f>28/64</f>
        <v>0.4375</v>
      </c>
      <c r="AA57" s="6">
        <v>109.4</v>
      </c>
      <c r="AB57" s="6">
        <v>111.6</v>
      </c>
      <c r="AC57" s="6">
        <f t="shared" si="3"/>
        <v>-2.1999999999999886</v>
      </c>
      <c r="AD57" s="6">
        <v>28.5</v>
      </c>
      <c r="AE57" s="6">
        <v>15.6</v>
      </c>
      <c r="AF57" s="11">
        <v>0.59699999999999998</v>
      </c>
      <c r="AG57" s="6">
        <v>17.399999999999999</v>
      </c>
      <c r="AH57" s="6">
        <v>3</v>
      </c>
      <c r="AI57" s="6">
        <v>1.7</v>
      </c>
      <c r="AJ57" s="11">
        <v>0.125</v>
      </c>
      <c r="AK57" s="6">
        <v>1.2</v>
      </c>
      <c r="AL57" s="6">
        <v>0.4</v>
      </c>
      <c r="AM57" s="6">
        <v>1.7</v>
      </c>
      <c r="AN57" s="6">
        <v>10.1</v>
      </c>
    </row>
    <row r="58" spans="1:42" x14ac:dyDescent="0.2">
      <c r="A58" s="3">
        <v>33</v>
      </c>
      <c r="B58" s="3" t="s">
        <v>399</v>
      </c>
      <c r="C58" s="3" t="s">
        <v>207</v>
      </c>
      <c r="D58" s="34">
        <v>68</v>
      </c>
      <c r="E58" s="34">
        <v>70</v>
      </c>
      <c r="F58" s="35">
        <v>245</v>
      </c>
      <c r="G58" s="36">
        <v>34773</v>
      </c>
      <c r="H58" s="6">
        <f t="shared" ca="1" si="0"/>
        <v>25.6</v>
      </c>
      <c r="I58" s="3" t="s">
        <v>284</v>
      </c>
      <c r="J58" s="3">
        <v>5</v>
      </c>
      <c r="K58" s="3">
        <v>2014</v>
      </c>
      <c r="L58" s="3">
        <v>2</v>
      </c>
      <c r="M58" s="3" t="s">
        <v>400</v>
      </c>
      <c r="N58" s="3"/>
      <c r="O58" s="3" t="s">
        <v>69</v>
      </c>
      <c r="P58" s="57">
        <v>6500000</v>
      </c>
      <c r="Q58" s="49">
        <f>P58*1.3</f>
        <v>8450000</v>
      </c>
      <c r="R58" s="3"/>
      <c r="S58" s="50"/>
      <c r="T58" s="3"/>
      <c r="U58" s="3"/>
      <c r="V58" s="3"/>
      <c r="W58" s="3" t="s">
        <v>401</v>
      </c>
      <c r="X58" s="7">
        <v>4</v>
      </c>
      <c r="Y58" s="7">
        <v>32</v>
      </c>
      <c r="Z58" s="11">
        <f>6/32</f>
        <v>0.1875</v>
      </c>
      <c r="AA58" s="6">
        <v>108.9</v>
      </c>
      <c r="AB58" s="6">
        <v>116.5</v>
      </c>
      <c r="AC58" s="6">
        <f t="shared" si="3"/>
        <v>-7.5999999999999943</v>
      </c>
      <c r="AD58" s="6">
        <v>26.2</v>
      </c>
      <c r="AE58" s="6">
        <v>17.2</v>
      </c>
      <c r="AF58" s="11">
        <v>0.56499999999999995</v>
      </c>
      <c r="AG58" s="6">
        <v>24</v>
      </c>
      <c r="AH58" s="6">
        <v>0.5</v>
      </c>
      <c r="AI58" s="6">
        <v>0.7</v>
      </c>
      <c r="AJ58" s="11">
        <v>6.9000000000000006E-2</v>
      </c>
      <c r="AK58" s="6">
        <v>0.4</v>
      </c>
      <c r="AL58" s="6">
        <v>-0.3</v>
      </c>
      <c r="AM58" s="6">
        <v>0.4</v>
      </c>
      <c r="AN58" s="6">
        <v>10.8</v>
      </c>
    </row>
    <row r="59" spans="1:42" x14ac:dyDescent="0.2">
      <c r="A59" s="3">
        <v>25</v>
      </c>
      <c r="B59" s="3" t="s">
        <v>402</v>
      </c>
      <c r="C59" s="3" t="s">
        <v>207</v>
      </c>
      <c r="D59" s="34">
        <v>70</v>
      </c>
      <c r="E59" s="34">
        <v>74</v>
      </c>
      <c r="F59" s="35">
        <v>250</v>
      </c>
      <c r="G59" s="36">
        <v>34136</v>
      </c>
      <c r="H59" s="6">
        <f t="shared" ca="1" si="0"/>
        <v>27.3</v>
      </c>
      <c r="I59" s="3" t="s">
        <v>403</v>
      </c>
      <c r="J59" s="3">
        <v>8</v>
      </c>
      <c r="K59" s="3">
        <v>2013</v>
      </c>
      <c r="L59" s="3">
        <v>5</v>
      </c>
      <c r="M59" s="3" t="s">
        <v>400</v>
      </c>
      <c r="N59" s="3"/>
      <c r="O59" s="3" t="s">
        <v>69</v>
      </c>
      <c r="P59" s="49">
        <v>5408000</v>
      </c>
      <c r="Q59" s="3"/>
      <c r="R59" s="50"/>
      <c r="S59" s="50"/>
      <c r="T59" s="50"/>
      <c r="U59" s="3"/>
      <c r="V59" s="3"/>
      <c r="W59" s="41" t="s">
        <v>235</v>
      </c>
      <c r="X59" s="7">
        <v>5</v>
      </c>
      <c r="Y59" s="7">
        <v>9</v>
      </c>
      <c r="Z59" s="11">
        <f>6/9</f>
        <v>0.66666666666666663</v>
      </c>
      <c r="AA59" s="6">
        <v>102.8</v>
      </c>
      <c r="AB59" s="6">
        <v>94.8</v>
      </c>
      <c r="AC59" s="6">
        <f t="shared" si="3"/>
        <v>8</v>
      </c>
      <c r="AD59" s="6">
        <v>16.7</v>
      </c>
      <c r="AE59" s="6">
        <v>20.3</v>
      </c>
      <c r="AF59" s="11">
        <v>0.63600000000000001</v>
      </c>
      <c r="AG59" s="6">
        <v>16.7</v>
      </c>
      <c r="AH59" s="6">
        <v>0.3</v>
      </c>
      <c r="AI59" s="6">
        <v>0.2</v>
      </c>
      <c r="AJ59" s="11">
        <v>0.16500000000000001</v>
      </c>
      <c r="AK59" s="6">
        <v>-0.7</v>
      </c>
      <c r="AL59" s="6">
        <v>0.1</v>
      </c>
      <c r="AM59" s="6">
        <v>0.1</v>
      </c>
      <c r="AN59" s="6">
        <v>14</v>
      </c>
    </row>
    <row r="60" spans="1:42" x14ac:dyDescent="0.2">
      <c r="A60" s="3">
        <v>3</v>
      </c>
      <c r="B60" s="3" t="s">
        <v>404</v>
      </c>
      <c r="C60" s="3" t="s">
        <v>251</v>
      </c>
      <c r="D60" s="34">
        <v>60</v>
      </c>
      <c r="E60" s="34"/>
      <c r="F60" s="35">
        <v>178</v>
      </c>
      <c r="G60" s="36">
        <v>34098</v>
      </c>
      <c r="H60" s="6">
        <f t="shared" ca="1" si="0"/>
        <v>27.4</v>
      </c>
      <c r="I60" s="3" t="s">
        <v>405</v>
      </c>
      <c r="J60" s="3">
        <v>5</v>
      </c>
      <c r="K60" s="3">
        <v>2016</v>
      </c>
      <c r="L60" s="3"/>
      <c r="M60" s="3" t="s">
        <v>406</v>
      </c>
      <c r="N60" s="3"/>
      <c r="O60" s="3" t="s">
        <v>69</v>
      </c>
      <c r="P60" s="49">
        <v>4095000</v>
      </c>
      <c r="Q60" s="50"/>
      <c r="R60" s="50"/>
      <c r="S60" s="50"/>
      <c r="T60" s="50"/>
      <c r="U60" s="3"/>
      <c r="V60" s="9"/>
      <c r="W60" s="41" t="s">
        <v>218</v>
      </c>
      <c r="X60" s="7">
        <v>1</v>
      </c>
      <c r="Y60" s="7">
        <v>44</v>
      </c>
      <c r="Z60" s="11">
        <f>17/44</f>
        <v>0.38636363636363635</v>
      </c>
      <c r="AA60" s="6">
        <v>100.5</v>
      </c>
      <c r="AB60" s="6">
        <v>103.8</v>
      </c>
      <c r="AC60" s="6">
        <f t="shared" si="3"/>
        <v>-3.2999999999999972</v>
      </c>
      <c r="AD60" s="6">
        <v>11</v>
      </c>
      <c r="AE60" s="6">
        <v>10.7</v>
      </c>
      <c r="AF60" s="11">
        <v>0.499</v>
      </c>
      <c r="AG60" s="6">
        <v>18.899999999999999</v>
      </c>
      <c r="AH60" s="6">
        <v>0.1</v>
      </c>
      <c r="AI60" s="6">
        <v>0.3</v>
      </c>
      <c r="AJ60" s="11">
        <v>3.5999999999999997E-2</v>
      </c>
      <c r="AK60" s="6">
        <v>-2.1</v>
      </c>
      <c r="AL60" s="6">
        <v>-0.4</v>
      </c>
      <c r="AM60" s="6">
        <v>-0.1</v>
      </c>
      <c r="AN60" s="6">
        <v>8.6</v>
      </c>
    </row>
    <row r="61" spans="1:42" x14ac:dyDescent="0.2">
      <c r="A61" s="3">
        <v>20</v>
      </c>
      <c r="B61" s="3" t="s">
        <v>407</v>
      </c>
      <c r="C61" s="3" t="s">
        <v>207</v>
      </c>
      <c r="D61" s="34">
        <v>611</v>
      </c>
      <c r="E61" s="34">
        <v>73</v>
      </c>
      <c r="F61" s="35">
        <v>240</v>
      </c>
      <c r="G61" s="36">
        <v>35907</v>
      </c>
      <c r="H61" s="6">
        <f t="shared" ca="1" si="0"/>
        <v>22.5</v>
      </c>
      <c r="I61" s="3" t="s">
        <v>284</v>
      </c>
      <c r="J61" s="3">
        <v>4</v>
      </c>
      <c r="K61" s="3">
        <v>2017</v>
      </c>
      <c r="L61" s="3">
        <v>20</v>
      </c>
      <c r="M61" s="3" t="s">
        <v>408</v>
      </c>
      <c r="N61" s="3"/>
      <c r="O61" s="3" t="s">
        <v>69</v>
      </c>
      <c r="P61" s="49">
        <v>3976510</v>
      </c>
      <c r="Q61" s="3"/>
      <c r="R61" s="50"/>
      <c r="S61" s="50"/>
      <c r="T61" s="50"/>
      <c r="U61" s="3"/>
      <c r="V61" s="3"/>
      <c r="W61" s="3" t="s">
        <v>409</v>
      </c>
      <c r="X61" s="7">
        <v>5</v>
      </c>
      <c r="Y61" s="7">
        <v>38</v>
      </c>
      <c r="Z61" s="11">
        <f>19/38</f>
        <v>0.5</v>
      </c>
      <c r="AA61" s="6">
        <v>106.6</v>
      </c>
      <c r="AB61" s="6">
        <v>114.3</v>
      </c>
      <c r="AC61" s="6">
        <f t="shared" si="3"/>
        <v>-7.7000000000000028</v>
      </c>
      <c r="AD61" s="6">
        <v>15.2</v>
      </c>
      <c r="AE61" s="6">
        <v>16.3</v>
      </c>
      <c r="AF61" s="11">
        <v>0.58599999999999997</v>
      </c>
      <c r="AG61" s="6">
        <v>19.600000000000001</v>
      </c>
      <c r="AH61" s="6">
        <v>0.7</v>
      </c>
      <c r="AI61" s="6">
        <v>0.7</v>
      </c>
      <c r="AJ61" s="11">
        <v>0.12</v>
      </c>
      <c r="AK61" s="6">
        <v>-2.2000000000000002</v>
      </c>
      <c r="AL61" s="6">
        <v>1.1000000000000001</v>
      </c>
      <c r="AM61" s="6">
        <v>0.1</v>
      </c>
      <c r="AN61" s="6">
        <v>10.3</v>
      </c>
      <c r="AP61" s="3"/>
    </row>
    <row r="62" spans="1:42" x14ac:dyDescent="0.2">
      <c r="A62" s="3">
        <v>13</v>
      </c>
      <c r="B62" s="3" t="s">
        <v>410</v>
      </c>
      <c r="C62" s="3" t="s">
        <v>224</v>
      </c>
      <c r="D62" s="34">
        <v>69</v>
      </c>
      <c r="E62" s="34">
        <v>69</v>
      </c>
      <c r="F62" s="35">
        <v>186</v>
      </c>
      <c r="G62" s="36">
        <v>31476</v>
      </c>
      <c r="H62" s="6">
        <f t="shared" ca="1" si="0"/>
        <v>34.6</v>
      </c>
      <c r="I62" s="3" t="s">
        <v>275</v>
      </c>
      <c r="J62" s="3">
        <v>14</v>
      </c>
      <c r="K62" s="3">
        <v>2007</v>
      </c>
      <c r="L62" s="3">
        <v>7</v>
      </c>
      <c r="M62" s="3" t="s">
        <v>411</v>
      </c>
      <c r="N62" s="3"/>
      <c r="O62" s="3" t="s">
        <v>69</v>
      </c>
      <c r="P62" s="49">
        <v>1707576</v>
      </c>
      <c r="Q62" s="9"/>
      <c r="R62" s="9"/>
      <c r="S62" s="50"/>
      <c r="T62" s="50"/>
      <c r="U62" s="3"/>
      <c r="V62" s="3"/>
      <c r="W62" s="3"/>
      <c r="X62" s="7"/>
      <c r="Y62" s="7"/>
      <c r="Z62" s="11"/>
      <c r="AA62" s="6"/>
      <c r="AB62" s="6"/>
      <c r="AC62" s="6"/>
      <c r="AD62" s="6"/>
      <c r="AE62" s="6"/>
      <c r="AF62" s="11"/>
      <c r="AG62" s="6"/>
      <c r="AH62" s="6"/>
      <c r="AI62" s="6"/>
      <c r="AJ62" s="11"/>
      <c r="AK62" s="6"/>
      <c r="AL62" s="6"/>
      <c r="AM62" s="6"/>
      <c r="AN62" s="6"/>
    </row>
    <row r="63" spans="1:42" x14ac:dyDescent="0.2">
      <c r="A63" s="3">
        <v>19</v>
      </c>
      <c r="B63" s="3" t="s">
        <v>412</v>
      </c>
      <c r="C63" s="3" t="s">
        <v>198</v>
      </c>
      <c r="D63" s="34">
        <v>65</v>
      </c>
      <c r="E63" s="34">
        <v>611</v>
      </c>
      <c r="F63" s="35">
        <v>230</v>
      </c>
      <c r="G63" s="36">
        <v>35672</v>
      </c>
      <c r="H63" s="6">
        <f t="shared" ca="1" si="0"/>
        <v>23.1</v>
      </c>
      <c r="I63" s="3" t="s">
        <v>332</v>
      </c>
      <c r="J63" s="3">
        <v>2</v>
      </c>
      <c r="K63" s="3">
        <v>2019</v>
      </c>
      <c r="L63" s="3"/>
      <c r="M63" s="3" t="s">
        <v>413</v>
      </c>
      <c r="N63" s="3"/>
      <c r="O63" s="3" t="s">
        <v>69</v>
      </c>
      <c r="P63" s="60">
        <v>1445697</v>
      </c>
      <c r="Q63" s="67"/>
      <c r="R63" s="3"/>
      <c r="S63" s="50"/>
      <c r="T63" s="65"/>
      <c r="Z63" s="11">
        <f>1/6</f>
        <v>0.16666666666666666</v>
      </c>
      <c r="AA63" s="6">
        <v>89.4</v>
      </c>
      <c r="AB63" s="6">
        <v>83.7</v>
      </c>
      <c r="AC63" s="6">
        <f t="shared" ref="AC63:AC69" si="4">AA63-AB63</f>
        <v>5.7000000000000028</v>
      </c>
      <c r="AD63" s="6">
        <v>3.2</v>
      </c>
      <c r="AE63" s="6">
        <v>10.7</v>
      </c>
      <c r="AF63" s="11">
        <v>0.5</v>
      </c>
      <c r="AG63" s="6">
        <v>16.100000000000001</v>
      </c>
      <c r="AH63" s="6">
        <v>0</v>
      </c>
      <c r="AI63" s="6">
        <v>0</v>
      </c>
      <c r="AJ63" s="11">
        <v>8.1000000000000003E-2</v>
      </c>
      <c r="AK63" s="6">
        <v>-2.2999999999999998</v>
      </c>
      <c r="AL63" s="6">
        <v>-0.3</v>
      </c>
      <c r="AM63" s="6">
        <v>0</v>
      </c>
      <c r="AN63" s="6">
        <v>3.4</v>
      </c>
    </row>
    <row r="64" spans="1:42" x14ac:dyDescent="0.2">
      <c r="A64" s="3">
        <v>28</v>
      </c>
      <c r="B64" s="3" t="s">
        <v>414</v>
      </c>
      <c r="C64" s="3" t="s">
        <v>207</v>
      </c>
      <c r="D64" s="34">
        <v>611</v>
      </c>
      <c r="E64" s="34">
        <v>77</v>
      </c>
      <c r="F64" s="35">
        <v>262</v>
      </c>
      <c r="G64" s="36">
        <v>31721</v>
      </c>
      <c r="H64" s="6">
        <f t="shared" ca="1" si="0"/>
        <v>33.9</v>
      </c>
      <c r="I64" s="3" t="s">
        <v>415</v>
      </c>
      <c r="J64" s="3">
        <v>13</v>
      </c>
      <c r="K64" s="3">
        <v>2005</v>
      </c>
      <c r="L64" s="3">
        <v>28</v>
      </c>
      <c r="M64" s="3" t="s">
        <v>416</v>
      </c>
      <c r="N64" s="3"/>
      <c r="O64" s="3" t="s">
        <v>74</v>
      </c>
      <c r="P64" s="49">
        <v>23175077</v>
      </c>
      <c r="Q64" s="3"/>
      <c r="R64" s="3"/>
      <c r="S64" s="3"/>
      <c r="T64" s="3"/>
      <c r="U64" s="3"/>
      <c r="V64" s="3"/>
      <c r="W64" s="41" t="s">
        <v>235</v>
      </c>
      <c r="X64" s="7">
        <v>5</v>
      </c>
      <c r="Y64" s="7">
        <v>38</v>
      </c>
      <c r="Z64" s="11">
        <f>15/38</f>
        <v>0.39473684210526316</v>
      </c>
      <c r="AA64" s="6">
        <v>109.5</v>
      </c>
      <c r="AB64" s="6">
        <v>114</v>
      </c>
      <c r="AC64" s="6">
        <f t="shared" si="4"/>
        <v>-4.5</v>
      </c>
      <c r="AD64" s="6">
        <v>21.3</v>
      </c>
      <c r="AE64" s="6">
        <v>14.1</v>
      </c>
      <c r="AF64" s="11">
        <v>0.54500000000000004</v>
      </c>
      <c r="AG64" s="6">
        <v>15.7</v>
      </c>
      <c r="AH64" s="6">
        <v>0.7</v>
      </c>
      <c r="AI64" s="6">
        <v>0.7</v>
      </c>
      <c r="AJ64" s="11">
        <v>8.2000000000000003E-2</v>
      </c>
      <c r="AK64" s="6">
        <v>-2.7</v>
      </c>
      <c r="AL64" s="6">
        <v>0</v>
      </c>
      <c r="AM64" s="6">
        <v>-0.2</v>
      </c>
      <c r="AN64" s="6">
        <v>7.8</v>
      </c>
    </row>
    <row r="65" spans="1:40" x14ac:dyDescent="0.2">
      <c r="A65" s="3">
        <v>42</v>
      </c>
      <c r="B65" s="3" t="s">
        <v>417</v>
      </c>
      <c r="C65" s="3" t="s">
        <v>220</v>
      </c>
      <c r="D65" s="34">
        <v>610</v>
      </c>
      <c r="E65" s="34">
        <v>610</v>
      </c>
      <c r="F65" s="35">
        <v>225</v>
      </c>
      <c r="G65" s="36">
        <v>33920</v>
      </c>
      <c r="H65" s="6">
        <f t="shared" ca="1" si="0"/>
        <v>27.9</v>
      </c>
      <c r="I65" s="3" t="s">
        <v>418</v>
      </c>
      <c r="J65" s="3">
        <v>4</v>
      </c>
      <c r="K65" s="3">
        <v>2011</v>
      </c>
      <c r="L65" s="3">
        <v>42</v>
      </c>
      <c r="M65" s="3" t="s">
        <v>419</v>
      </c>
      <c r="N65" s="3"/>
      <c r="O65" s="3" t="s">
        <v>74</v>
      </c>
      <c r="P65" s="49">
        <v>13300000</v>
      </c>
      <c r="Q65" s="3"/>
      <c r="R65" s="3"/>
      <c r="S65" s="3"/>
      <c r="T65" s="3"/>
      <c r="U65" s="3"/>
      <c r="V65" s="3"/>
      <c r="W65" s="3" t="s">
        <v>420</v>
      </c>
      <c r="X65" s="7">
        <v>4</v>
      </c>
      <c r="Y65" s="7">
        <v>54</v>
      </c>
      <c r="Z65" s="11">
        <f>20/54</f>
        <v>0.37037037037037035</v>
      </c>
      <c r="AA65" s="6">
        <v>113.6</v>
      </c>
      <c r="AB65" s="6">
        <v>113.9</v>
      </c>
      <c r="AC65" s="6">
        <f t="shared" si="4"/>
        <v>-0.30000000000001137</v>
      </c>
      <c r="AD65" s="6">
        <v>29.3</v>
      </c>
      <c r="AE65" s="6">
        <v>15.5</v>
      </c>
      <c r="AF65" s="11">
        <v>0.628</v>
      </c>
      <c r="AG65" s="6">
        <v>19</v>
      </c>
      <c r="AH65" s="6">
        <v>3</v>
      </c>
      <c r="AI65" s="6">
        <v>0.5</v>
      </c>
      <c r="AJ65" s="11">
        <v>0.106</v>
      </c>
      <c r="AK65" s="6">
        <v>2.7</v>
      </c>
      <c r="AL65" s="6">
        <v>-1.8</v>
      </c>
      <c r="AM65" s="6">
        <v>1.1000000000000001</v>
      </c>
      <c r="AN65" s="6">
        <v>9.4</v>
      </c>
    </row>
    <row r="66" spans="1:40" x14ac:dyDescent="0.2">
      <c r="A66" s="3">
        <v>5</v>
      </c>
      <c r="B66" s="3" t="s">
        <v>421</v>
      </c>
      <c r="C66" s="3" t="s">
        <v>251</v>
      </c>
      <c r="D66" s="34">
        <v>60</v>
      </c>
      <c r="E66" s="34">
        <v>62</v>
      </c>
      <c r="F66" s="35">
        <v>175</v>
      </c>
      <c r="G66" s="36">
        <v>33433</v>
      </c>
      <c r="H66" s="6">
        <f t="shared" ca="1" si="0"/>
        <v>29.2</v>
      </c>
      <c r="I66" s="3" t="s">
        <v>422</v>
      </c>
      <c r="J66" s="3">
        <v>6</v>
      </c>
      <c r="K66" s="3">
        <v>2014</v>
      </c>
      <c r="L66" s="3">
        <v>24</v>
      </c>
      <c r="M66" s="3" t="s">
        <v>423</v>
      </c>
      <c r="N66" s="3"/>
      <c r="O66" s="3" t="s">
        <v>74</v>
      </c>
      <c r="P66" s="49">
        <v>1707576</v>
      </c>
      <c r="Q66" s="3"/>
      <c r="R66" s="3"/>
      <c r="S66" s="3"/>
      <c r="T66" s="3"/>
      <c r="U66" s="3"/>
      <c r="V66" s="3"/>
      <c r="W66" s="41" t="s">
        <v>218</v>
      </c>
      <c r="X66" s="7">
        <v>1</v>
      </c>
      <c r="Y66" s="7">
        <v>15</v>
      </c>
      <c r="Z66" s="11">
        <f>7/15</f>
        <v>0.46666666666666667</v>
      </c>
      <c r="AA66" s="6">
        <v>112.5</v>
      </c>
      <c r="AB66" s="6">
        <v>112.3</v>
      </c>
      <c r="AC66" s="6">
        <f t="shared" si="4"/>
        <v>0.20000000000000284</v>
      </c>
      <c r="AD66" s="6">
        <v>25.2</v>
      </c>
      <c r="AE66" s="6">
        <v>15.7</v>
      </c>
      <c r="AF66" s="11">
        <v>0.58699999999999997</v>
      </c>
      <c r="AG66" s="6">
        <v>20.7</v>
      </c>
      <c r="AH66" s="6">
        <v>0.4</v>
      </c>
      <c r="AI66" s="6">
        <v>0.2</v>
      </c>
      <c r="AJ66" s="11">
        <v>8.2000000000000003E-2</v>
      </c>
      <c r="AK66" s="6">
        <v>0.2</v>
      </c>
      <c r="AL66" s="6">
        <v>-0.2</v>
      </c>
      <c r="AM66" s="6">
        <v>0.2</v>
      </c>
      <c r="AN66" s="6">
        <v>10.3</v>
      </c>
    </row>
    <row r="67" spans="1:40" x14ac:dyDescent="0.2">
      <c r="A67" s="3">
        <v>4</v>
      </c>
      <c r="B67" s="3" t="s">
        <v>424</v>
      </c>
      <c r="C67" s="3" t="s">
        <v>220</v>
      </c>
      <c r="D67" s="34">
        <v>63</v>
      </c>
      <c r="E67" s="34">
        <v>68</v>
      </c>
      <c r="F67" s="35">
        <v>195</v>
      </c>
      <c r="G67" s="36">
        <v>33939</v>
      </c>
      <c r="H67" s="6">
        <f t="shared" ref="H67:H73" ca="1" si="5">ROUNDDOWN(YEARFRAC($G$75,G67),1)</f>
        <v>27.8</v>
      </c>
      <c r="I67" s="3" t="s">
        <v>425</v>
      </c>
      <c r="J67" s="3">
        <v>4</v>
      </c>
      <c r="K67" s="3">
        <v>2016</v>
      </c>
      <c r="L67" s="3"/>
      <c r="M67" s="3" t="s">
        <v>426</v>
      </c>
      <c r="N67" s="3"/>
      <c r="O67" s="3" t="s">
        <v>74</v>
      </c>
      <c r="P67" s="49">
        <v>1707576</v>
      </c>
      <c r="Q67" s="3"/>
      <c r="R67" s="3"/>
      <c r="S67" s="3"/>
      <c r="T67" s="3"/>
      <c r="U67" s="3"/>
      <c r="V67" s="3"/>
      <c r="W67" s="3" t="s">
        <v>427</v>
      </c>
      <c r="X67" s="7">
        <v>2</v>
      </c>
      <c r="Y67" s="7">
        <v>29</v>
      </c>
      <c r="Z67" s="11">
        <f>13/29</f>
        <v>0.44827586206896552</v>
      </c>
      <c r="AA67" s="6">
        <v>101.7</v>
      </c>
      <c r="AB67" s="6">
        <v>116.1</v>
      </c>
      <c r="AC67" s="6">
        <f t="shared" si="4"/>
        <v>-14.399999999999991</v>
      </c>
      <c r="AD67" s="6">
        <v>14.9</v>
      </c>
      <c r="AE67" s="6">
        <v>11.3</v>
      </c>
      <c r="AF67" s="11">
        <v>0.47299999999999998</v>
      </c>
      <c r="AG67" s="6">
        <v>13.4</v>
      </c>
      <c r="AH67" s="6">
        <v>0.1</v>
      </c>
      <c r="AI67" s="6">
        <v>0.4</v>
      </c>
      <c r="AJ67" s="11">
        <v>4.9000000000000002E-2</v>
      </c>
      <c r="AK67" s="6">
        <v>-3.1</v>
      </c>
      <c r="AL67" s="6">
        <v>1.5</v>
      </c>
      <c r="AM67" s="6">
        <v>0</v>
      </c>
      <c r="AN67" s="6">
        <v>6.9</v>
      </c>
    </row>
    <row r="68" spans="1:40" x14ac:dyDescent="0.2">
      <c r="A68" s="3">
        <v>24</v>
      </c>
      <c r="B68" s="3" t="s">
        <v>428</v>
      </c>
      <c r="C68" s="3" t="s">
        <v>224</v>
      </c>
      <c r="D68" s="34">
        <v>65</v>
      </c>
      <c r="E68" s="34"/>
      <c r="F68" s="35">
        <v>215</v>
      </c>
      <c r="G68" s="36">
        <v>35362</v>
      </c>
      <c r="H68" s="6">
        <f t="shared" ca="1" si="5"/>
        <v>24</v>
      </c>
      <c r="I68" s="3" t="s">
        <v>429</v>
      </c>
      <c r="J68" s="3">
        <v>1</v>
      </c>
      <c r="K68" s="3">
        <v>2019</v>
      </c>
      <c r="L68" s="3"/>
      <c r="M68" s="3" t="s">
        <v>430</v>
      </c>
      <c r="N68" s="3"/>
      <c r="O68" s="3" t="s">
        <v>74</v>
      </c>
      <c r="P68" s="68"/>
      <c r="Q68" s="3"/>
      <c r="R68" s="3"/>
      <c r="S68" s="3"/>
      <c r="T68" s="3"/>
      <c r="U68" s="3"/>
      <c r="V68" s="3"/>
      <c r="W68" s="3" t="s">
        <v>431</v>
      </c>
      <c r="X68" s="7">
        <v>3</v>
      </c>
      <c r="Y68" s="7">
        <v>18</v>
      </c>
      <c r="Z68" s="11">
        <f>8/18</f>
        <v>0.44444444444444442</v>
      </c>
      <c r="AA68" s="6">
        <v>111.8</v>
      </c>
      <c r="AB68" s="6">
        <v>104.7</v>
      </c>
      <c r="AC68" s="6">
        <f t="shared" si="4"/>
        <v>7.0999999999999943</v>
      </c>
      <c r="AD68" s="6">
        <v>12.6</v>
      </c>
      <c r="AE68" s="6">
        <v>13.1</v>
      </c>
      <c r="AF68" s="11">
        <v>0.69099999999999995</v>
      </c>
      <c r="AG68" s="6">
        <v>14.5</v>
      </c>
      <c r="AH68" s="6">
        <v>0.6</v>
      </c>
      <c r="AI68" s="6">
        <v>0</v>
      </c>
      <c r="AJ68" s="11">
        <v>0.129</v>
      </c>
      <c r="AK68" s="6">
        <v>-0.5</v>
      </c>
      <c r="AL68" s="6">
        <v>-0.6</v>
      </c>
      <c r="AM68" s="6">
        <v>0.1</v>
      </c>
      <c r="AN68" s="6">
        <v>7.8</v>
      </c>
    </row>
    <row r="69" spans="1:40" x14ac:dyDescent="0.2">
      <c r="A69" s="3">
        <v>19</v>
      </c>
      <c r="B69" s="3" t="s">
        <v>432</v>
      </c>
      <c r="C69" s="3" t="s">
        <v>207</v>
      </c>
      <c r="D69" s="34">
        <v>69</v>
      </c>
      <c r="E69" s="34"/>
      <c r="F69" s="35">
        <v>228</v>
      </c>
      <c r="G69" s="36">
        <v>34841</v>
      </c>
      <c r="H69" s="6">
        <f t="shared" ca="1" si="5"/>
        <v>25.4</v>
      </c>
      <c r="I69" s="3" t="s">
        <v>433</v>
      </c>
      <c r="J69" s="3">
        <v>2</v>
      </c>
      <c r="K69" s="3">
        <v>2018</v>
      </c>
      <c r="L69" s="3"/>
      <c r="M69" s="3" t="s">
        <v>434</v>
      </c>
      <c r="N69" s="3"/>
      <c r="O69" s="3" t="s">
        <v>74</v>
      </c>
      <c r="P69" s="68"/>
      <c r="Q69" s="3"/>
      <c r="R69" s="3"/>
      <c r="S69" s="3"/>
      <c r="T69" s="3"/>
      <c r="U69" s="3"/>
      <c r="V69" s="3"/>
      <c r="W69" s="3" t="s">
        <v>398</v>
      </c>
      <c r="X69" s="7">
        <v>4</v>
      </c>
      <c r="Y69" s="7">
        <v>11</v>
      </c>
      <c r="Z69" s="11">
        <f>6/11</f>
        <v>0.54545454545454541</v>
      </c>
      <c r="AA69" s="6">
        <v>98.9</v>
      </c>
      <c r="AB69" s="6">
        <v>116.8</v>
      </c>
      <c r="AC69" s="6">
        <f t="shared" si="4"/>
        <v>-17.899999999999991</v>
      </c>
      <c r="AD69" s="6">
        <v>12.3</v>
      </c>
      <c r="AE69" s="6">
        <v>14.4</v>
      </c>
      <c r="AF69" s="11">
        <v>0.64300000000000002</v>
      </c>
      <c r="AG69" s="6">
        <v>9.6</v>
      </c>
      <c r="AH69" s="6">
        <v>0.3</v>
      </c>
      <c r="AI69" s="6">
        <v>0.1</v>
      </c>
      <c r="AJ69" s="11">
        <v>0.11600000000000001</v>
      </c>
      <c r="AK69" s="6">
        <v>-0.5</v>
      </c>
      <c r="AL69" s="6">
        <v>-1.3</v>
      </c>
      <c r="AM69" s="6">
        <v>0</v>
      </c>
      <c r="AN69" s="6">
        <v>11</v>
      </c>
    </row>
    <row r="70" spans="1:40" x14ac:dyDescent="0.2">
      <c r="A70" s="3">
        <v>22</v>
      </c>
      <c r="B70" s="3" t="s">
        <v>435</v>
      </c>
      <c r="C70" s="3" t="s">
        <v>220</v>
      </c>
      <c r="D70" s="34">
        <v>64</v>
      </c>
      <c r="E70" s="34"/>
      <c r="F70" s="35">
        <v>198</v>
      </c>
      <c r="G70" s="36">
        <v>33886</v>
      </c>
      <c r="H70" s="6">
        <f t="shared" ca="1" si="5"/>
        <v>28</v>
      </c>
      <c r="I70" s="3" t="s">
        <v>436</v>
      </c>
      <c r="J70" s="3">
        <v>5</v>
      </c>
      <c r="K70" s="3">
        <v>2015</v>
      </c>
      <c r="L70" s="3">
        <v>19</v>
      </c>
      <c r="M70" s="3" t="s">
        <v>437</v>
      </c>
      <c r="N70" s="3"/>
      <c r="O70" s="3" t="s">
        <v>74</v>
      </c>
      <c r="P70" s="49">
        <v>1707576</v>
      </c>
      <c r="Q70" s="9"/>
      <c r="R70" s="9"/>
      <c r="S70" s="3"/>
      <c r="T70" s="3"/>
      <c r="U70" s="3"/>
      <c r="V70" s="3"/>
      <c r="W70" s="41"/>
      <c r="X70" s="7"/>
      <c r="Y70" s="7"/>
      <c r="Z70" s="11"/>
      <c r="AA70" s="6"/>
      <c r="AB70" s="6"/>
      <c r="AC70" s="6"/>
      <c r="AD70" s="6"/>
      <c r="AE70" s="6"/>
      <c r="AF70" s="11"/>
      <c r="AG70" s="6"/>
      <c r="AH70" s="6"/>
      <c r="AI70" s="6"/>
      <c r="AJ70" s="11"/>
      <c r="AK70" s="6"/>
      <c r="AL70" s="58"/>
      <c r="AM70" s="58"/>
      <c r="AN70" s="58"/>
    </row>
    <row r="71" spans="1:40" x14ac:dyDescent="0.2">
      <c r="A71" s="3">
        <v>7</v>
      </c>
      <c r="B71" s="3" t="s">
        <v>438</v>
      </c>
      <c r="C71" s="3" t="s">
        <v>207</v>
      </c>
      <c r="D71" s="34">
        <v>69</v>
      </c>
      <c r="E71" s="34"/>
      <c r="F71" s="35">
        <v>220</v>
      </c>
      <c r="G71" s="36">
        <v>34108</v>
      </c>
      <c r="H71" s="6">
        <f t="shared" ca="1" si="5"/>
        <v>27.4</v>
      </c>
      <c r="I71" s="3" t="s">
        <v>439</v>
      </c>
      <c r="J71" s="3">
        <v>2</v>
      </c>
      <c r="K71" s="3">
        <v>2016</v>
      </c>
      <c r="L71" s="3"/>
      <c r="M71" s="3" t="s">
        <v>440</v>
      </c>
      <c r="N71" s="3"/>
      <c r="O71" s="3" t="s">
        <v>74</v>
      </c>
      <c r="P71" s="49">
        <v>1707576</v>
      </c>
      <c r="Q71" s="9"/>
      <c r="R71" s="9"/>
      <c r="S71" s="3"/>
      <c r="T71" s="3"/>
      <c r="U71" s="3"/>
      <c r="V71" s="3"/>
      <c r="W71" s="41"/>
      <c r="X71" s="7"/>
      <c r="Y71" s="7"/>
      <c r="Z71" s="11"/>
      <c r="AA71" s="6"/>
      <c r="AB71" s="6"/>
      <c r="AC71" s="6"/>
      <c r="AD71" s="6"/>
      <c r="AE71" s="6"/>
      <c r="AF71" s="11"/>
      <c r="AG71" s="6"/>
      <c r="AH71" s="6"/>
      <c r="AI71" s="6"/>
      <c r="AJ71" s="11"/>
      <c r="AK71" s="6"/>
      <c r="AL71" s="58"/>
      <c r="AM71" s="58"/>
      <c r="AN71" s="58"/>
    </row>
    <row r="72" spans="1:40" x14ac:dyDescent="0.2">
      <c r="A72" s="3">
        <v>17</v>
      </c>
      <c r="B72" s="3" t="s">
        <v>441</v>
      </c>
      <c r="C72" s="3" t="s">
        <v>220</v>
      </c>
      <c r="D72" s="34">
        <v>68</v>
      </c>
      <c r="E72" s="34">
        <v>70</v>
      </c>
      <c r="F72" s="35">
        <v>180</v>
      </c>
      <c r="G72" s="36">
        <v>36472</v>
      </c>
      <c r="H72" s="6">
        <f t="shared" ca="1" si="5"/>
        <v>20.9</v>
      </c>
      <c r="I72" s="3" t="s">
        <v>442</v>
      </c>
      <c r="J72" s="3">
        <v>3</v>
      </c>
      <c r="K72" s="3">
        <v>2018</v>
      </c>
      <c r="L72" s="3">
        <v>39</v>
      </c>
      <c r="M72" s="3" t="s">
        <v>443</v>
      </c>
      <c r="N72" s="3"/>
      <c r="O72" s="3" t="s">
        <v>74</v>
      </c>
      <c r="P72" s="52">
        <v>1663861</v>
      </c>
      <c r="Q72" s="60">
        <v>2122822</v>
      </c>
      <c r="R72" s="3"/>
      <c r="S72" s="3"/>
      <c r="T72" s="3"/>
      <c r="U72" s="3"/>
      <c r="V72" s="3"/>
      <c r="W72" s="3" t="s">
        <v>444</v>
      </c>
      <c r="X72" s="7">
        <v>3</v>
      </c>
      <c r="Y72" s="7">
        <v>58</v>
      </c>
      <c r="Z72" s="11">
        <f>21/58</f>
        <v>0.36206896551724138</v>
      </c>
      <c r="AA72" s="6">
        <v>109.3</v>
      </c>
      <c r="AB72" s="6">
        <v>107.4</v>
      </c>
      <c r="AC72" s="6">
        <f t="shared" ref="AC72:AC73" si="6">AA72-AB72</f>
        <v>1.8999999999999915</v>
      </c>
      <c r="AD72" s="6">
        <v>17.7</v>
      </c>
      <c r="AE72" s="6">
        <v>10.7</v>
      </c>
      <c r="AF72" s="11">
        <v>0.627</v>
      </c>
      <c r="AG72" s="6">
        <v>10.3</v>
      </c>
      <c r="AH72" s="6">
        <v>1.3</v>
      </c>
      <c r="AI72" s="6">
        <v>0.4</v>
      </c>
      <c r="AJ72" s="11">
        <v>8.1000000000000003E-2</v>
      </c>
      <c r="AK72" s="6">
        <v>-2.4</v>
      </c>
      <c r="AL72" s="6">
        <v>0</v>
      </c>
      <c r="AM72" s="6">
        <v>-0.1</v>
      </c>
      <c r="AN72" s="6">
        <v>6.2</v>
      </c>
    </row>
    <row r="73" spans="1:40" x14ac:dyDescent="0.2">
      <c r="A73" s="3">
        <v>18</v>
      </c>
      <c r="B73" s="3" t="s">
        <v>445</v>
      </c>
      <c r="C73" s="3" t="s">
        <v>207</v>
      </c>
      <c r="D73" s="34">
        <v>72</v>
      </c>
      <c r="E73" s="34">
        <v>74</v>
      </c>
      <c r="F73" s="35">
        <v>229</v>
      </c>
      <c r="G73" s="36">
        <v>35053</v>
      </c>
      <c r="H73" s="6">
        <f t="shared" ca="1" si="5"/>
        <v>24.8</v>
      </c>
      <c r="I73" s="3" t="s">
        <v>446</v>
      </c>
      <c r="J73" s="3">
        <v>2</v>
      </c>
      <c r="K73" s="3">
        <v>2017</v>
      </c>
      <c r="L73" s="3">
        <v>25</v>
      </c>
      <c r="M73" s="3" t="s">
        <v>447</v>
      </c>
      <c r="N73" s="3"/>
      <c r="O73" s="3" t="s">
        <v>74</v>
      </c>
      <c r="P73" s="52">
        <v>1517981</v>
      </c>
      <c r="Q73" s="52">
        <v>1782621</v>
      </c>
      <c r="R73" s="60">
        <v>2228276</v>
      </c>
      <c r="S73" s="3"/>
      <c r="T73" s="3"/>
      <c r="U73" s="3"/>
      <c r="V73" s="3"/>
      <c r="W73" s="41" t="s">
        <v>235</v>
      </c>
      <c r="X73" s="7">
        <v>5</v>
      </c>
      <c r="Y73" s="7">
        <v>24</v>
      </c>
      <c r="Z73" s="11">
        <f>9/24</f>
        <v>0.375</v>
      </c>
      <c r="AA73" s="6">
        <v>109.3</v>
      </c>
      <c r="AB73" s="6">
        <v>108.9</v>
      </c>
      <c r="AC73" s="6">
        <f t="shared" si="6"/>
        <v>0.39999999999999147</v>
      </c>
      <c r="AD73" s="6">
        <v>16.899999999999999</v>
      </c>
      <c r="AE73" s="6">
        <v>11.6</v>
      </c>
      <c r="AF73" s="11">
        <v>0.55500000000000005</v>
      </c>
      <c r="AG73" s="6">
        <v>15.6</v>
      </c>
      <c r="AH73" s="6">
        <v>0.3</v>
      </c>
      <c r="AI73" s="6">
        <v>0.2</v>
      </c>
      <c r="AJ73" s="11">
        <v>5.6000000000000001E-2</v>
      </c>
      <c r="AK73" s="6">
        <v>-3.8</v>
      </c>
      <c r="AL73" s="6">
        <v>-1.6</v>
      </c>
      <c r="AM73" s="6">
        <v>-0.3</v>
      </c>
      <c r="AN73" s="6">
        <v>6.1</v>
      </c>
    </row>
    <row r="75" spans="1:40" x14ac:dyDescent="0.2">
      <c r="G75" s="30">
        <f ca="1">TODAY()</f>
        <v>44128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2020-10-24T17:13:38Z</dcterms:created>
  <dcterms:modified xsi:type="dcterms:W3CDTF">2020-10-24T17:14:27Z</dcterms:modified>
</cp:coreProperties>
</file>